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D127" i="9"/>
  <c r="D126" i="9"/>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M22" i="67"/>
  <c r="E12" i="76"/>
  <c r="M23" i="67"/>
  <c r="E2" i="68"/>
  <c r="E10" i="76"/>
  <c r="B7" i="76"/>
  <c r="C14" i="15"/>
  <c r="F40" i="67"/>
  <c r="F26" i="67"/>
  <c r="C76" i="67"/>
  <c r="M29" i="67"/>
  <c r="M24" i="67"/>
  <c r="M22" i="15"/>
  <c r="M21" i="15"/>
  <c r="M8" i="15"/>
  <c r="E11" i="76"/>
  <c r="B13" i="76"/>
  <c r="D2" i="36"/>
  <c r="F6" i="67"/>
  <c r="F6" i="15"/>
  <c r="F38" i="15"/>
  <c r="AO7" i="1"/>
  <c r="F13" i="67"/>
  <c r="F37" i="15"/>
  <c r="B12" i="76"/>
  <c r="E2" i="69"/>
  <c r="E6" i="76"/>
  <c r="F43" i="15"/>
  <c r="M28" i="15"/>
  <c r="F35" i="15"/>
  <c r="M6" i="67"/>
  <c r="B8" i="76"/>
  <c r="F7" i="67"/>
  <c r="M8" i="67"/>
  <c r="E8" i="76"/>
  <c r="J15" i="67"/>
  <c r="M27" i="15"/>
  <c r="AO9" i="1"/>
  <c r="D2" i="21"/>
  <c r="M9" i="15"/>
  <c r="AO11" i="1"/>
  <c r="D3" i="73"/>
  <c r="B6" i="76"/>
  <c r="M6" i="15"/>
  <c r="F9" i="67"/>
  <c r="L48" i="67"/>
  <c r="E13" i="76"/>
  <c r="M9" i="67"/>
  <c r="F36" i="15"/>
  <c r="F7" i="73"/>
  <c r="E7" i="76"/>
  <c r="D7" i="73"/>
  <c r="AO12" i="1"/>
  <c r="D6" i="73"/>
  <c r="D2" i="35"/>
  <c r="F40" i="15"/>
  <c r="B11" i="76"/>
  <c r="F20" i="31"/>
  <c r="F4" i="73"/>
  <c r="F26" i="15"/>
  <c r="F7" i="15"/>
  <c r="B9" i="76"/>
  <c r="B10" i="76"/>
  <c r="F13" i="15"/>
  <c r="M23" i="15"/>
  <c r="F6" i="73"/>
  <c r="F38" i="67"/>
  <c r="F5" i="73"/>
  <c r="F37" i="67"/>
  <c r="F42" i="15"/>
  <c r="J15" i="15"/>
  <c r="M29" i="15"/>
  <c r="E9" i="76"/>
  <c r="F3" i="73"/>
  <c r="F35" i="67"/>
  <c r="AO13" i="1"/>
  <c r="M26" i="67"/>
  <c r="L47" i="15"/>
  <c r="F36" i="67"/>
  <c r="M26" i="15"/>
  <c r="M28" i="67"/>
  <c r="D5" i="73"/>
  <c r="F16" i="15"/>
  <c r="F43" i="67"/>
  <c r="D2" i="33"/>
  <c r="L47" i="67"/>
  <c r="D2" i="37"/>
  <c r="M24" i="15"/>
  <c r="G1" i="73"/>
  <c r="F42" i="67"/>
  <c r="L48" i="15"/>
  <c r="F16" i="67"/>
  <c r="F41" i="15"/>
  <c r="F8" i="15"/>
  <c r="D4" i="73"/>
  <c r="M21" i="67"/>
  <c r="AO10" i="1"/>
  <c r="AO8" i="1"/>
  <c r="D2" i="34"/>
  <c r="M27" i="67"/>
  <c r="F9" i="15"/>
  <c r="C76" i="15"/>
  <c r="F8" i="67"/>
  <c r="W34" i="34" l="1"/>
  <c r="R49" i="34"/>
  <c r="T49" i="34"/>
  <c r="G49" i="34" s="1"/>
  <c r="G54" i="34" s="1"/>
  <c r="H54" i="34" s="1"/>
  <c r="S34" i="34"/>
  <c r="V49" i="34"/>
  <c r="I49" i="34" s="1"/>
  <c r="U34" i="34"/>
  <c r="B4" i="49"/>
  <c r="D4" i="49" s="1"/>
  <c r="B8" i="49"/>
  <c r="D8" i="49" s="1"/>
  <c r="B6" i="49"/>
  <c r="D6" i="49" s="1"/>
  <c r="F11" i="49"/>
  <c r="H11" i="49" s="1"/>
  <c r="R50" i="34"/>
  <c r="E49" i="34"/>
  <c r="I54" i="34" s="1"/>
  <c r="J54" i="34" s="1"/>
  <c r="I53" i="34"/>
  <c r="J53" i="34" s="1"/>
  <c r="B5" i="49"/>
  <c r="D5" i="49" s="1"/>
  <c r="F9" i="49"/>
  <c r="H9" i="49" s="1"/>
  <c r="W9" i="34"/>
  <c r="B7" i="49"/>
  <c r="D7" i="49" s="1"/>
  <c r="F13" i="49"/>
  <c r="H13" i="49" s="1"/>
  <c r="D19" i="68"/>
  <c r="C19" i="68" s="1"/>
  <c r="S9" i="34"/>
  <c r="U9" i="34"/>
  <c r="C18" i="12"/>
  <c r="F5" i="49"/>
  <c r="H5" i="49" s="1"/>
  <c r="F7" i="49"/>
  <c r="H7" i="49" s="1"/>
  <c r="F10" i="49"/>
  <c r="H10" i="49" s="1"/>
  <c r="F14" i="49"/>
  <c r="H14" i="49" s="1"/>
  <c r="C29" i="69"/>
  <c r="D27" i="69" s="1"/>
  <c r="R16" i="1"/>
  <c r="F4" i="49"/>
  <c r="H4" i="49" s="1"/>
  <c r="F6" i="49"/>
  <c r="H6" i="49" s="1"/>
  <c r="F8" i="49"/>
  <c r="H8" i="49" s="1"/>
  <c r="F12" i="49"/>
  <c r="H12" i="49" s="1"/>
  <c r="F45" i="69"/>
  <c r="C14" i="12"/>
  <c r="B7" i="70"/>
  <c r="B11" i="70"/>
  <c r="F51" i="15"/>
  <c r="J20" i="15"/>
  <c r="C27" i="15"/>
  <c r="F71" i="15"/>
  <c r="B40" i="1"/>
  <c r="B10" i="70"/>
  <c r="F63" i="15"/>
  <c r="C62" i="15" s="1"/>
  <c r="C34" i="15"/>
  <c r="F66" i="15"/>
  <c r="I54" i="15"/>
  <c r="J57" i="15"/>
  <c r="J55" i="15" s="1"/>
  <c r="J58" i="15" s="1"/>
  <c r="Q50" i="15" s="1"/>
  <c r="J53" i="15"/>
  <c r="L56" i="15" s="1"/>
  <c r="B9" i="70"/>
  <c r="B13" i="70"/>
  <c r="F50" i="15"/>
  <c r="M7" i="15"/>
  <c r="J6" i="15" s="1"/>
  <c r="C18" i="15"/>
  <c r="C15" i="15"/>
  <c r="F68" i="15"/>
  <c r="B8" i="70"/>
  <c r="B12" i="70"/>
  <c r="C6" i="15"/>
  <c r="F64" i="15"/>
  <c r="F69" i="15"/>
  <c r="L59" i="15"/>
  <c r="N59" i="15"/>
  <c r="L58" i="15"/>
  <c r="M59" i="15"/>
  <c r="Q71" i="15"/>
  <c r="B20" i="31"/>
  <c r="B21" i="31" s="1"/>
  <c r="B2" i="76"/>
  <c r="C6" i="67"/>
  <c r="J20" i="67"/>
  <c r="C27" i="67"/>
  <c r="C34" i="67"/>
  <c r="F63" i="67"/>
  <c r="C62" i="67" s="1"/>
  <c r="F65" i="67"/>
  <c r="N59" i="67"/>
  <c r="L58" i="67"/>
  <c r="M59" i="67"/>
  <c r="L59" i="67"/>
  <c r="L57" i="67"/>
  <c r="L56" i="67"/>
  <c r="J57" i="67"/>
  <c r="J55" i="67" s="1"/>
  <c r="J58" i="67" s="1"/>
  <c r="Q50" i="67" s="1"/>
  <c r="J53" i="67"/>
  <c r="L60" i="67"/>
  <c r="I54" i="67"/>
  <c r="F65" i="15"/>
  <c r="E2" i="76"/>
  <c r="F51" i="67"/>
  <c r="M3" i="35"/>
  <c r="F64" i="67"/>
  <c r="F66" i="67"/>
  <c r="F68" i="67"/>
  <c r="F71" i="67"/>
  <c r="F50" i="67"/>
  <c r="M7" i="67"/>
  <c r="J6" i="67" s="1"/>
  <c r="Q71" i="67"/>
  <c r="I1" i="73"/>
  <c r="B39" i="1" s="1"/>
  <c r="C20" i="68"/>
  <c r="C8" i="69"/>
  <c r="C5" i="69" s="1"/>
  <c r="D17" i="53"/>
  <c r="B36" i="72" s="1"/>
  <c r="D20" i="53"/>
  <c r="B40" i="72" s="1"/>
  <c r="C47" i="68"/>
  <c r="D45" i="68" s="1"/>
  <c r="C38" i="69"/>
  <c r="C15" i="12"/>
  <c r="D17" i="12"/>
  <c r="C17" i="12" s="1"/>
  <c r="B9" i="49"/>
  <c r="D9" i="49" s="1"/>
  <c r="B10" i="49"/>
  <c r="D10" i="49" s="1"/>
  <c r="B11" i="49"/>
  <c r="D11" i="49" s="1"/>
  <c r="B12" i="49"/>
  <c r="D12" i="49" s="1"/>
  <c r="B13" i="49"/>
  <c r="D13" i="49" s="1"/>
  <c r="B14" i="49"/>
  <c r="D14" i="49" s="1"/>
  <c r="C29" i="68"/>
  <c r="D27" i="68" s="1"/>
  <c r="D37" i="68"/>
  <c r="C37" i="68" s="1"/>
  <c r="D19" i="69"/>
  <c r="C12" i="12"/>
  <c r="C34" i="68"/>
  <c r="C14" i="67"/>
  <c r="C17" i="67"/>
  <c r="C16" i="15"/>
  <c r="C16" i="67"/>
  <c r="C17" i="15"/>
  <c r="G53" i="34" l="1"/>
  <c r="H53" i="34" s="1"/>
  <c r="C28" i="68"/>
  <c r="C27" i="68" s="1"/>
  <c r="C16" i="12"/>
  <c r="C21" i="12" s="1"/>
  <c r="C22" i="12" s="1"/>
  <c r="C30" i="12" s="1"/>
  <c r="C28" i="12" s="1"/>
  <c r="E53" i="34"/>
  <c r="F53" i="34" s="1"/>
  <c r="E54" i="34"/>
  <c r="F54" i="34" s="1"/>
  <c r="C49" i="34"/>
  <c r="C50" i="34"/>
  <c r="C15" i="67"/>
  <c r="C18" i="67"/>
  <c r="J18" i="67"/>
  <c r="J19" i="67"/>
  <c r="J18" i="15"/>
  <c r="J19" i="15"/>
  <c r="C19" i="15"/>
  <c r="F11" i="67"/>
  <c r="C53" i="67" s="1"/>
  <c r="M11" i="67"/>
  <c r="J10" i="67" s="1"/>
  <c r="J5" i="67" s="1"/>
  <c r="M11" i="15"/>
  <c r="J10" i="15" s="1"/>
  <c r="J5" i="15" s="1"/>
  <c r="F11" i="15"/>
  <c r="C32" i="15"/>
  <c r="C33" i="15"/>
  <c r="C49" i="67"/>
  <c r="Q66" i="67"/>
  <c r="Q57" i="67"/>
  <c r="Q61" i="67"/>
  <c r="Q74" i="67"/>
  <c r="Q61" i="15"/>
  <c r="Q74" i="15"/>
  <c r="F24" i="67"/>
  <c r="C24" i="67" s="1"/>
  <c r="L36" i="43"/>
  <c r="F22" i="11"/>
  <c r="F24" i="15"/>
  <c r="C24" i="15" s="1"/>
  <c r="F22" i="68"/>
  <c r="F25" i="12"/>
  <c r="C26" i="12" s="1"/>
  <c r="D25" i="12" s="1"/>
  <c r="F22" i="69"/>
  <c r="C32" i="67"/>
  <c r="C33" i="67"/>
  <c r="D37" i="69"/>
  <c r="C37" i="69" s="1"/>
  <c r="C33" i="69" s="1"/>
  <c r="C19" i="69"/>
  <c r="C38" i="68"/>
  <c r="C35" i="68"/>
  <c r="Q52" i="67"/>
  <c r="F1" i="67"/>
  <c r="Q73" i="67"/>
  <c r="Q60" i="67"/>
  <c r="B3" i="76"/>
  <c r="Q73" i="15"/>
  <c r="Q60" i="15"/>
  <c r="Q52" i="15"/>
  <c r="F1" i="15"/>
  <c r="C49" i="15"/>
  <c r="AE6" i="1"/>
  <c r="C10" i="67" l="1"/>
  <c r="C5" i="67" s="1"/>
  <c r="C38" i="67" s="1"/>
  <c r="C33" i="68"/>
  <c r="C39" i="68" s="1"/>
  <c r="C43" i="68" s="1"/>
  <c r="J17" i="67"/>
  <c r="B3" i="34"/>
  <c r="B2" i="34"/>
  <c r="C27" i="12"/>
  <c r="C25" i="12" s="1"/>
  <c r="C32" i="12" s="1"/>
  <c r="B2" i="12" s="1"/>
  <c r="B3" i="12" s="1"/>
  <c r="C19" i="67"/>
  <c r="J26" i="15"/>
  <c r="J29" i="15" s="1"/>
  <c r="J24" i="15"/>
  <c r="J26" i="67"/>
  <c r="J24" i="67"/>
  <c r="C42" i="11"/>
  <c r="C24" i="11"/>
  <c r="C23" i="11"/>
  <c r="C44" i="11"/>
  <c r="D41" i="11" s="1"/>
  <c r="C26" i="11"/>
  <c r="D22" i="11" s="1"/>
  <c r="C43" i="11"/>
  <c r="C25" i="11"/>
  <c r="N36" i="43"/>
  <c r="Q36" i="43"/>
  <c r="M36" i="43"/>
  <c r="L37" i="43"/>
  <c r="P36" i="43"/>
  <c r="O36" i="43"/>
  <c r="C48" i="67"/>
  <c r="C61" i="67"/>
  <c r="C31" i="15"/>
  <c r="J17" i="15"/>
  <c r="C61" i="15"/>
  <c r="C24" i="69"/>
  <c r="C20" i="69"/>
  <c r="C44" i="68"/>
  <c r="D41" i="68" s="1"/>
  <c r="F41" i="68"/>
  <c r="C26" i="68"/>
  <c r="D22" i="68" s="1"/>
  <c r="C23" i="68"/>
  <c r="C24" i="68"/>
  <c r="C25" i="68"/>
  <c r="C53" i="15"/>
  <c r="C48" i="15" s="1"/>
  <c r="C10" i="15"/>
  <c r="C5" i="15" s="1"/>
  <c r="C20" i="15"/>
  <c r="C23" i="15" s="1"/>
  <c r="C42" i="68"/>
  <c r="C26" i="69"/>
  <c r="D22" i="69" s="1"/>
  <c r="C44" i="69"/>
  <c r="D41" i="69" s="1"/>
  <c r="F41" i="69"/>
  <c r="C42" i="69"/>
  <c r="C39" i="69"/>
  <c r="C43" i="69" s="1"/>
  <c r="C31" i="67"/>
  <c r="C23" i="69"/>
  <c r="C20" i="9"/>
  <c r="C19" i="9"/>
  <c r="F41" i="67"/>
  <c r="C46" i="68" l="1"/>
  <c r="C45" i="68" s="1"/>
  <c r="C102" i="9"/>
  <c r="C21" i="9"/>
  <c r="C103" i="9"/>
  <c r="C41" i="11"/>
  <c r="C49" i="11" s="1"/>
  <c r="C51" i="11" s="1"/>
  <c r="F69" i="67"/>
  <c r="J29" i="67"/>
  <c r="C20" i="67"/>
  <c r="C23" i="67" s="1"/>
  <c r="N37" i="43"/>
  <c r="Q37" i="43"/>
  <c r="M37" i="43"/>
  <c r="P37" i="43"/>
  <c r="O37" i="43"/>
  <c r="C41" i="69"/>
  <c r="C26" i="15"/>
  <c r="C60" i="15"/>
  <c r="C59" i="15" s="1"/>
  <c r="C66" i="15"/>
  <c r="C66" i="67"/>
  <c r="C60" i="67"/>
  <c r="C59" i="67" s="1"/>
  <c r="C29" i="15"/>
  <c r="C22" i="68"/>
  <c r="C31" i="68" s="1"/>
  <c r="C25" i="69"/>
  <c r="C22" i="69" s="1"/>
  <c r="C28" i="69"/>
  <c r="C27" i="69" s="1"/>
  <c r="C22" i="11"/>
  <c r="C31" i="11" s="1"/>
  <c r="C46" i="69"/>
  <c r="C45" i="69" s="1"/>
  <c r="C38" i="15"/>
  <c r="C41" i="68"/>
  <c r="C49" i="68" l="1"/>
  <c r="C51" i="68" s="1"/>
  <c r="C52" i="68" s="1"/>
  <c r="B2" i="68" s="1"/>
  <c r="B3" i="68" s="1"/>
  <c r="C31" i="69"/>
  <c r="C52" i="11"/>
  <c r="B2" i="11" s="1"/>
  <c r="B3" i="11" s="1"/>
  <c r="C26" i="67"/>
  <c r="C29" i="67" s="1"/>
  <c r="C36" i="67" s="1"/>
  <c r="C49" i="69"/>
  <c r="C51" i="69" s="1"/>
  <c r="Q49" i="15"/>
  <c r="J14" i="15"/>
  <c r="C36" i="15"/>
  <c r="C57" i="15"/>
  <c r="C64" i="15" s="1"/>
  <c r="C13" i="15"/>
  <c r="J59" i="15"/>
  <c r="J60" i="15" s="1"/>
  <c r="C52" i="69" l="1"/>
  <c r="B2" i="69" s="1"/>
  <c r="B3" i="69" s="1"/>
  <c r="C56" i="11"/>
  <c r="C57" i="11" s="1"/>
  <c r="C57" i="67"/>
  <c r="C64" i="67" s="1"/>
  <c r="J14" i="67"/>
  <c r="C13" i="67"/>
  <c r="J59" i="67"/>
  <c r="J60" i="67" s="1"/>
  <c r="Q49" i="67"/>
  <c r="Q48" i="15"/>
  <c r="L46" i="15"/>
  <c r="J13" i="15"/>
  <c r="J23" i="15" s="1"/>
  <c r="J22" i="15"/>
  <c r="C57" i="68"/>
  <c r="C56" i="68" s="1"/>
  <c r="C75" i="15"/>
  <c r="Q70" i="15"/>
  <c r="C37" i="15"/>
  <c r="C30" i="15" s="1"/>
  <c r="C39" i="15" s="1"/>
  <c r="C56" i="15"/>
  <c r="C65" i="15" s="1"/>
  <c r="C58" i="15" s="1"/>
  <c r="C67" i="15" s="1"/>
  <c r="C68" i="15" s="1"/>
  <c r="C57" i="69"/>
  <c r="C56" i="69" s="1"/>
  <c r="Q48" i="67" l="1"/>
  <c r="L46" i="67"/>
  <c r="C56" i="67"/>
  <c r="C65" i="67" s="1"/>
  <c r="C58" i="67" s="1"/>
  <c r="C67" i="67" s="1"/>
  <c r="C68" i="67" s="1"/>
  <c r="C71" i="67" s="1"/>
  <c r="C75" i="67"/>
  <c r="Q70" i="67"/>
  <c r="C37" i="67"/>
  <c r="C30" i="67" s="1"/>
  <c r="C39" i="67" s="1"/>
  <c r="J13" i="67"/>
  <c r="J23" i="67" s="1"/>
  <c r="J22" i="67"/>
  <c r="J16" i="67" s="1"/>
  <c r="J25" i="67" s="1"/>
  <c r="J16" i="15"/>
  <c r="J25" i="15" s="1"/>
  <c r="C71" i="15"/>
  <c r="Q69" i="15"/>
  <c r="Q68" i="15" s="1"/>
  <c r="C40" i="15"/>
  <c r="C46" i="15" s="1"/>
  <c r="C80" i="15"/>
  <c r="C79" i="15" s="1"/>
  <c r="L51" i="67"/>
  <c r="L51" i="15"/>
  <c r="C80" i="67" l="1"/>
  <c r="C79" i="67" s="1"/>
  <c r="Q67" i="67"/>
  <c r="C40" i="67"/>
  <c r="Q69" i="67"/>
  <c r="Q68" i="67" s="1"/>
  <c r="H39" i="67"/>
  <c r="Q67" i="15"/>
  <c r="L57" i="15"/>
  <c r="L60" i="15" s="1"/>
  <c r="Q56" i="15"/>
  <c r="C43" i="15"/>
  <c r="Q47" i="15"/>
  <c r="Q53" i="15" s="1"/>
  <c r="Q65" i="15"/>
  <c r="B2" i="15"/>
  <c r="B3" i="15" s="1"/>
  <c r="C83" i="15"/>
  <c r="C82" i="15" s="1"/>
  <c r="Q47" i="67" l="1"/>
  <c r="Q53" i="67" s="1"/>
  <c r="C43" i="67"/>
  <c r="D2" i="67"/>
  <c r="Q56" i="67"/>
  <c r="Q62" i="67" s="1"/>
  <c r="Q65" i="67"/>
  <c r="Q75" i="67" s="1"/>
  <c r="C83" i="67"/>
  <c r="C82" i="67" s="1"/>
  <c r="C45" i="67"/>
  <c r="C46" i="67" s="1"/>
  <c r="Q66" i="15"/>
  <c r="Q75" i="15" s="1"/>
  <c r="Q57" i="15"/>
  <c r="Q62" i="15" s="1"/>
  <c r="B2" i="67" l="1"/>
  <c r="B3" i="67"/>
  <c r="D19" i="9"/>
  <c r="D20" i="9"/>
  <c r="AO6" i="1"/>
  <c r="D34" i="9"/>
  <c r="D35" i="9"/>
  <c r="D103" i="9" l="1"/>
  <c r="G20" i="9"/>
  <c r="C32" i="9" s="1"/>
  <c r="G19" i="9"/>
  <c r="G21" i="9" s="1"/>
  <c r="D102" i="9"/>
  <c r="D21" i="9"/>
  <c r="D22" i="9"/>
  <c r="B6" i="70"/>
  <c r="B2" i="70" s="1"/>
  <c r="B3" i="70" s="1"/>
  <c r="N46" i="67"/>
  <c r="I118" i="9" l="1"/>
  <c r="C35" i="9"/>
  <c r="E14" i="74"/>
  <c r="D14" i="74" s="1"/>
  <c r="G118" i="9" l="1"/>
  <c r="E118" i="9" s="1"/>
  <c r="C34" i="9"/>
  <c r="B5" i="74"/>
  <c r="G14" i="74"/>
  <c r="B6" i="74" s="1"/>
  <c r="D6" i="74" s="1"/>
  <c r="F14" i="74"/>
  <c r="C105" i="9"/>
  <c r="H102" i="9"/>
  <c r="D7" i="53" s="1"/>
  <c r="B21" i="72" s="1"/>
  <c r="I4" i="52"/>
  <c r="H118" i="9"/>
  <c r="D118" i="9" l="1"/>
  <c r="E4" i="52"/>
  <c r="B48" i="72" s="1"/>
  <c r="D5" i="74"/>
  <c r="C5" i="74"/>
  <c r="H119" i="9"/>
  <c r="H5" i="52" s="1"/>
  <c r="C104" i="9"/>
  <c r="H4" i="52"/>
  <c r="H101" i="9"/>
  <c r="F118" i="9"/>
  <c r="G4" i="52"/>
  <c r="B52" i="72" s="1"/>
  <c r="F119" i="9" l="1"/>
  <c r="F5" i="52" s="1"/>
  <c r="B53" i="72" s="1"/>
  <c r="F4" i="52"/>
  <c r="B51" i="72" s="1"/>
  <c r="D45" i="9"/>
  <c r="D5" i="53"/>
  <c r="H107" i="9"/>
  <c r="M48" i="9"/>
  <c r="D4" i="52"/>
  <c r="B47" i="72" s="1"/>
  <c r="D119" i="9"/>
  <c r="D5" i="52" s="1"/>
  <c r="B49" i="72" s="1"/>
  <c r="D6" i="53" l="1"/>
  <c r="B22" i="72" s="1"/>
  <c r="B20" i="72"/>
  <c r="C85" i="9"/>
  <c r="D53" i="9"/>
  <c r="D55" i="9"/>
  <c r="M53" i="9" s="1"/>
  <c r="C78" i="9"/>
  <c r="C73" i="9" s="1"/>
  <c r="C72" i="9"/>
  <c r="D52" i="9"/>
  <c r="C93" i="9"/>
  <c r="C86" i="9" s="1"/>
  <c r="C64" i="9"/>
  <c r="C63" i="9" s="1"/>
  <c r="C67" i="9" s="1"/>
  <c r="D122" i="9"/>
  <c r="H108" i="9"/>
  <c r="C6" i="74" s="1"/>
  <c r="D13" i="53"/>
  <c r="M49" i="9"/>
  <c r="C79" i="9" l="1"/>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C81" i="9"/>
  <c r="M69" i="9" l="1"/>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<sst xmlns="http://schemas.openxmlformats.org/spreadsheetml/2006/main" count="7939" uniqueCount="2772">
  <si>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</si>
  <si>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</si>
  <si>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</si>
  <si>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</si>
  <si>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</si>
  <si>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</si>
  <si>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</si>
  <si>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</si>
  <si>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</si>
  <si>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</si>
  <si>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</si>
  <si>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</si>
  <si>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</si>
  <si>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</si>
  <si>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</si>
  <si>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</si>
  <si>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</si>
  <si>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</si>
  <si>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</si>
  <si>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</si>
  <si>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</si>
  <si>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</si>
  <si>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</si>
  <si>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</si>
  <si>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</si>
  <si>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</si>
  <si>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</si>
  <si>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</si>
  <si>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</si>
  <si>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</si>
  <si>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</si>
  <si>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</si>
  <si>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</si>
  <si>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</si>
  <si>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</si>
  <si>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</si>
  <si>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</si>
  <si>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</si>
  <si>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</si>
  <si>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</si>
  <si>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</si>
  <si>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</si>
  <si>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</si>
  <si>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</si>
  <si>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</si>
  <si>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</si>
  <si>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</si>
  <si>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</si>
  <si>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</si>
  <si>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</si>
  <si>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</si>
  <si>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</si>
  <si>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</si>
  <si>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</si>
  <si>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</si>
  <si>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</si>
  <si>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</si>
  <si>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</si>
  <si>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</si>
  <si>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</si>
  <si>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</si>
  <si>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</si>
  <si>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</si>
  <si>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</si>
  <si>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</si>
  <si>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</si>
  <si>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</si>
  <si>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</si>
  <si>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</si>
  <si>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</si>
  <si>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</si>
  <si>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</si>
  <si>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</si>
  <si>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</si>
  <si>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</si>
  <si>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</si>
  <si>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</si>
  <si>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</si>
  <si>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</si>
  <si>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</si>
  <si>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</si>
  <si>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</si>
  <si>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</si>
  <si>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</si>
  <si>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</si>
  <si>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</si>
  <si>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</si>
  <si>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</si>
  <si>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</si>
  <si>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</si>
  <si>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</si>
  <si>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</si>
  <si>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</si>
  <si>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</si>
  <si>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</si>
  <si>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</si>
  <si>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</si>
  <si>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</si>
  <si>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</si>
  <si>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</si>
  <si>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</si>
  <si>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</si>
  <si>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</si>
  <si>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</si>
  <si>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</si>
  <si>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</si>
  <si>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</si>
  <si>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</si>
  <si>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</si>
  <si>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</si>
  <si>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</si>
  <si>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</si>
  <si>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</si>
  <si>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</si>
  <si>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</si>
  <si>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</si>
  <si>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</si>
  <si>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</si>
  <si>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</si>
  <si>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</si>
  <si>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</si>
  <si>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</si>
  <si>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</si>
  <si>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</si>
  <si>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</si>
  <si>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</si>
  <si>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</si>
  <si>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</si>
  <si>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</si>
  <si>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</si>
  <si>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</si>
  <si>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</si>
  <si>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</si>
  <si>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</si>
  <si>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</si>
  <si>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</si>
  <si>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</si>
  <si>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</si>
  <si>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</si>
  <si>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</si>
  <si>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</si>
  <si>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</si>
  <si>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</si>
  <si>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</si>
  <si>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</si>
  <si>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</si>
  <si>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</si>
  <si>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</si>
  <si>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</si>
  <si>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</si>
  <si>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</si>
  <si>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</si>
  <si>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</si>
  <si>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</si>
  <si>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</si>
  <si>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</si>
  <si>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</si>
  <si>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</si>
  <si>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</si>
  <si>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</si>
  <si>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</si>
  <si>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</si>
  <si>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</si>
  <si>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</si>
  <si>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</si>
  <si>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</si>
  <si>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</si>
  <si>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</si>
  <si>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</si>
  <si>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</si>
  <si>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</si>
  <si>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</si>
  <si>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</si>
  <si>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</si>
  <si>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</si>
  <si>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</si>
  <si>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</si>
  <si>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</si>
  <si>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</si>
  <si>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</si>
  <si>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</si>
  <si>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</si>
  <si>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</si>
  <si>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</si>
  <si>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</si>
  <si>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</si>
  <si>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</si>
  <si>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</si>
  <si>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</si>
  <si>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</si>
  <si>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</si>
  <si>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</si>
  <si>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</si>
  <si>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</si>
  <si>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</si>
  <si>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</si>
  <si>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</si>
  <si>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</si>
  <si>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</si>
  <si>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</si>
  <si>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</si>
  <si>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</si>
  <si>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</si>
  <si>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</si>
  <si>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</si>
  <si>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</si>
  <si>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</si>
  <si>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</si>
  <si>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</si>
  <si>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</si>
  <si>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</si>
  <si>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</si>
  <si>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</si>
  <si>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</si>
  <si>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</si>
  <si>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</si>
  <si>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</si>
  <si>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</si>
  <si>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</si>
  <si>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</si>
  <si>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</si>
  <si>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</si>
  <si>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</si>
  <si>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</si>
  <si>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</si>
  <si>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</si>
  <si>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</si>
  <si>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</si>
  <si>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</si>
  <si>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</si>
  <si>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</si>
  <si>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</si>
  <si>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</si>
  <si>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</si>
  <si>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</si>
  <si>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</si>
  <si>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</si>
  <si>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</si>
  <si>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</si>
  <si>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</si>
  <si>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</si>
  <si>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</si>
  <si>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</si>
  <si>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</si>
  <si>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</si>
  <si>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</si>
  <si>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</si>
  <si>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</si>
  <si>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</si>
  <si>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</si>
  <si>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</si>
  <si>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</si>
  <si>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</si>
  <si>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</si>
  <si>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</si>
  <si>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</si>
  <si>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</si>
  <si>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</si>
  <si>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</si>
  <si>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</si>
  <si>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</si>
  <si>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</si>
  <si>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</si>
  <si>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</si>
  <si>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</si>
  <si>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</si>
  <si>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</si>
  <si>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</si>
  <si>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</si>
  <si>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</si>
  <si>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</si>
  <si>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</si>
  <si>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</si>
  <si>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</si>
  <si>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</si>
  <si>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</si>
  <si>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</si>
  <si>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</si>
  <si>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</si>
  <si>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</si>
  <si>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</si>
  <si>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</si>
  <si>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</si>
  <si>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</si>
  <si>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</si>
  <si>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</si>
  <si>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</si>
  <si>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</si>
  <si>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</si>
  <si>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</si>
  <si>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</si>
  <si>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</si>
  <si>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</si>
  <si>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</si>
  <si>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</si>
  <si>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</si>
  <si>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</si>
  <si>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</si>
  <si>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</si>
  <si>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</si>
  <si>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</si>
  <si>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</si>
  <si>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</si>
  <si>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</si>
  <si>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</si>
  <si>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</si>
  <si>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</si>
  <si>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</si>
  <si>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</si>
  <si>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</si>
  <si>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</si>
  <si>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</si>
  <si>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</si>
  <si>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</si>
  <si>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</si>
  <si>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</si>
  <si>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</si>
  <si>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</si>
  <si>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</si>
  <si>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</si>
  <si>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</si>
  <si>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</si>
  <si>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</si>
  <si>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</si>
  <si>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</si>
  <si>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</si>
  <si>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</si>
  <si>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</si>
  <si>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</si>
  <si>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</si>
  <si>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</si>
  <si>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</si>
  <si>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</si>
  <si>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</si>
  <si>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</si>
  <si>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</si>
  <si>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</si>
  <si>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</si>
  <si>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</si>
  <si>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</si>
  <si>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</si>
  <si>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</si>
  <si>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</si>
  <si>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</si>
  <si>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</si>
  <si>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</si>
  <si>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</si>
  <si>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</si>
  <si>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</si>
  <si>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</si>
  <si>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</si>
  <si>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</si>
  <si>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</si>
  <si>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</si>
  <si>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</si>
  <si>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</si>
  <si>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</si>
  <si>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</si>
  <si>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</si>
  <si>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</si>
  <si>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</si>
  <si>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</si>
  <si>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</si>
  <si>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</si>
  <si>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</si>
  <si>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</si>
  <si>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</si>
  <si>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</si>
  <si>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</si>
  <si>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</si>
  <si>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</si>
  <si>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</si>
  <si>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</si>
  <si>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</si>
  <si>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</si>
  <si>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</si>
  <si>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</si>
  <si>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</si>
  <si>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</si>
  <si>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</si>
  <si>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</si>
  <si>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</si>
  <si>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</si>
  <si>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</si>
  <si>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</si>
  <si>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</si>
  <si>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</si>
  <si>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</si>
  <si>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</si>
  <si>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</si>
  <si>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</si>
  <si>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</si>
  <si>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</si>
  <si>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</si>
  <si>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</si>
  <si>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</si>
  <si>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</si>
  <si>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</si>
  <si>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</si>
  <si>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</si>
  <si>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</si>
  <si>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</si>
  <si>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</si>
  <si>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</si>
  <si>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</si>
  <si>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</si>
  <si>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</si>
  <si>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</si>
  <si>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</si>
  <si>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</si>
  <si>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</si>
  <si>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</si>
  <si>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</si>
  <si>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</si>
  <si>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</si>
  <si>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</si>
  <si>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</si>
  <si>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</si>
  <si>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</si>
  <si>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</si>
  <si>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</si>
  <si>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</si>
  <si>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</si>
  <si>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</si>
  <si>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</si>
  <si>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</si>
  <si>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</si>
  <si>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</si>
  <si>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</si>
  <si>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</si>
  <si>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</si>
  <si>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</si>
  <si>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</si>
  <si>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</si>
  <si>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</si>
  <si>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</si>
  <si>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</si>
  <si>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</si>
  <si>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</si>
  <si>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</si>
  <si>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</si>
  <si>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</si>
  <si>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</si>
  <si>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</si>
  <si>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</si>
  <si>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</si>
  <si>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</si>
  <si>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</si>
  <si>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</si>
  <si>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</si>
  <si>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</si>
  <si>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</si>
  <si>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</si>
  <si>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</si>
  <si>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</si>
  <si>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</si>
  <si>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</si>
  <si>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</si>
  <si>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</si>
  <si>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</si>
  <si>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</si>
  <si>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</si>
  <si>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</si>
  <si>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</si>
  <si>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</si>
  <si>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</si>
  <si>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</si>
  <si>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</si>
  <si>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</si>
  <si>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</si>
  <si>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</si>
  <si>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</si>
  <si>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</si>
  <si>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</si>
  <si>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</si>
  <si>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</si>
  <si>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</si>
  <si>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</si>
  <si>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</si>
  <si>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</si>
  <si>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</si>
  <si>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</si>
  <si>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</si>
  <si>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</si>
  <si>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</si>
  <si>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</si>
  <si>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</si>
  <si>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</si>
  <si>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</si>
  <si>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</si>
  <si>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</si>
  <si>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</si>
  <si>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</si>
  <si>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</si>
  <si>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</si>
  <si>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</si>
  <si>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</si>
  <si>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</si>
  <si>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</si>
  <si>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</si>
  <si>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</si>
  <si>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</si>
  <si>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</si>
  <si>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</si>
  <si>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</si>
  <si>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</si>
  <si>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</si>
  <si>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</si>
  <si>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</si>
  <si>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</si>
  <si>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</si>
  <si>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</si>
  <si>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</si>
  <si>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</si>
  <si>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</si>
  <si>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</si>
  <si>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</si>
  <si>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</si>
  <si>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</si>
  <si>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</si>
  <si>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</si>
  <si>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</si>
  <si>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</si>
  <si>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</si>
  <si>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</si>
  <si>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</si>
  <si>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</si>
  <si>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</si>
  <si>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</si>
  <si>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</si>
  <si>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</si>
  <si>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</si>
  <si>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</si>
  <si>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</si>
  <si>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</si>
  <si>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</si>
  <si>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</si>
  <si>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</si>
  <si>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</si>
  <si>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</si>
  <si>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</si>
  <si>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</si>
  <si>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</si>
  <si>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</si>
  <si>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</si>
  <si>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</si>
  <si>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</si>
  <si>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</si>
  <si>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</si>
  <si>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</si>
  <si>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</si>
  <si>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</si>
  <si>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</si>
  <si>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</si>
  <si>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</si>
  <si>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</si>
  <si>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</si>
  <si>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</si>
  <si>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</si>
  <si>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</si>
  <si>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</si>
  <si>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</si>
  <si>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</si>
  <si>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</si>
  <si>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</si>
  <si>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</si>
  <si>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</si>
  <si>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</si>
  <si>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</si>
  <si>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</si>
  <si>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</si>
  <si>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</si>
  <si>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</si>
  <si>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</si>
  <si>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</si>
  <si>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</si>
  <si>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</si>
  <si>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</si>
  <si>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</si>
  <si>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</si>
  <si>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</si>
  <si>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</si>
  <si>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</si>
  <si>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</si>
  <si>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</si>
  <si>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</si>
  <si>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</si>
  <si>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</si>
  <si>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</si>
  <si>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</si>
  <si>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</si>
  <si>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</si>
  <si>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</si>
  <si>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</si>
  <si>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</si>
  <si>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</si>
  <si>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</si>
  <si>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</si>
  <si>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</si>
  <si>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</si>
  <si>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</si>
  <si>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</si>
  <si>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</si>
  <si>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</si>
  <si>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</si>
  <si>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</si>
  <si>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</si>
  <si>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</si>
  <si>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</si>
  <si>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</si>
  <si>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</si>
  <si>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</si>
  <si>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</si>
  <si>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</si>
  <si>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</si>
  <si>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</si>
  <si>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</si>
  <si>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</si>
  <si>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</si>
  <si>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</si>
  <si>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</si>
  <si>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</si>
  <si>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</si>
  <si>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</si>
  <si>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</si>
  <si>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</si>
  <si>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</si>
  <si>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</si>
  <si>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</si>
  <si>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</si>
  <si>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</si>
  <si>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</si>
  <si>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</si>
  <si>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</si>
  <si>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</si>
  <si>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</si>
  <si>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</si>
  <si>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</si>
  <si>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</si>
  <si>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</si>
  <si>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</si>
  <si>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</si>
  <si>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</si>
  <si>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</si>
  <si>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</si>
  <si>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</si>
  <si>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</si>
  <si>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</si>
  <si>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</si>
  <si>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</si>
  <si>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</si>
  <si>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</si>
  <si>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</si>
  <si>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</si>
  <si>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</si>
  <si>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</si>
  <si>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</si>
  <si>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</si>
  <si>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</si>
  <si>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</si>
  <si>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</si>
  <si>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</si>
  <si>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</si>
  <si>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</si>
  <si>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</si>
  <si>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</si>
  <si>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</si>
  <si>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</si>
  <si>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</si>
  <si>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</si>
  <si>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</si>
  <si>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</si>
  <si>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</si>
  <si>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</si>
  <si>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</si>
  <si>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</si>
  <si>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</si>
  <si>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</si>
  <si>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</si>
  <si>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</si>
  <si>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</si>
  <si>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</si>
  <si>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</si>
  <si>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</si>
  <si>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</si>
  <si>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</si>
  <si>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</si>
  <si>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</si>
  <si>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</si>
  <si>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</si>
  <si>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</si>
  <si>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</si>
  <si>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</si>
  <si>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</si>
  <si>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</si>
  <si>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</si>
  <si>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</si>
  <si>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</si>
  <si>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</si>
  <si>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</si>
  <si>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</si>
  <si>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</si>
  <si>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</si>
  <si>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</si>
  <si>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</si>
  <si>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</si>
  <si>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</si>
  <si>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</si>
  <si>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</si>
  <si>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</si>
  <si>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</si>
  <si>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</si>
  <si>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</si>
  <si>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</si>
  <si>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</si>
  <si>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</si>
  <si>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</si>
  <si>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</si>
  <si>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</si>
  <si>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</si>
  <si>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</si>
  <si>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</si>
  <si>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</si>
  <si>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</si>
  <si>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</si>
  <si>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</si>
  <si>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</si>
  <si>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</si>
  <si>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</si>
  <si>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</si>
  <si>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</si>
  <si>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</si>
  <si>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</si>
  <si>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</si>
  <si>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</si>
  <si>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</si>
  <si>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</si>
  <si>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</si>
  <si>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</si>
  <si>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</si>
  <si>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</si>
  <si>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</si>
  <si>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</si>
  <si>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</si>
  <si>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</si>
  <si>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</si>
  <si>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</si>
  <si>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</si>
  <si>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</si>
  <si>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</si>
  <si>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</si>
  <si>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</si>
  <si>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</si>
  <si>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</si>
  <si>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</si>
  <si>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</si>
  <si>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</si>
  <si>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</si>
  <si>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</si>
  <si>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</si>
  <si>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</si>
  <si>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</si>
  <si>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</si>
  <si>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</si>
  <si>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</si>
  <si>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</si>
  <si>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</si>
  <si>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</si>
  <si>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</si>
  <si>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</si>
  <si>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</si>
  <si>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</si>
  <si>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</si>
  <si>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</si>
  <si>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</si>
  <si>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</si>
  <si>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</si>
  <si>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</si>
  <si>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</si>
  <si>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</si>
  <si>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</si>
  <si>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</si>
  <si>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</si>
  <si>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</si>
  <si>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</si>
  <si>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</si>
  <si>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</si>
  <si>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</si>
  <si>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</si>
  <si>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</si>
  <si>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</si>
  <si>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</si>
  <si>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</si>
  <si>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</si>
  <si>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</si>
  <si>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</si>
  <si>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</si>
  <si>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</si>
  <si>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</si>
  <si>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</si>
  <si>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</si>
  <si>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</si>
  <si>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</si>
  <si>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</si>
  <si>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</si>
  <si>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</si>
  <si>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</si>
  <si>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</si>
  <si>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</si>
  <si>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</si>
  <si>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</si>
  <si>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</si>
  <si>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</si>
  <si>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</si>
  <si>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</si>
  <si>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</si>
  <si>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</si>
  <si>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</si>
  <si>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</si>
  <si>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</si>
  <si>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</si>
  <si>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</si>
  <si>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</si>
  <si>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</si>
  <si>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</si>
  <si>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</si>
  <si>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</si>
  <si>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</si>
  <si>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</si>
  <si>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</si>
  <si>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</si>
  <si>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</si>
  <si>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</si>
  <si>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</si>
  <si>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</si>
  <si>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</si>
  <si>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</si>
  <si>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</si>
  <si>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</si>
  <si>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</si>
  <si>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</si>
  <si>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</si>
  <si>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</si>
  <si>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</si>
  <si>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</si>
  <si>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</si>
  <si>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</si>
  <si>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</si>
  <si>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</si>
  <si>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</si>
  <si>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</si>
  <si>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</si>
  <si>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</si>
  <si>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</si>
  <si>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</si>
  <si>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</si>
  <si>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</si>
  <si>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</si>
  <si>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</si>
  <si>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</si>
  <si>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</si>
  <si>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</si>
  <si>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</si>
  <si>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</si>
  <si>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</si>
  <si>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</si>
  <si>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</si>
  <si>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</si>
  <si>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</si>
  <si>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</si>
  <si>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</si>
  <si>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</si>
  <si>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</si>
  <si>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</si>
  <si>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</si>
  <si>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</si>
  <si>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</si>
  <si>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</si>
  <si>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</si>
  <si>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</si>
  <si>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</si>
  <si>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</si>
  <si>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</si>
  <si>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</si>
  <si>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</si>
  <si>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</si>
  <si>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</si>
  <si>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</si>
  <si>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</si>
  <si>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</si>
  <si>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</si>
  <si>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</si>
  <si>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</si>
  <si>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</si>
  <si>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</si>
  <si>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</si>
  <si>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</si>
  <si>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</si>
  <si>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</si>
  <si>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</si>
  <si>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</si>
  <si>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</si>
  <si>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</si>
  <si>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</si>
  <si>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</si>
  <si>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</si>
  <si>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</si>
  <si>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</si>
  <si>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</si>
  <si>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</si>
  <si>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</si>
  <si>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</si>
  <si>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</si>
  <si>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</si>
  <si>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</si>
  <si>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</si>
  <si>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</si>
  <si>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</si>
  <si>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</si>
  <si>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</si>
  <si>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</si>
  <si>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</si>
  <si>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</si>
  <si>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</si>
  <si>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</si>
  <si>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</si>
  <si>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</si>
  <si>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</si>
  <si>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</si>
  <si>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</si>
  <si>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</si>
  <si>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</si>
  <si>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</si>
  <si>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</si>
  <si>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</si>
  <si>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</si>
  <si>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</si>
  <si>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</si>
  <si>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</si>
  <si>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</si>
  <si>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</si>
  <si>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</si>
  <si>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</si>
  <si>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</si>
  <si>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</si>
  <si>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</si>
  <si>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</si>
  <si>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</si>
  <si>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</si>
  <si>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</si>
  <si>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</si>
  <si>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</si>
  <si>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</si>
  <si>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</si>
  <si>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</si>
  <si>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</si>
  <si>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</si>
  <si>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</si>
  <si>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</si>
  <si>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</si>
  <si>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</si>
  <si>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</si>
  <si>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</si>
  <si>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</si>
  <si>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</si>
  <si>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</si>
  <si>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</si>
  <si>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</si>
  <si>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</si>
  <si>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</si>
  <si>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</si>
  <si>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</si>
  <si>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</si>
  <si>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</si>
  <si>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</si>
  <si>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</si>
  <si>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</si>
  <si>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</si>
  <si>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</si>
  <si>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</si>
  <si>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</si>
  <si>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</si>
  <si>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</si>
  <si>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</si>
  <si>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</si>
  <si>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</si>
  <si>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</si>
  <si>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</si>
  <si>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</si>
  <si>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</si>
  <si>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</si>
  <si>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</si>
  <si>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</si>
  <si>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</si>
  <si>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</si>
  <si>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</si>
  <si>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</si>
  <si>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</si>
  <si>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</si>
  <si>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</si>
  <si>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</si>
  <si>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</si>
  <si>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</si>
  <si>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</si>
  <si>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</si>
  <si>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</si>
  <si>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</si>
  <si>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</si>
  <si>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</si>
  <si>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</si>
  <si>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</si>
  <si>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</si>
  <si>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</si>
  <si>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</si>
  <si>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</si>
  <si>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</si>
  <si>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</si>
  <si>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</si>
  <si>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</si>
  <si>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</si>
  <si>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</si>
  <si>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</si>
  <si>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</si>
  <si>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</si>
  <si>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</si>
  <si>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</si>
  <si>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</si>
  <si>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</si>
  <si>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</si>
  <si>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</si>
  <si>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</si>
  <si>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</si>
  <si>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</si>
  <si>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</si>
  <si>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</si>
  <si>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</si>
  <si>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</si>
  <si>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</si>
  <si>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</si>
  <si>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</si>
  <si>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</si>
  <si>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</si>
  <si>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</si>
  <si>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</si>
  <si>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</si>
  <si>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</si>
  <si>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</si>
  <si>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</si>
  <si>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</si>
  <si>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</si>
  <si>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</si>
  <si>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</si>
  <si>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</si>
  <si>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</si>
  <si>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</si>
  <si>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</si>
  <si>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</si>
  <si>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</si>
  <si>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</si>
  <si>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</si>
  <si>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</si>
  <si>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</si>
  <si>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</si>
  <si>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</si>
  <si>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</si>
  <si>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</si>
  <si>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</si>
  <si>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</si>
  <si>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</si>
  <si>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</si>
  <si>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</si>
  <si>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</si>
  <si>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</si>
  <si>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</si>
  <si>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</si>
  <si>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</si>
  <si>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</si>
  <si>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</si>
  <si>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</si>
  <si>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</si>
  <si>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</si>
  <si>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</si>
  <si>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</si>
  <si>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</si>
  <si>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</si>
  <si>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</si>
  <si>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</si>
  <si>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</si>
  <si>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</si>
  <si>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</si>
  <si>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</si>
  <si>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</si>
  <si>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</si>
  <si>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</si>
  <si>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</si>
  <si>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</si>
  <si>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</si>
  <si>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</si>
  <si>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</si>
  <si>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</si>
  <si>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</si>
  <si>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</si>
  <si>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</si>
  <si>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</si>
  <si>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</si>
  <si>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</si>
  <si>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</si>
  <si>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</si>
  <si>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</si>
  <si>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</si>
  <si>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</si>
  <si>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</si>
  <si>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</si>
  <si>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</si>
  <si>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</si>
  <si>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</si>
  <si>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</si>
  <si>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</si>
  <si>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</si>
  <si>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</si>
  <si>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</si>
  <si>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</si>
  <si>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</si>
  <si>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</si>
  <si>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</si>
  <si>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</si>
  <si>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</si>
  <si>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</si>
  <si>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</si>
  <si>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</si>
  <si>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</si>
  <si>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</si>
  <si>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</si>
  <si>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</si>
  <si>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</si>
  <si>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</si>
  <si>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</si>
  <si>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</si>
  <si>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</si>
  <si>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</si>
  <si>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</si>
  <si>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</si>
  <si>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</si>
  <si>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</si>
  <si>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</si>
  <si>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</si>
  <si>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</si>
  <si>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</si>
  <si>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</si>
  <si>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</si>
  <si>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</si>
  <si>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</si>
  <si>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</si>
  <si>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</si>
  <si>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</si>
  <si>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</si>
  <si>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</si>
  <si>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</si>
  <si>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</si>
  <si>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</si>
  <si>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</si>
  <si>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</si>
  <si>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</si>
  <si>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</si>
  <si>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</si>
  <si>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</si>
  <si>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</si>
  <si>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</si>
  <si>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</si>
  <si>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</si>
  <si>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</si>
  <si>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</si>
  <si>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</si>
  <si>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</si>
  <si>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</si>
  <si>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</si>
  <si>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</si>
  <si>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</si>
  <si>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</si>
  <si>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</si>
  <si>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</si>
  <si>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</si>
  <si>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</si>
  <si>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</si>
  <si>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</si>
  <si>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</si>
  <si>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</si>
  <si>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</si>
  <si>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</si>
  <si>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</si>
  <si>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</si>
  <si>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</si>
  <si>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</si>
  <si>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</si>
  <si>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</si>
  <si>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</si>
  <si>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</si>
  <si>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</si>
  <si>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</si>
  <si>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</si>
  <si>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</si>
  <si>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</si>
  <si>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</si>
  <si>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</si>
  <si>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</si>
  <si>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</si>
  <si>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</si>
  <si>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</si>
  <si>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</si>
  <si>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</si>
  <si>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</si>
  <si>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</si>
  <si>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</si>
  <si>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</si>
  <si>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</si>
  <si>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</si>
  <si>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</si>
  <si>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</si>
  <si>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</si>
  <si>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</si>
  <si>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</si>
  <si>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</si>
  <si>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</si>
  <si>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</si>
  <si>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</si>
  <si>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</si>
  <si>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</si>
  <si>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</si>
  <si>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</si>
  <si>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</si>
  <si>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</si>
  <si>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</si>
  <si>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</si>
  <si>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</si>
  <si>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</si>
  <si>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</si>
  <si>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</si>
  <si>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</si>
  <si>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</si>
  <si>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</si>
  <si>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</si>
  <si>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</si>
  <si>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</si>
  <si>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</si>
  <si>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</si>
  <si>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</si>
  <si>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</si>
  <si>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</si>
  <si>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</si>
  <si>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</si>
  <si>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</si>
  <si>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</si>
  <si>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</si>
  <si>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</si>
  <si>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</si>
  <si>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</si>
  <si>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</si>
  <si>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</si>
  <si>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</si>
  <si>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</si>
  <si>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</si>
  <si>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</si>
  <si>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</si>
  <si>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</si>
  <si>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</si>
  <si>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</si>
  <si>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</si>
  <si>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</si>
  <si>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</si>
  <si>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</si>
  <si>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</si>
  <si>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</si>
  <si>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</si>
  <si>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</si>
  <si>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</si>
  <si>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</si>
  <si>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</si>
  <si>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</si>
  <si>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</si>
  <si>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</si>
  <si>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</si>
  <si>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</si>
  <si>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</si>
  <si>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</si>
  <si>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</si>
  <si>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</si>
  <si>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</si>
  <si>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</si>
  <si>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</si>
  <si>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</si>
  <si>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</si>
  <si>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</si>
  <si>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</si>
  <si>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</si>
  <si>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</si>
  <si>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</si>
  <si>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</si>
  <si>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</si>
  <si>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</si>
  <si>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</si>
  <si>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</si>
  <si>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</si>
  <si>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</si>
  <si>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</si>
  <si>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</si>
  <si>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</si>
  <si>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</si>
  <si>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</si>
  <si>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</si>
  <si>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</si>
  <si>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</si>
  <si>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</si>
  <si>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</si>
  <si>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</si>
  <si>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</si>
  <si>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</si>
  <si>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</si>
  <si>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</si>
  <si>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</si>
  <si>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</si>
  <si>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</si>
  <si>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</si>
  <si>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</si>
  <si>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</si>
  <si>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</si>
  <si>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</si>
  <si>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</si>
  <si>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</si>
  <si>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</si>
  <si>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</si>
  <si>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</si>
  <si>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</si>
  <si>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</si>
  <si>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</si>
  <si>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</si>
  <si>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</si>
  <si>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</si>
  <si>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</si>
  <si>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</si>
  <si>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</si>
  <si>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</si>
  <si>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</si>
  <si>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</si>
  <si>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</si>
  <si>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</si>
  <si>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</si>
  <si>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</si>
  <si>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</si>
  <si>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</si>
  <si>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</si>
  <si>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</si>
  <si>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</si>
  <si>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</si>
  <si>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</si>
  <si>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</si>
  <si>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</si>
  <si>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</si>
  <si>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</si>
  <si>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</si>
  <si>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</si>
  <si>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</si>
  <si>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</si>
  <si>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</si>
  <si>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</si>
  <si>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</si>
  <si>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</si>
  <si>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</si>
  <si>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</si>
  <si>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</si>
  <si>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</si>
  <si>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</si>
  <si>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</si>
  <si>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</si>
  <si>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</si>
  <si>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</si>
  <si>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</si>
  <si>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</si>
  <si>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</si>
  <si>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</si>
  <si>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</si>
  <si>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</si>
  <si>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</si>
  <si>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</si>
  <si>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</si>
  <si>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</si>
  <si>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</si>
  <si>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</si>
  <si>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</si>
  <si>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</si>
  <si>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</si>
  <si>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</si>
  <si>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</si>
  <si>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</si>
  <si>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</si>
  <si>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</si>
  <si>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</si>
  <si>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</si>
  <si>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</si>
  <si>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</si>
  <si>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</si>
  <si>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</si>
  <si>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</si>
  <si>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</si>
  <si>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</si>
  <si>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</si>
  <si>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</si>
  <si>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</si>
  <si>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</si>
  <si>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</si>
  <si>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</si>
  <si>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</si>
  <si>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</si>
  <si>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</si>
  <si>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</si>
  <si>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</si>
  <si>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</si>
  <si>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</si>
  <si>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</si>
  <si>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</si>
  <si>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</si>
  <si>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</si>
  <si>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</si>
  <si>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</si>
  <si>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</si>
  <si>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</si>
  <si>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</si>
  <si>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</si>
  <si>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</si>
  <si>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</si>
  <si>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</si>
  <si>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</si>
  <si>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</si>
  <si>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</si>
  <si>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</si>
  <si>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</si>
  <si>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</si>
  <si>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</si>
  <si>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</si>
  <si>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</si>
  <si>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</si>
  <si>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</si>
  <si>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</si>
  <si>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</si>
  <si>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</si>
  <si>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</si>
  <si>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</si>
  <si>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</si>
  <si>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</si>
  <si>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</si>
  <si>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</si>
  <si>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</si>
  <si>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</si>
  <si>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</si>
  <si>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</si>
  <si>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</si>
  <si>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</si>
  <si>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</si>
  <si>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</si>
  <si>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</si>
  <si>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</si>
  <si>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</si>
  <si>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</si>
  <si>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</si>
  <si>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</si>
  <si>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</si>
  <si>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</si>
  <si>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</si>
  <si>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</si>
  <si>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</si>
  <si>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</si>
  <si>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</si>
  <si>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</si>
  <si>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</si>
  <si>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</si>
  <si>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</si>
  <si>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</si>
  <si>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</si>
  <si>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</si>
  <si>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</si>
  <si>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</si>
  <si>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</si>
  <si>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</si>
  <si>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</si>
  <si>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</si>
  <si>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</si>
  <si>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</si>
  <si>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</si>
  <si>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</si>
  <si>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</si>
  <si>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</si>
  <si>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</si>
  <si>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</si>
  <si>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</si>
  <si>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</si>
  <si>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</si>
  <si>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</si>
  <si>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</si>
  <si>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</si>
  <si>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</si>
  <si>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</si>
  <si>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</si>
  <si>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</si>
  <si>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</si>
  <si>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</si>
  <si>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</si>
  <si>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</si>
  <si>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</si>
  <si>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</si>
  <si>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</si>
  <si>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</si>
  <si>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</si>
  <si>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</si>
  <si>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</si>
  <si>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</si>
  <si>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</si>
  <si>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</si>
  <si>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</si>
  <si>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</si>
  <si>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</si>
  <si>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</si>
  <si>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</si>
  <si>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</si>
  <si>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</si>
  <si>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</si>
  <si>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</si>
  <si>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</si>
  <si>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</si>
  <si>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</si>
  <si>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</si>
  <si>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</si>
  <si>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</si>
  <si>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</si>
  <si>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</si>
  <si>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</si>
  <si>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</si>
  <si>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</si>
  <si>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</si>
  <si>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</si>
  <si>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</si>
  <si>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</si>
  <si>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</si>
  <si>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</si>
  <si>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</si>
  <si>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</si>
  <si>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</si>
  <si>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</si>
  <si>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</si>
  <si>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</si>
  <si>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</si>
  <si>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</si>
  <si>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</si>
  <si>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</si>
  <si>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</si>
  <si>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</si>
  <si>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</si>
  <si>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</si>
  <si>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</si>
  <si>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</si>
  <si>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</si>
  <si>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</si>
  <si>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</si>
  <si>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</si>
  <si>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</si>
  <si>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</si>
  <si>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</si>
  <si>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</si>
  <si>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</si>
  <si>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</si>
  <si>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</si>
  <si>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</si>
  <si>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</si>
  <si>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</si>
  <si>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</si>
  <si>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</si>
  <si>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</si>
  <si>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</si>
  <si>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</si>
  <si>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</si>
  <si>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</si>
  <si>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</si>
  <si>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</si>
  <si>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</si>
  <si>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</si>
  <si>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</si>
  <si>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</si>
  <si>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</si>
  <si>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</si>
  <si>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</si>
  <si>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</si>
  <si>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</si>
  <si>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</si>
  <si>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</si>
  <si>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</si>
  <si>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</si>
  <si>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</si>
  <si>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</si>
  <si>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</si>
  <si>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</si>
  <si>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</si>
  <si>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</si>
  <si>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</si>
  <si>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</si>
  <si>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</si>
  <si>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</si>
  <si>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泰达科技园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</si>
  <si>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</si>
  <si>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</si>
  <si>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</si>
  <si>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</si>
  <si>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</si>
  <si>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</si>
  <si>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</si>
  <si>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</si>
  <si>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</si>
  <si>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</si>
  <si>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</si>
  <si>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</si>
  <si>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</si>
  <si>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</si>
  <si>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</si>
  <si>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</si>
  <si>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</si>
  <si>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</si>
  <si>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</si>
  <si>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</si>
  <si>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</si>
  <si>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</si>
  <si>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</si>
  <si>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</si>
  <si>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</si>
  <si>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</si>
  <si>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</si>
  <si>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</si>
  <si>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</si>
  <si>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</si>
  <si>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</si>
  <si>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</si>
  <si>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</si>
  <si>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</si>
  <si>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</si>
  <si>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</si>
  <si>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</si>
  <si>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</si>
  <si>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</si>
  <si>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</si>
  <si>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</si>
  <si>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</si>
  <si>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</si>
  <si>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</si>
  <si>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</si>
  <si>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</si>
  <si>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</si>
  <si>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</si>
  <si>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</si>
  <si>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</si>
  <si>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</si>
  <si>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</si>
  <si>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</si>
  <si>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</si>
  <si>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</si>
  <si>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</si>
  <si>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</si>
  <si>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</si>
  <si>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</si>
  <si>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</si>
  <si>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</si>
  <si>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</si>
  <si>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</si>
  <si>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</si>
  <si>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</si>
  <si>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</si>
  <si>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</si>
  <si>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</si>
  <si>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</si>
  <si>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</si>
  <si>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</si>
  <si>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</si>
  <si>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</si>
  <si>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</si>
  <si>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</si>
  <si>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</si>
  <si>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</si>
  <si>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</si>
  <si>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</si>
  <si>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</si>
  <si>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</si>
  <si>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</si>
  <si>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</si>
  <si>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</si>
  <si>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</si>
  <si>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</si>
  <si>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</si>
  <si>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</si>
  <si>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</si>
  <si>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</si>
  <si>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</si>
  <si>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</si>
  <si>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</si>
  <si>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</si>
  <si>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</si>
  <si>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</si>
  <si>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</si>
  <si>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</si>
  <si>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</si>
  <si>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</si>
  <si>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</si>
  <si>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</si>
  <si>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</si>
  <si>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</si>
  <si>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</si>
  <si>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</si>
  <si>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</si>
  <si>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</si>
  <si>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</si>
  <si>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</si>
  <si>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</si>
  <si>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</si>
  <si>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</si>
  <si>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</si>
  <si>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</si>
  <si>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</si>
  <si>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</si>
  <si>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</si>
  <si>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</si>
  <si>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</si>
  <si>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</si>
  <si>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</si>
  <si>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</si>
  <si>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</si>
  <si>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</si>
  <si>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</si>
  <si>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</si>
  <si>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</si>
  <si>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</si>
  <si>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</si>
  <si>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</si>
  <si>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</si>
  <si>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</si>
  <si>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</si>
  <si>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</si>
  <si>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</si>
  <si>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</si>
  <si>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</si>
  <si>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</si>
  <si>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</si>
  <si>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</si>
  <si>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</si>
  <si>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</si>
  <si>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</si>
  <si>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</si>
  <si>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</si>
  <si>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</si>
  <si>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</si>
  <si>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</si>
  <si>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</si>
  <si>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</si>
  <si>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</si>
  <si>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</si>
  <si>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</si>
  <si>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</si>
  <si>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</si>
  <si>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</si>
  <si>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</si>
  <si>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</si>
  <si>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</si>
  <si>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</si>
  <si>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</si>
  <si>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</si>
  <si>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</si>
  <si>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</si>
  <si>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</si>
  <si>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</si>
  <si>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</si>
  <si>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</si>
  <si>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</si>
  <si>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</si>
  <si>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</si>
  <si>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</si>
  <si>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</si>
  <si>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</si>
  <si>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</si>
  <si>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</si>
  <si>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</si>
  <si>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</si>
  <si>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</si>
  <si>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</si>
  <si>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</si>
  <si>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</si>
  <si>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</si>
  <si>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</si>
  <si>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</si>
  <si>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</si>
  <si>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</si>
  <si>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</si>
  <si>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</si>
  <si>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</si>
  <si>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</si>
  <si>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</si>
  <si>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</si>
  <si>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</si>
  <si>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</si>
  <si>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</si>
  <si>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</si>
  <si>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</si>
  <si>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</si>
  <si>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</si>
  <si>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</si>
  <si>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</si>
  <si>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</si>
  <si>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</si>
  <si>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</si>
  <si>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</si>
  <si>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</si>
  <si>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</si>
  <si>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</si>
  <si>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</si>
  <si>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</si>
  <si>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</si>
  <si>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</si>
  <si>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</si>
  <si>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</si>
  <si>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</si>
  <si>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</si>
  <si>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</si>
  <si>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</si>
  <si>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</si>
  <si>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</si>
  <si>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</si>
  <si>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</si>
  <si>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</si>
  <si>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</si>
  <si>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</si>
  <si>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</si>
  <si>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</si>
  <si>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</si>
  <si>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</si>
  <si>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</si>
  <si>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</si>
  <si>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</si>
  <si>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</si>
  <si>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</si>
  <si>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</si>
  <si>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</si>
  <si>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</si>
  <si>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</si>
  <si>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</si>
  <si>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</si>
  <si>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</si>
  <si>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</si>
  <si>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</si>
  <si>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</si>
  <si>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</si>
  <si>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</si>
  <si>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</si>
  <si>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</si>
  <si>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</si>
  <si>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</si>
  <si>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</si>
  <si>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</si>
  <si>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</si>
  <si>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</si>
  <si>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</si>
  <si>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</si>
  <si>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</si>
  <si>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</si>
  <si>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</si>
  <si>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</si>
  <si>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</si>
  <si>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</si>
  <si>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</si>
  <si>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</si>
  <si>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</si>
  <si>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</si>
  <si>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</si>
  <si>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</si>
  <si>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</si>
  <si>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</si>
  <si>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</si>
  <si>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</si>
  <si>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</si>
  <si>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</si>
  <si>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</si>
  <si>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</si>
  <si>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</si>
  <si>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</si>
  <si>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</si>
  <si>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</si>
  <si>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</si>
  <si>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</si>
  <si>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</si>
  <si>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</si>
  <si>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</si>
  <si>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</si>
  <si>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</si>
  <si>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</si>
  <si>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</si>
  <si>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</si>
  <si>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</si>
  <si>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</si>
  <si>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</si>
  <si>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</si>
  <si>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</si>
  <si>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</si>
  <si>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</si>
  <si>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</si>
  <si>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</si>
  <si>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</si>
  <si>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</si>
  <si>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</si>
  <si>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</si>
  <si>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</si>
  <si>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</si>
  <si>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</si>
  <si>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</si>
  <si>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</si>
  <si>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</si>
  <si>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</si>
  <si>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</si>
  <si>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</si>
  <si>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</si>
  <si>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</si>
  <si>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</si>
  <si>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</si>
  <si>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</si>
  <si>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</si>
  <si>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</si>
  <si>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</si>
  <si>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</si>
  <si>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</si>
  <si>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</si>
  <si>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</si>
  <si>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</si>
  <si>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</si>
  <si>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</si>
  <si>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</si>
  <si>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</si>
  <si>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</si>
  <si>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</si>
  <si>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</si>
  <si>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</si>
  <si>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</si>
  <si>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</si>
  <si>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</si>
  <si>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</si>
  <si>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</si>
  <si>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</si>
  <si>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</si>
  <si>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</si>
  <si>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</si>
  <si>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</si>
  <si>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</si>
  <si>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</si>
  <si>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</si>
  <si>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</si>
  <si>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</si>
  <si>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</si>
  <si>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</si>
  <si>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</si>
  <si>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</si>
  <si>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</si>
  <si>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</si>
  <si>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</si>
  <si>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</si>
  <si>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</si>
  <si>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</si>
  <si>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</si>
  <si>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</si>
  <si>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</si>
  <si>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</si>
  <si>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</si>
  <si>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</si>
  <si>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</si>
  <si>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</si>
  <si>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</si>
  <si>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</si>
  <si>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</si>
  <si>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</si>
  <si>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</si>
  <si>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</si>
  <si>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</si>
  <si>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</si>
  <si>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</si>
  <si>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</si>
  <si>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</si>
  <si>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</si>
  <si>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</si>
  <si>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</si>
  <si>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</si>
  <si>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</si>
  <si>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</si>
  <si>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</si>
  <si>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</si>
  <si>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</si>
  <si>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</si>
  <si>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</si>
  <si>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</si>
  <si>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</si>
  <si>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</si>
  <si>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</si>
  <si>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</si>
  <si>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</si>
  <si>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</si>
  <si>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</si>
  <si>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</si>
  <si>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</si>
  <si>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</si>
  <si>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</si>
  <si>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</si>
  <si>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</si>
  <si>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</si>
  <si>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</si>
  <si>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</si>
  <si>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</si>
  <si>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</si>
  <si>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</si>
  <si>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</si>
  <si>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</si>
  <si>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</si>
  <si>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</si>
  <si>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</si>
  <si>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</si>
  <si>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</si>
  <si>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</si>
  <si>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</si>
  <si>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</si>
  <si>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</si>
  <si>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</si>
  <si>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</si>
  <si>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</si>
  <si>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</si>
  <si>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</si>
  <si>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</si>
  <si>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</si>
  <si>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</si>
  <si>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</si>
  <si>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</si>
  <si>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</si>
  <si>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</si>
  <si>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</si>
  <si>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</si>
  <si>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</si>
  <si>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</si>
  <si>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</si>
  <si>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</si>
  <si>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</si>
  <si>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</si>
  <si>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</si>
  <si>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</si>
  <si>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</si>
  <si>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</si>
  <si>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</si>
  <si>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</si>
  <si>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</si>
  <si>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</si>
  <si>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</si>
  <si>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</si>
  <si>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</si>
  <si>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</si>
  <si>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</si>
  <si>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</si>
  <si>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</si>
  <si>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</si>
  <si>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</si>
  <si>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</si>
  <si>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</si>
  <si>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</si>
  <si>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</si>
  <si>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</si>
  <si>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</si>
  <si>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</si>
  <si>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</si>
  <si>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</si>
  <si>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</si>
  <si>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</si>
  <si>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</si>
  <si>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</si>
  <si>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</si>
  <si>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</si>
  <si>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</si>
  <si>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</si>
  <si>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</si>
  <si>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</si>
  <si>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</si>
  <si>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</si>
  <si>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</si>
  <si>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</si>
  <si>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</si>
  <si>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</si>
  <si>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</si>
  <si>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</si>
  <si>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</si>
  <si>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</si>
  <si>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</si>
  <si>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</si>
  <si>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</si>
  <si>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</si>
  <si>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</si>
  <si>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</si>
  <si>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</si>
  <si>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</si>
  <si>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</si>
  <si>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</si>
  <si>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</si>
  <si>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</si>
  <si>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</si>
  <si>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</si>
  <si>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</si>
  <si>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</si>
  <si>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</si>
  <si>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</si>
  <si>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</si>
  <si>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</si>
  <si>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</si>
  <si>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</si>
  <si>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</si>
  <si>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</si>
  <si>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</si>
  <si>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</si>
  <si>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</si>
  <si>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</si>
  <si>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</si>
  <si>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</si>
  <si>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</si>
  <si>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</si>
  <si>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</si>
  <si>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</si>
  <si>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</si>
  <si>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</si>
  <si>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</si>
  <si>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</si>
  <si>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</si>
  <si>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</si>
  <si>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</si>
  <si>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</si>
  <si>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</si>
  <si>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</si>
  <si>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</si>
  <si>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</si>
  <si>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</si>
  <si>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</si>
  <si>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</si>
  <si>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</si>
  <si>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</si>
  <si>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</si>
  <si>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</si>
  <si>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</si>
  <si>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</si>
  <si>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</si>
  <si>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</si>
  <si>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</si>
  <si>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</si>
  <si>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</si>
  <si>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</si>
  <si>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</si>
  <si>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</si>
  <si>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</si>
  <si>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</si>
  <si>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</si>
  <si>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</si>
  <si>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</si>
  <si>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</si>
  <si>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</si>
  <si>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</si>
  <si>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</si>
  <si>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</si>
  <si>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</si>
  <si>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</si>
  <si>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</si>
  <si>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</si>
  <si>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</si>
  <si>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</si>
  <si>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</si>
  <si>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</si>
  <si>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</si>
  <si>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</si>
  <si>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</si>
  <si>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</si>
  <si>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</si>
  <si>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</si>
  <si>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</si>
  <si>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</si>
  <si>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</si>
  <si>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</si>
  <si>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</si>
  <si>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</si>
  <si>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</si>
  <si>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</si>
  <si>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</si>
  <si>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</si>
  <si>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</si>
  <si>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</si>
  <si>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</si>
  <si>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</si>
  <si>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</si>
  <si>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</si>
  <si>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</si>
  <si>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</si>
  <si>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</si>
  <si>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</si>
  <si>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</si>
  <si>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</si>
  <si>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</si>
  <si>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</si>
  <si>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</si>
  <si>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</si>
  <si>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</si>
  <si>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</si>
  <si>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</si>
  <si>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</si>
  <si>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</si>
  <si>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</si>
  <si>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</si>
  <si>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</si>
  <si>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</si>
  <si>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</si>
  <si>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</si>
  <si>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</si>
  <si>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</si>
  <si>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</si>
  <si>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</si>
  <si>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</si>
  <si>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</si>
  <si>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</si>
  <si>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</si>
  <si>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</si>
  <si>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</si>
  <si>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</si>
  <si>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</si>
  <si>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</si>
  <si>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</si>
  <si>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</si>
  <si>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</si>
  <si>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</si>
  <si>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</si>
  <si>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</si>
  <si>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</si>
  <si>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</si>
  <si>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</si>
  <si>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</si>
  <si>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</si>
  <si>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</si>
  <si>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</si>
  <si>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</si>
  <si>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</si>
  <si>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</si>
  <si>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</si>
  <si>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</si>
  <si>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</si>
  <si>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</si>
  <si>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</si>
  <si>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</si>
  <si>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</si>
  <si>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</si>
  <si>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</si>
  <si>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</si>
  <si>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</si>
  <si>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</si>
  <si>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</si>
  <si>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</si>
  <si>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</si>
  <si>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</si>
  <si>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</si>
  <si>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</si>
  <si>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</si>
  <si>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</si>
  <si>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</si>
  <si>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</si>
  <si>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</si>
  <si>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</si>
  <si>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</si>
  <si>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</si>
  <si>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</si>
  <si>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</si>
  <si>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</si>
  <si>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</si>
  <si>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</si>
  <si>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</si>
  <si>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</si>
  <si>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</si>
  <si>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</si>
  <si>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</si>
  <si>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</si>
  <si>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</si>
  <si>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</si>
  <si>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</si>
  <si>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</si>
  <si>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</si>
  <si>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</si>
  <si>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</si>
  <si>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</si>
  <si>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</si>
  <si>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</si>
  <si>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</si>
  <si>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</si>
  <si>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</si>
  <si>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</si>
  <si>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</si>
  <si>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</si>
  <si>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</si>
  <si>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</si>
  <si>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</si>
  <si>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</si>
  <si>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</si>
  <si>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</si>
  <si>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</si>
  <si>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</si>
  <si>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</si>
  <si>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</si>
  <si>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</si>
  <si>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</si>
  <si>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</si>
  <si>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</si>
  <si>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</si>
  <si>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</si>
  <si>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</si>
  <si>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</si>
  <si>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</si>
  <si>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</si>
  <si>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</si>
  <si>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</si>
  <si>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</si>
  <si>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</si>
  <si>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</si>
  <si>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</si>
  <si>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</si>
  <si>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</si>
  <si>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</si>
  <si>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</si>
  <si>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</si>
  <si>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</si>
  <si>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</si>
  <si>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</si>
  <si>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</si>
  <si>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</si>
  <si>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</si>
  <si>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</si>
  <si>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</si>
  <si>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</si>
  <si>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</si>
  <si>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</si>
  <si>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</si>
  <si>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</si>
  <si>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</si>
  <si>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</si>
  <si>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</si>
  <si>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</si>
  <si>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</si>
  <si>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</si>
  <si>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</si>
  <si>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</si>
  <si>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</si>
  <si>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</si>
  <si>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</si>
  <si>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</si>
  <si>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</si>
  <si>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</si>
  <si>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</si>
  <si>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</si>
  <si>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</si>
  <si>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</si>
  <si>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</si>
  <si>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</si>
  <si>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</si>
  <si>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</si>
  <si>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</si>
  <si>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</si>
  <si>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</si>
  <si>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</si>
  <si>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</si>
  <si>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</si>
  <si>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</si>
  <si>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</si>
  <si>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</si>
  <si>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</si>
  <si>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</si>
  <si>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</si>
  <si>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</si>
  <si>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</si>
  <si>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</si>
  <si>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</si>
  <si>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</si>
  <si>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</si>
  <si>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</si>
  <si>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</si>
  <si>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</si>
  <si>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</si>
  <si>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</si>
  <si>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</si>
  <si>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</si>
  <si>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</si>
  <si>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</si>
  <si>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</si>
  <si>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</si>
  <si>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</si>
  <si>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</si>
  <si>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</si>
  <si>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</si>
  <si>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</si>
  <si>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</si>
  <si>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</si>
  <si>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</si>
  <si>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</si>
  <si>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</si>
  <si>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</si>
  <si>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</si>
  <si>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</si>
  <si>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</si>
  <si>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</si>
  <si>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</si>
  <si>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</si>
  <si>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</si>
  <si>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</si>
  <si>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</si>
  <si>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</si>
  <si>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</si>
  <si>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</si>
  <si>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</si>
  <si>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</si>
  <si>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</si>
  <si>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</si>
  <si>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</si>
  <si>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</si>
  <si>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</si>
  <si>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</si>
  <si>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</si>
  <si>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</si>
  <si>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</si>
  <si>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</si>
  <si>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</si>
  <si>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</si>
  <si>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</si>
  <si>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</si>
  <si>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</si>
  <si>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</si>
  <si>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</si>
  <si>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</si>
  <si>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</si>
  <si>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</si>
  <si>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</si>
  <si>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</si>
  <si>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</si>
  <si>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</si>
  <si>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</si>
  <si>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</si>
  <si>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</si>
  <si>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</si>
  <si>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</si>
  <si>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</si>
  <si>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</si>
  <si>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</si>
  <si>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</si>
  <si>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</si>
  <si>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</si>
  <si>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</si>
  <si>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</si>
  <si>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</si>
  <si>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</si>
  <si>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</si>
  <si>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</si>
  <si>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</si>
  <si>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</si>
  <si>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</si>
  <si>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</si>
  <si>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</si>
  <si>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</si>
  <si>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</si>
  <si>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</si>
  <si>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</si>
  <si>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</si>
  <si>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</si>
  <si>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</si>
  <si>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</si>
  <si>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</si>
  <si>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</si>
  <si>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</si>
  <si>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</si>
  <si>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</si>
  <si>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</si>
  <si>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</si>
  <si>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</si>
  <si>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</si>
  <si>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</si>
  <si>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</si>
  <si>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</si>
  <si>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</si>
  <si>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</si>
  <si>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</si>
  <si>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</si>
  <si>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</si>
  <si>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</si>
  <si>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</si>
  <si>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</si>
  <si>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</si>
  <si>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</si>
  <si>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</si>
  <si>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</si>
  <si>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</si>
  <si>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</si>
  <si>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</si>
  <si>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</si>
  <si>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</si>
  <si>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</si>
  <si>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</si>
  <si>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</si>
  <si>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</si>
  <si>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</si>
  <si>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</si>
  <si>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</si>
  <si>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</si>
  <si>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</si>
  <si>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</si>
  <si>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</si>
  <si>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</si>
  <si>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</si>
  <si>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</si>
  <si>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</si>
  <si>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</si>
  <si>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</si>
  <si>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</si>
  <si>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</si>
  <si>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</si>
  <si>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</si>
  <si>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</si>
  <si>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</si>
  <si>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</si>
  <si>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</si>
  <si>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</si>
  <si>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</si>
  <si>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</si>
  <si>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</si>
  <si>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</si>
  <si>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</si>
  <si>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</si>
  <si>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</si>
  <si>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</si>
  <si>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</si>
  <si>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</si>
  <si>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</si>
  <si>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</si>
  <si>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</si>
  <si>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</si>
  <si>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</si>
  <si>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</si>
  <si>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</si>
  <si>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</si>
  <si>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</si>
  <si>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</si>
  <si>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</si>
  <si>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</si>
  <si>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</si>
  <si>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</si>
  <si>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</si>
  <si>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</si>
  <si>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</si>
  <si>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</si>
  <si>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</si>
  <si>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</si>
  <si>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</si>
  <si>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</si>
  <si>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</si>
  <si>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</si>
  <si>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</si>
  <si>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</si>
  <si>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</si>
  <si>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</si>
  <si>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</si>
  <si>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</si>
  <si>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</si>
  <si>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</si>
  <si>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</si>
  <si>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</si>
  <si>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</si>
  <si>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</si>
  <si>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</si>
  <si>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</si>
  <si>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</si>
  <si>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</si>
  <si>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</si>
  <si>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</si>
  <si>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</si>
  <si>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</si>
  <si>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</si>
  <si>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</si>
  <si>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</si>
  <si>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</si>
  <si>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</si>
  <si>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</si>
  <si>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</si>
  <si>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</si>
  <si>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</si>
  <si>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</si>
  <si>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</si>
  <si>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</si>
  <si>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</si>
  <si>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</si>
  <si>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</si>
  <si>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</si>
  <si>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</si>
  <si>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</si>
  <si>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</si>
  <si>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</si>
  <si>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</si>
  <si>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</si>
  <si>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</si>
  <si>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</si>
  <si>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</si>
  <si>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</si>
  <si>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</si>
  <si>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</si>
  <si>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</si>
  <si>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</si>
  <si>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</si>
  <si>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</si>
  <si>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</si>
  <si>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</si>
  <si>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</si>
  <si>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</si>
  <si>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</si>
  <si>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</si>
  <si>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</si>
  <si>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</si>
  <si>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</si>
  <si>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</si>
  <si>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</si>
  <si>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</si>
  <si>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</si>
  <si>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</si>
  <si>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</si>
  <si>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</si>
  <si>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</si>
  <si>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</si>
  <si>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</si>
  <si>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</si>
  <si>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</si>
  <si>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</si>
  <si>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</si>
  <si>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</si>
  <si>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</si>
  <si>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</si>
  <si>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</si>
  <si>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</si>
  <si>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</si>
  <si>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</si>
  <si>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</si>
  <si>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</si>
  <si>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</si>
  <si>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</si>
  <si>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</si>
  <si>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</si>
  <si>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</si>
  <si>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</si>
  <si>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</si>
  <si>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</si>
  <si>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</si>
  <si>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</si>
  <si>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</si>
  <si>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</si>
  <si>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</si>
  <si>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</si>
  <si>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</si>
  <si>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</si>
  <si>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</si>
  <si>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</si>
  <si>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</si>
  <si>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</si>
  <si>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</si>
  <si>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</si>
  <si>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</si>
  <si>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</si>
  <si>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</si>
  <si>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</si>
  <si>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</si>
  <si>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</si>
  <si>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</si>
  <si>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</si>
  <si>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</si>
  <si>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</si>
  <si>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</si>
  <si>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</si>
  <si>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</si>
  <si>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</si>
  <si>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</si>
  <si>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</si>
  <si>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</si>
  <si>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</si>
  <si>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</si>
  <si>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</si>
  <si>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</si>
  <si>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</si>
  <si>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</si>
  <si>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</si>
  <si>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</si>
  <si>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</si>
  <si>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</si>
  <si>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</si>
  <si>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</si>
  <si>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</si>
  <si>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</si>
  <si>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</si>
  <si>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</si>
  <si>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</si>
  <si>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</si>
  <si>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</si>
  <si>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</si>
  <si>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</si>
  <si>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</si>
  <si>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</si>
  <si>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</si>
  <si>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</si>
  <si>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</si>
  <si>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</si>
  <si>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</si>
  <si>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</si>
  <si>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</si>
  <si>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</si>
  <si>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</si>
  <si>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</si>
  <si>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</si>
  <si>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</si>
  <si>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</si>
  <si>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</si>
  <si>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</si>
  <si>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</si>
  <si>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</si>
  <si>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</si>
  <si>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</si>
  <si>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</si>
  <si>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</si>
  <si>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</si>
  <si>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</si>
  <si>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</si>
  <si>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</si>
  <si>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</si>
  <si>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</si>
  <si>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</si>
  <si>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</si>
  <si>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</si>
  <si>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</si>
  <si>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</si>
  <si>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</si>
  <si>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</si>
  <si>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</si>
  <si>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</si>
  <si>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</si>
  <si>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</si>
  <si>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</si>
  <si>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</si>
  <si>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</si>
  <si>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</si>
  <si>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</si>
  <si>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</si>
  <si>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</si>
  <si>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</si>
  <si>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</si>
  <si>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</si>
  <si>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</si>
  <si>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</si>
  <si>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</si>
  <si>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</si>
  <si>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</si>
  <si>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</si>
  <si>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</si>
  <si>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</si>
  <si>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</si>
  <si>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</si>
  <si>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</si>
  <si>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</si>
  <si>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</si>
  <si>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</si>
  <si>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</si>
  <si>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研发</t>
  </si>
  <si>
    <t>研发</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</si>
</sst>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8" fillId="2" borderId="79"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77" fillId="11" borderId="7" xfId="0" applyNumberFormat="1" applyFont="1" applyFill="1" applyBorder="1" applyAlignment="1" applyProtection="1">
      <alignment horizontal="center" vertical="center" wrapText="1"/>
      <protection locked="0"/>
    </xf>
    <xf numFmtId="0" fontId="77" fillId="11" borderId="2" xfId="0" applyNumberFormat="1" applyFont="1" applyFill="1" applyBorder="1" applyAlignment="1" applyProtection="1">
      <alignment horizontal="center" vertical="center" wrapText="1"/>
      <protection locked="0"/>
    </xf>
    <xf numFmtId="0" fontId="72" fillId="11" borderId="2" xfId="0" applyNumberFormat="1" applyFont="1" applyFill="1" applyBorder="1" applyAlignment="1" applyProtection="1">
      <alignment horizontal="center" vertical="center" wrapText="1"/>
      <protection locked="0"/>
    </xf>
    <xf numFmtId="0" fontId="77" fillId="11" borderId="88" xfId="0" applyNumberFormat="1" applyFont="1" applyFill="1" applyBorder="1" applyAlignment="1" applyProtection="1">
      <alignment horizontal="center" vertical="center" wrapText="1"/>
      <protection locked="0"/>
    </xf>
    <xf numFmtId="10" fontId="29" fillId="11" borderId="11" xfId="0" applyNumberFormat="1" applyFont="1" applyFill="1" applyBorder="1" applyAlignment="1" applyProtection="1">
      <alignment horizontal="center" vertical="center"/>
      <protection locked="0"/>
    </xf>
    <xf numFmtId="0" fontId="21" fillId="11" borderId="96"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512902</xdr:colOff>
      <xdr:row>25</xdr:row>
      <xdr:rowOff>40374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84645" cy="4326255"/>
        </a:xfrm>
        <a:prstGeom prst="rect">
          <a:avLst/>
        </a:prstGeom>
      </xdr:spPr>
    </xdr:pic>
    <xdr:clientData/>
  </xdr:twoCellAnchor>
  <xdr:twoCellAnchor editAs="oneCell">
    <xdr:from>
      <xdr:col>9</xdr:col>
      <xdr:colOff>514349</xdr:colOff>
      <xdr:row>0</xdr:row>
      <xdr:rowOff>0</xdr:rowOff>
    </xdr:from>
    <xdr:to>
      <xdr:col>19</xdr:col>
      <xdr:colOff>512900</xdr:colOff>
      <xdr:row>26</xdr:row>
      <xdr:rowOff>128358</xdr:rowOff>
    </xdr:to>
    <xdr:pic>
      <xdr:nvPicPr>
        <xdr:cNvPr id="3" name="图片 2"/>
        <xdr:cNvPicPr>
          <a:picLocks noChangeAspect="1"/>
        </xdr:cNvPicPr>
      </xdr:nvPicPr>
      <xdr:blipFill>
        <a:blip xmlns:r="http://schemas.openxmlformats.org/officeDocument/2006/relationships" r:embed="rId2"/>
        <a:stretch>
          <a:fillRect/>
        </a:stretch>
      </xdr:blipFill>
      <xdr:spPr>
        <a:xfrm>
          <a:off x="6685915" y="0"/>
          <a:ext cx="6856730" cy="4585970"/>
        </a:xfrm>
        <a:prstGeom prst="rect">
          <a:avLst/>
        </a:prstGeom>
      </xdr:spPr>
    </xdr:pic>
    <xdr:clientData/>
  </xdr:twoCellAnchor>
  <xdr:twoCellAnchor editAs="oneCell">
    <xdr:from>
      <xdr:col>0</xdr:col>
      <xdr:colOff>0</xdr:colOff>
      <xdr:row>26</xdr:row>
      <xdr:rowOff>69005</xdr:rowOff>
    </xdr:from>
    <xdr:to>
      <xdr:col>9</xdr:col>
      <xdr:colOff>122361</xdr:colOff>
      <xdr:row>50</xdr:row>
      <xdr:rowOff>94286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6280"/>
          <a:ext cx="6294120" cy="4140200"/>
        </a:xfrm>
        <a:prstGeom prst="rect">
          <a:avLst/>
        </a:prstGeom>
      </xdr:spPr>
    </xdr:pic>
    <xdr:clientData/>
  </xdr:twoCellAnchor>
  <xdr:twoCellAnchor editAs="oneCell">
    <xdr:from>
      <xdr:col>9</xdr:col>
      <xdr:colOff>0</xdr:colOff>
      <xdr:row>27</xdr:row>
      <xdr:rowOff>0</xdr:rowOff>
    </xdr:from>
    <xdr:to>
      <xdr:col>15</xdr:col>
      <xdr:colOff>589962</xdr:colOff>
      <xdr:row>73</xdr:row>
      <xdr:rowOff>46633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4629150"/>
          <a:ext cx="4704715" cy="7933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估价对象为北京市房地产，为所有。根据《国有土地使用证》[]，估价对象（分摊）出让国有建设用地使用权面积为0平方米，建筑面积为879.38平方米。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估价对象为北京市房地产,属开发建设的办公项目，该项目尚在开发建设中。根据《国有土地使用证》[]，估价对象（分摊）出让国有建设用地使用权面积为0平方米，规划建筑面积为879.38平方米。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2025年8月5日（评估专业人员实地查勘之日）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1648</v>
      </c>
    </row>
    <row r="21" spans="1:2" s="3449" customFormat="1">
      <c r="A21" s="3457" t="s">
        <v>21</v>
      </c>
      <c r="B21" s="3458">
        <f ca="1">'预评函-2'!D7</f>
        <v>18738</v>
      </c>
    </row>
    <row r="22" spans="1:2" s="3449" customFormat="1">
      <c r="A22" s="3457" t="s">
        <v>22</v>
      </c>
      <c r="B22" s="3458" t="str">
        <f ca="1">'预评函-2'!D6</f>
        <v>壹仟陆佰肆拾捌万元整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1648</v>
      </c>
    </row>
    <row r="31" spans="1:2" s="3449" customFormat="1">
      <c r="A31" s="3457" t="s">
        <v>31</v>
      </c>
      <c r="B31" s="3458">
        <f ca="1">'预评函-2'!D15</f>
        <v>18738</v>
      </c>
    </row>
    <row r="32" spans="1:2" s="3449" customFormat="1">
      <c r="A32" s="3457" t="s">
        <v>32</v>
      </c>
      <c r="B32" s="3458" t="str">
        <f ca="1">'预评函-2'!D14</f>
        <v>壹仟陆佰肆拾捌万元整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879.38</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858</v>
      </c>
    </row>
    <row r="48" spans="1:2" s="3449" customFormat="1">
      <c r="A48" s="3457" t="s">
        <v>48</v>
      </c>
      <c r="B48" s="3458">
        <f ca="1">'预评函-3'!E4</f>
        <v>9762</v>
      </c>
    </row>
    <row r="49" spans="1:2" s="3449" customFormat="1">
      <c r="A49" s="3457" t="s">
        <v>49</v>
      </c>
      <c r="B49" s="3458" t="str">
        <f ca="1">'预评函-3'!D5</f>
        <v>捌佰伍拾捌万元整</v>
      </c>
    </row>
    <row r="50" spans="1:2" s="3449" customFormat="1">
      <c r="A50" s="3457" t="s">
        <v>50</v>
      </c>
      <c r="B50" s="3458" t="str">
        <f>'预评函-3'!F2</f>
        <v>在建建筑物价值</v>
      </c>
    </row>
    <row r="51" spans="1:2" s="3449" customFormat="1">
      <c r="A51" s="3457" t="s">
        <v>51</v>
      </c>
      <c r="B51" s="3458">
        <f ca="1">'预评函-3'!F4</f>
        <v>789</v>
      </c>
    </row>
    <row r="52" spans="1:2" s="3449" customFormat="1">
      <c r="A52" s="3457" t="s">
        <v>52</v>
      </c>
      <c r="B52" s="3458">
        <f ca="1">'预评函-3'!G4</f>
        <v>8976</v>
      </c>
    </row>
    <row r="53" spans="1:2" s="3449" customFormat="1">
      <c r="A53" s="3457" t="s">
        <v>53</v>
      </c>
      <c r="B53" s="3458" t="str">
        <f ca="1">'预评函-3'!F5</f>
        <v>柒佰捌拾玖万元整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786" t="s">
        <v>379</v>
      </c>
      <c r="B3" s="3273">
        <f>项目基本情况!D3</f>
        <v>45874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45874</v>
      </c>
      <c r="C3" s="3143" t="s">
        <v>477</v>
      </c>
      <c r="D3" s="3142">
        <f>B3</f>
        <v>45874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26" t="s">
        <v>483</v>
      </c>
      <c r="E8" s="3159" t="s">
        <v>368</v>
      </c>
      <c r="F8" s="3160"/>
      <c r="G8" s="3141"/>
      <c r="H8" s="3141"/>
      <c r="I8" s="3141"/>
      <c r="J8" s="2738"/>
      <c r="K8" s="3239"/>
      <c r="L8" s="3236"/>
      <c r="M8" s="3236"/>
      <c r="N8" s="2738"/>
      <c r="O8" s="3237"/>
      <c r="P8" s="2738"/>
      <c r="Q8" s="2738"/>
      <c r="R8" s="2738"/>
    </row>
    <row r="9" spans="1:30">
      <c r="A9" s="3161" t="s">
        <v>484</v>
      </c>
      <c r="B9" s="3162" t="s">
        <v>368</v>
      </c>
      <c r="C9" s="3163"/>
      <c r="D9" s="3527"/>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c r="E13" s="3182">
        <v>58457</v>
      </c>
      <c r="F13" s="3182"/>
      <c r="G13" s="3182"/>
      <c r="H13" s="3182">
        <v>58457</v>
      </c>
      <c r="I13" s="3182"/>
      <c r="J13" s="3244"/>
      <c r="K13" s="3236"/>
      <c r="L13" s="3236"/>
      <c r="M13" s="2738"/>
      <c r="N13" s="3237"/>
      <c r="O13" s="2738"/>
      <c r="P13" s="2738"/>
      <c r="Q13" s="2738"/>
      <c r="AD13" s="2754"/>
    </row>
    <row r="14" spans="1:30">
      <c r="A14" s="305"/>
      <c r="B14" s="3181" t="s">
        <v>500</v>
      </c>
      <c r="C14" s="3183"/>
      <c r="D14" s="3183"/>
      <c r="E14" s="3183">
        <v>50</v>
      </c>
      <c r="F14" s="3183"/>
      <c r="G14" s="3183"/>
      <c r="H14" s="3183">
        <v>50</v>
      </c>
      <c r="I14" s="3183"/>
      <c r="J14" s="3245"/>
      <c r="K14" s="3236"/>
      <c r="L14" s="3236"/>
      <c r="M14" s="2738"/>
      <c r="N14" s="3237"/>
      <c r="O14" s="2738"/>
      <c r="P14" s="2738"/>
      <c r="Q14" s="2738"/>
      <c r="AD14" s="2754"/>
    </row>
    <row r="15" spans="1:30">
      <c r="A15" s="313"/>
      <c r="B15" s="3184" t="s">
        <v>501</v>
      </c>
      <c r="C15" s="3185" t="str">
        <f>IF(A13="出让",IF(C13="","",ROUNDDOWN(MIN((C13-$D$3)/365,C14),2)),C14)</f>
        <v/>
      </c>
      <c r="D15" s="3185" t="str">
        <f>IF(A13="出让",IF(D13="","",ROUNDDOWN(MIN((D13-$D$3)/365,D14),2)),D14)</f>
        <v/>
      </c>
      <c r="E15" s="3185">
        <f>IF(A13="出让",IF(E13="","",ROUNDDOWN(MIN((E13-$D$3)/365,E14),2)),E14)</f>
        <v>34.47</v>
      </c>
      <c r="F15" s="3185" t="str">
        <f>IF(A13="出让",IF(F13="","",ROUNDDOWN(MIN((F13-$D$3)/365,F14),2)),F14)</f>
        <v/>
      </c>
      <c r="G15" s="3185" t="str">
        <f>IF(A13="出让",IF(G13="","",ROUNDDOWN(MIN((G13-$D$3)/365,G14),2)),G14)</f>
        <v/>
      </c>
      <c r="H15" s="3185">
        <f>IF(A13="出让",IF(H13="","",ROUNDDOWN(MIN((H13-$D$3)/365,H14),2)),H14)</f>
        <v>34.47</v>
      </c>
      <c r="I15" s="3185" t="str">
        <f>IF(A13="出让",IF(I13="","",ROUNDDOWN(MIN((I13-$D$3)/365,I14),2)),I14)</f>
        <v/>
      </c>
      <c r="J15" s="3246"/>
      <c r="K15" s="3247"/>
      <c r="L15" s="3247"/>
      <c r="M15" s="2739"/>
      <c r="N15" s="3247"/>
      <c r="O15" s="2739"/>
      <c r="P15" s="2738"/>
      <c r="Q15" s="2738"/>
      <c r="AD15" s="2754"/>
    </row>
    <row r="16" spans="1:30">
      <c r="A16" s="3169" t="s">
        <v>502</v>
      </c>
      <c r="B16" s="3514"/>
      <c r="C16" s="3515"/>
      <c r="D16" s="3516"/>
      <c r="E16" s="3186" t="s">
        <v>503</v>
      </c>
      <c r="F16" s="3517"/>
      <c r="G16" s="3518"/>
      <c r="H16" s="3518"/>
      <c r="I16" s="3519"/>
      <c r="J16" s="2738"/>
      <c r="K16" s="3248"/>
      <c r="L16" s="3247"/>
      <c r="M16" s="3247"/>
      <c r="N16" s="2739"/>
      <c r="O16" s="3247"/>
      <c r="P16" s="2739"/>
      <c r="Q16" s="2738"/>
      <c r="R16" s="2738"/>
    </row>
    <row r="17" spans="1:28">
      <c r="A17" s="289" t="s">
        <v>504</v>
      </c>
      <c r="B17" s="277" t="s">
        <v>505</v>
      </c>
      <c r="C17" s="1309">
        <f>'数据-汇总表'!E3</f>
        <v>879.38</v>
      </c>
      <c r="D17" s="334" t="s">
        <v>506</v>
      </c>
      <c r="E17" s="3520" t="s">
        <v>507</v>
      </c>
      <c r="F17" s="3521"/>
      <c r="G17" s="3521"/>
      <c r="H17" s="3521"/>
      <c r="I17" s="3522"/>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23" t="s">
        <v>510</v>
      </c>
      <c r="F18" s="3524"/>
      <c r="G18" s="3524"/>
      <c r="H18" s="3524"/>
      <c r="I18" s="3525"/>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30" t="s">
        <v>515</v>
      </c>
      <c r="C20" s="3531"/>
      <c r="D20" s="3532" t="s">
        <v>516</v>
      </c>
      <c r="E20" s="3533"/>
      <c r="F20" s="3195" t="s">
        <v>517</v>
      </c>
      <c r="G20" s="2859"/>
      <c r="H20" s="2859"/>
      <c r="I20" s="2859"/>
      <c r="J20" s="2738"/>
      <c r="K20" s="3528"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28"/>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28"/>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07"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07"/>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07"/>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08"/>
      <c r="B30" s="277" t="s">
        <v>536</v>
      </c>
      <c r="C30" s="3534"/>
      <c r="D30" s="3535"/>
      <c r="E30" s="2859"/>
      <c r="F30" s="2859"/>
      <c r="G30" s="2859"/>
      <c r="H30" s="2859"/>
      <c r="I30" s="2859"/>
      <c r="J30" s="2738"/>
      <c r="K30" s="3238"/>
      <c r="L30" s="3236"/>
      <c r="M30" s="3236"/>
      <c r="N30" s="2738"/>
      <c r="O30" s="3237"/>
      <c r="P30" s="2738"/>
      <c r="Q30" s="2738"/>
      <c r="R30" s="2738"/>
      <c r="S30" s="2738"/>
      <c r="T30" s="2738"/>
      <c r="U30" s="2738"/>
      <c r="V30" s="2738"/>
    </row>
    <row r="31" spans="1:28">
      <c r="A31" s="3509"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0"/>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0"/>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29" t="s">
        <v>547</v>
      </c>
      <c r="T34" s="321" t="str">
        <f>NUMBERSTRING(7-K34,1)&amp;"通"</f>
        <v>七通</v>
      </c>
      <c r="U34" s="2738"/>
      <c r="V34" s="2738"/>
    </row>
    <row r="35" spans="1:30">
      <c r="A35" s="3222"/>
      <c r="B35" s="3536" t="s">
        <v>548</v>
      </c>
      <c r="C35" s="3536"/>
      <c r="D35" s="3536"/>
      <c r="E35" s="3536"/>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29"/>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879.38</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879.38</v>
      </c>
      <c r="H5" s="3051">
        <f t="shared" ref="H5:AT5" si="0">SUM(H13:H656)</f>
        <v>879.38</v>
      </c>
      <c r="I5" s="3051">
        <f t="shared" si="0"/>
        <v>879.38</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879.38</v>
      </c>
      <c r="BA5" s="3111">
        <f t="shared" si="1"/>
        <v>879.38</v>
      </c>
      <c r="BB5" s="3111">
        <f t="shared" si="1"/>
        <v>879.38</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606</v>
      </c>
      <c r="E13" s="3051">
        <f>IF($C$3="是",ROUND($A$3*G13/$B$3,2),ROUND($A$3*(G13-AT13)/$B$3,2))</f>
        <v>0</v>
      </c>
      <c r="F13" s="3067"/>
      <c r="G13" s="3068">
        <f>H13+AC13+AT13</f>
        <v>879.38</v>
      </c>
      <c r="H13" s="3054">
        <f>SUMIF(I$12:AB$12,"总值",I13:AB13)</f>
        <v>879.38</v>
      </c>
      <c r="I13" s="3082">
        <v>879.38</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879.38</v>
      </c>
      <c r="BA13" s="3051">
        <f>SUM(BB13:BK13)</f>
        <v>879.38</v>
      </c>
      <c r="BB13" s="3051">
        <f>IF($D13="是",I13-J13,0)</f>
        <v>879.38</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8" sqref="G47:G48"/>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46" t="s">
        <v>608</v>
      </c>
      <c r="B2" s="3546"/>
      <c r="C2" s="3546"/>
      <c r="D2" s="2299" t="s">
        <v>609</v>
      </c>
      <c r="E2" s="2953" t="s">
        <v>610</v>
      </c>
      <c r="F2" s="2954"/>
      <c r="G2" s="2955"/>
      <c r="H2" s="2956"/>
      <c r="I2" s="2606" t="s">
        <v>611</v>
      </c>
      <c r="J2" s="2954"/>
      <c r="K2" s="2954"/>
      <c r="L2" s="2954"/>
      <c r="M2" s="2954"/>
      <c r="N2" s="1711"/>
      <c r="O2" s="2954"/>
      <c r="P2" s="2954"/>
    </row>
    <row r="3" spans="1:16" ht="15">
      <c r="A3" s="3547" t="s">
        <v>612</v>
      </c>
      <c r="B3" s="3547"/>
      <c r="C3" s="3547"/>
      <c r="D3" s="2957">
        <f>'数据-基础表'!AY6</f>
        <v>0</v>
      </c>
      <c r="E3" s="2957">
        <f>'数据-基础表'!AZ5</f>
        <v>879.38</v>
      </c>
      <c r="F3" s="2954"/>
      <c r="G3" s="2958"/>
      <c r="H3" s="2409" t="s">
        <v>613</v>
      </c>
      <c r="I3" s="3017" t="e">
        <f>ROUND('数据-基础表'!B3/'数据-基础表'!A3,2)</f>
        <v>#DIV/0!</v>
      </c>
      <c r="J3" s="2954"/>
      <c r="K3" s="2954"/>
      <c r="L3" s="2954"/>
      <c r="M3" s="2954"/>
      <c r="N3" s="1711"/>
      <c r="O3" s="2954"/>
      <c r="P3" s="2954"/>
    </row>
    <row r="4" spans="1:16" ht="15">
      <c r="A4" s="3548"/>
      <c r="B4" s="3549"/>
      <c r="C4" s="3550"/>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51" t="s">
        <v>617</v>
      </c>
      <c r="C5" s="3551"/>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51" t="s">
        <v>618</v>
      </c>
      <c r="C6" s="3551"/>
      <c r="D6" s="2963">
        <f>ROUND($D$3*E6/$E$3,2)</f>
        <v>0</v>
      </c>
      <c r="E6" s="2964">
        <f>E3-E5</f>
        <v>879.38</v>
      </c>
      <c r="F6" s="2954"/>
      <c r="G6" s="2966" t="s">
        <v>619</v>
      </c>
      <c r="H6" s="2967" t="s">
        <v>615</v>
      </c>
      <c r="I6" s="3018" t="e">
        <f>ROUND(F31/D31,2)</f>
        <v>#DIV/0!</v>
      </c>
      <c r="J6" s="2954"/>
      <c r="K6" s="2954"/>
      <c r="L6" s="2954"/>
      <c r="M6" s="2954"/>
      <c r="N6" s="2954"/>
      <c r="O6" s="2954"/>
      <c r="P6" s="2954"/>
    </row>
    <row r="7" spans="1:16" ht="15">
      <c r="A7" s="3537"/>
      <c r="B7" s="3538"/>
      <c r="C7" s="3539"/>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879.38</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879.38</v>
      </c>
      <c r="F16" s="2954"/>
      <c r="G16" s="2973"/>
      <c r="H16" s="2978" t="s">
        <v>633</v>
      </c>
      <c r="I16" s="3020"/>
      <c r="J16" s="2457"/>
      <c r="K16" s="3540" t="s">
        <v>633</v>
      </c>
      <c r="L16" s="3541"/>
      <c r="M16" s="3541"/>
      <c r="N16" s="3541"/>
      <c r="O16" s="3541"/>
      <c r="P16" s="3542"/>
    </row>
    <row r="17" spans="1:19" ht="15">
      <c r="A17" s="2913" t="s">
        <v>634</v>
      </c>
      <c r="B17" s="2979" t="s">
        <v>635</v>
      </c>
      <c r="C17" s="2912" t="s">
        <v>636</v>
      </c>
      <c r="D17" s="2980" t="s">
        <v>609</v>
      </c>
      <c r="E17" s="2981" t="s">
        <v>610</v>
      </c>
      <c r="F17" s="2982"/>
      <c r="G17" s="2983"/>
      <c r="H17" s="2984" t="s">
        <v>637</v>
      </c>
      <c r="I17" s="3021" t="s">
        <v>638</v>
      </c>
      <c r="J17" s="2457"/>
      <c r="K17" s="3543" t="s">
        <v>639</v>
      </c>
      <c r="L17" s="3544"/>
      <c r="M17" s="3545"/>
      <c r="N17" s="3543" t="s">
        <v>640</v>
      </c>
      <c r="O17" s="3544"/>
      <c r="P17" s="3545"/>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tr">
        <f>'数据-基础表'!I10</f>
        <v>办公</v>
      </c>
      <c r="D19" s="2963">
        <f>ROUND($D$3*E19/$E$3,2)</f>
        <v>0</v>
      </c>
      <c r="E19" s="2993">
        <f t="shared" ref="E19:E26" si="1">SUM(F19:G19)</f>
        <v>879.38</v>
      </c>
      <c r="F19" s="2994">
        <f>'数据-基础表'!I13</f>
        <v>879.38</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879.38</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879.38</v>
      </c>
      <c r="F27" s="3001">
        <f>IF(SUM(F19:F26)=E8,SUM(F19:F26),"地上面积有误")</f>
        <v>879.38</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879.38</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879.38</v>
      </c>
      <c r="F31" s="3012">
        <f>F27+F30</f>
        <v>879.38</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7" sqref="AM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45874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233</v>
      </c>
      <c r="D6" s="2778">
        <f>SUMIF(项目基本情况!C$12:I$12,C6,项目基本情况!C$14:I$14)</f>
        <v>50</v>
      </c>
      <c r="E6" s="2779">
        <f>IF(B6="","",SUMIF(项目基本情况!C$12:I$12,C6,项目基本情况!C$13:I$13))</f>
        <v>58457</v>
      </c>
      <c r="F6" s="2780">
        <f>SUMIF(项目基本情况!C$12:I$12,C6,项目基本情况!C$15:I$15)</f>
        <v>34.47</v>
      </c>
      <c r="G6" s="2781">
        <f>IF(ISERROR(ROUND(POWER(1+H6,D6-F6)*(POWER(1+H6,F6)-1)/(POWER(1+H6,D6)-1),3)),0,ROUND(POWER(1+H6,D6-F6)*(POWER(1+H6,F6)-1)/(POWER(1+H6,D6)-1),3))</f>
        <v>0.89200000000000002</v>
      </c>
      <c r="H6" s="2782">
        <v>0.05</v>
      </c>
      <c r="I6" s="2782">
        <v>5.5E-2</v>
      </c>
      <c r="J6" s="2783">
        <v>7.0000000000000007E-2</v>
      </c>
      <c r="K6" s="2870">
        <f>SUMIF('数据-汇总表'!C$19:C$33,A6,'数据-汇总表'!E$19:E$33)</f>
        <v>879.38</v>
      </c>
      <c r="L6" s="2871">
        <v>3500</v>
      </c>
      <c r="M6" s="2872">
        <f t="shared" ref="M6:M14" si="0">ROUND(K6*L6/10000,0)</f>
        <v>308</v>
      </c>
      <c r="N6" s="2873">
        <f>ROUND(1-(2025-N17)/60,2)</f>
        <v>0.83</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2.5</v>
      </c>
      <c r="V6" s="2895">
        <v>1.4999999999999999E-2</v>
      </c>
      <c r="W6" s="2895">
        <v>0.15</v>
      </c>
      <c r="X6" s="2896"/>
      <c r="Y6" s="2915">
        <f>N6</f>
        <v>0.83</v>
      </c>
      <c r="Z6" s="2916"/>
      <c r="AA6" s="2783"/>
      <c r="AB6" s="2783"/>
      <c r="AC6" s="2896"/>
      <c r="AD6" s="2917"/>
      <c r="AE6" s="2918">
        <f ca="1">IF(AN6="",0,SUMIF(INDIRECT("'"&amp;AN6&amp;"'"&amp;"!E:E"),$AE$5,INDIRECT("'"&amp;AN6&amp;"'"&amp;"!F:F")))</f>
        <v>34.47</v>
      </c>
      <c r="AF6" s="2395"/>
      <c r="AG6" s="2031">
        <f>IF(AF6="",0,AE6-AF6)</f>
        <v>0</v>
      </c>
      <c r="AH6" s="2927"/>
      <c r="AI6" s="2928">
        <v>365</v>
      </c>
      <c r="AJ6" s="2929"/>
      <c r="AK6" s="2930">
        <v>2E-3</v>
      </c>
      <c r="AL6" s="2931">
        <v>1E-3</v>
      </c>
      <c r="AM6" s="2932">
        <v>0.01</v>
      </c>
      <c r="AN6" s="2933" t="s">
        <v>285</v>
      </c>
      <c r="AO6" s="1596">
        <f ca="1">SUMIF(INDIRECT("'"&amp;AN6&amp;"'"&amp;"!A:A"),"总价",INDIRECT("'"&amp;AN6&amp;"'"&amp;"!B:B"))</f>
        <v>1029.0363</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0.89200000000000002</v>
      </c>
      <c r="H16" s="2791">
        <f>ROUND(SUMPRODUCT(H6:H13,K6:K13)/SUMPRODUCT((H6:H13&gt;0)*(K6:K13)),3)</f>
        <v>0.05</v>
      </c>
      <c r="I16" s="2879"/>
      <c r="J16" s="2879"/>
      <c r="K16" s="2880">
        <f>SUM(K6:K15)</f>
        <v>879.38</v>
      </c>
      <c r="L16" s="2881">
        <f>ROUND(M16*10000/SUM(K6:K14),0)</f>
        <v>3502</v>
      </c>
      <c r="M16" s="2881">
        <f>SUM(M6:M14)</f>
        <v>308</v>
      </c>
      <c r="N16" s="2882">
        <f>ROUND(SUMPRODUCT(M6:M14,N6:N14)/M16,3)</f>
        <v>0.83</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2015</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1.5</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1.5</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1.5</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1.5</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0.05</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2" t="s">
        <v>765</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879.38</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45874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1647.7822000000001</v>
      </c>
      <c r="C5" s="2664">
        <f ca="1">IF(B5=D14,结果表!H102,ROUND(B5*10000/$B$1,0))</f>
        <v>18738</v>
      </c>
      <c r="D5" s="2664" t="e">
        <f ca="1">ROUND(B5*10000/$B$2,0)</f>
        <v>#DIV/0!</v>
      </c>
      <c r="E5" s="2665"/>
      <c r="F5" s="2666"/>
      <c r="G5" s="2666"/>
      <c r="H5" s="2667"/>
      <c r="I5" s="2667"/>
      <c r="J5" s="2667"/>
      <c r="K5" s="2667"/>
    </row>
    <row r="6" spans="1:11" ht="16.5">
      <c r="A6" s="2664" t="s">
        <v>795</v>
      </c>
      <c r="B6" s="2664">
        <f ca="1">SUM(G14:G23)</f>
        <v>1647.7822000000001</v>
      </c>
      <c r="C6" s="2664">
        <f ca="1">IF(B6=G14,结果表!H108,ROUND(B6*10000/$B$1,0))</f>
        <v>18738</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879.38</v>
      </c>
      <c r="C14" s="2676"/>
      <c r="D14" s="2676">
        <f ca="1">ROUND(E14*B14/10000,4)</f>
        <v>1647.7822000000001</v>
      </c>
      <c r="E14" s="2676">
        <f ca="1">结果表!C32</f>
        <v>18738</v>
      </c>
      <c r="F14" s="2676" t="e">
        <f ca="1">ROUND(D14*10000/C14,0)</f>
        <v>#DIV/0!</v>
      </c>
      <c r="G14" s="2676">
        <f ca="1">D14</f>
        <v>1647.7822000000001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35" sqref="H35"/>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554" t="str">
        <f>项目基本情况!S2</f>
        <v>北京市房地产</v>
      </c>
      <c r="B2" s="3555"/>
      <c r="C2" s="3555"/>
      <c r="D2" s="3555"/>
      <c r="E2" s="3555"/>
      <c r="F2" s="3555"/>
      <c r="G2" s="3555"/>
      <c r="H2" s="3555"/>
      <c r="I2" s="3556"/>
    </row>
    <row r="3" spans="1:12" ht="12.75">
      <c r="A3" s="3557" t="s">
        <v>819</v>
      </c>
      <c r="B3" s="3558"/>
      <c r="C3" s="3558"/>
      <c r="D3" s="3558"/>
      <c r="E3" s="3558"/>
      <c r="F3" s="3558"/>
      <c r="G3" s="3558"/>
      <c r="H3" s="3558"/>
      <c r="I3" s="3558"/>
    </row>
    <row r="4" spans="1:12" ht="14.25">
      <c r="A4" s="2389" t="s">
        <v>820</v>
      </c>
      <c r="B4" s="2390" t="s">
        <v>821</v>
      </c>
      <c r="C4" s="2391" t="s">
        <v>822</v>
      </c>
      <c r="D4" s="2391" t="s">
        <v>285</v>
      </c>
      <c r="E4" s="3559" t="s">
        <v>823</v>
      </c>
      <c r="F4" s="3560"/>
      <c r="G4" s="3560"/>
      <c r="H4" s="3560"/>
      <c r="I4" s="356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07" t="s">
        <v>824</v>
      </c>
      <c r="B5" s="3647">
        <v>25</v>
      </c>
      <c r="C5" s="3611"/>
      <c r="D5" s="3573"/>
      <c r="E5" s="319" t="s">
        <v>825</v>
      </c>
      <c r="F5" s="2396"/>
      <c r="G5" s="2396"/>
      <c r="H5" s="2396"/>
      <c r="I5" s="2265"/>
    </row>
    <row r="6" spans="1:12" ht="12.75">
      <c r="A6" s="3607"/>
      <c r="B6" s="3647"/>
      <c r="C6" s="3612"/>
      <c r="D6" s="3573"/>
      <c r="E6" s="319" t="s">
        <v>826</v>
      </c>
      <c r="F6" s="2396"/>
      <c r="G6" s="2396"/>
      <c r="H6" s="2396"/>
      <c r="I6" s="2265"/>
    </row>
    <row r="7" spans="1:12" ht="12.75">
      <c r="A7" s="3607"/>
      <c r="B7" s="3647"/>
      <c r="C7" s="3613"/>
      <c r="D7" s="3573"/>
      <c r="E7" s="319" t="s">
        <v>827</v>
      </c>
      <c r="F7" s="2396"/>
      <c r="G7" s="2396"/>
      <c r="H7" s="2396"/>
      <c r="I7" s="2265"/>
    </row>
    <row r="8" spans="1:12" ht="12.75">
      <c r="A8" s="3607" t="s">
        <v>828</v>
      </c>
      <c r="B8" s="3647">
        <v>15</v>
      </c>
      <c r="C8" s="3611"/>
      <c r="D8" s="3573"/>
      <c r="E8" s="319" t="s">
        <v>829</v>
      </c>
      <c r="F8" s="2396"/>
      <c r="G8" s="2396"/>
      <c r="H8" s="2396"/>
      <c r="I8" s="2265"/>
    </row>
    <row r="9" spans="1:12" ht="12.75">
      <c r="A9" s="3607"/>
      <c r="B9" s="3647"/>
      <c r="C9" s="3613"/>
      <c r="D9" s="3573"/>
      <c r="E9" s="319" t="s">
        <v>830</v>
      </c>
      <c r="F9" s="2396"/>
      <c r="G9" s="2396"/>
      <c r="H9" s="2396"/>
      <c r="I9" s="2265"/>
    </row>
    <row r="10" spans="1:12" ht="12.75">
      <c r="A10" s="3607" t="s">
        <v>831</v>
      </c>
      <c r="B10" s="3647">
        <v>15</v>
      </c>
      <c r="C10" s="3611"/>
      <c r="D10" s="3573"/>
      <c r="E10" s="319" t="s">
        <v>832</v>
      </c>
      <c r="F10" s="2396"/>
      <c r="G10" s="2396"/>
      <c r="H10" s="2396"/>
      <c r="I10" s="2265"/>
    </row>
    <row r="11" spans="1:12" ht="12.75">
      <c r="A11" s="3607"/>
      <c r="B11" s="3647"/>
      <c r="C11" s="3613"/>
      <c r="D11" s="3573"/>
      <c r="E11" s="319" t="s">
        <v>833</v>
      </c>
      <c r="F11" s="2396"/>
      <c r="G11" s="2396"/>
      <c r="H11" s="2396"/>
      <c r="I11" s="2265"/>
    </row>
    <row r="12" spans="1:12" ht="12.75">
      <c r="A12" s="3607" t="s">
        <v>834</v>
      </c>
      <c r="B12" s="3647">
        <v>15</v>
      </c>
      <c r="C12" s="3611"/>
      <c r="D12" s="3573"/>
      <c r="E12" s="319" t="s">
        <v>835</v>
      </c>
      <c r="F12" s="2396"/>
      <c r="G12" s="2396"/>
      <c r="H12" s="2396"/>
      <c r="I12" s="2265"/>
    </row>
    <row r="13" spans="1:12" ht="12.75">
      <c r="A13" s="3607"/>
      <c r="B13" s="3647"/>
      <c r="C13" s="3613"/>
      <c r="D13" s="3573"/>
      <c r="E13" s="319" t="s">
        <v>836</v>
      </c>
      <c r="F13" s="2396"/>
      <c r="G13" s="2396"/>
      <c r="H13" s="2396"/>
      <c r="I13" s="2265"/>
    </row>
    <row r="14" spans="1:12" ht="12.75">
      <c r="A14" s="3607" t="s">
        <v>837</v>
      </c>
      <c r="B14" s="3647">
        <v>30</v>
      </c>
      <c r="C14" s="3611">
        <v>7</v>
      </c>
      <c r="D14" s="3573">
        <v>3</v>
      </c>
      <c r="E14" s="319" t="s">
        <v>838</v>
      </c>
      <c r="F14" s="2396"/>
      <c r="G14" s="2396"/>
      <c r="H14" s="2396"/>
      <c r="I14" s="2265"/>
    </row>
    <row r="15" spans="1:12" ht="12.75">
      <c r="A15" s="3607"/>
      <c r="B15" s="3647"/>
      <c r="C15" s="3612"/>
      <c r="D15" s="3573"/>
      <c r="E15" s="319" t="s">
        <v>839</v>
      </c>
      <c r="F15" s="2396"/>
      <c r="G15" s="2396"/>
      <c r="H15" s="2396"/>
      <c r="I15" s="2265"/>
    </row>
    <row r="16" spans="1:12" ht="12.75">
      <c r="A16" s="3607"/>
      <c r="B16" s="3647"/>
      <c r="C16" s="3613"/>
      <c r="D16" s="3573"/>
      <c r="E16" s="319" t="s">
        <v>840</v>
      </c>
      <c r="F16" s="2396"/>
      <c r="G16" s="2396"/>
      <c r="H16" s="2396"/>
      <c r="I16" s="2265"/>
    </row>
    <row r="17" spans="1:36" ht="15">
      <c r="A17" s="2397" t="s">
        <v>841</v>
      </c>
      <c r="B17" s="2398"/>
      <c r="C17" s="2399">
        <f>SUM(C5:C16)</f>
        <v>7</v>
      </c>
      <c r="D17" s="2399">
        <f>SUM(D5:D16)</f>
        <v>3</v>
      </c>
      <c r="E17" s="1300"/>
      <c r="F17" s="1300"/>
      <c r="G17" s="1300"/>
      <c r="H17" s="1300"/>
      <c r="I17" s="1300"/>
      <c r="K17" s="277"/>
      <c r="L17" s="277" t="s">
        <v>842</v>
      </c>
      <c r="M17" s="277" t="s">
        <v>843</v>
      </c>
    </row>
    <row r="18" spans="1:36" ht="31.9" customHeight="1">
      <c r="A18" s="2400" t="s">
        <v>844</v>
      </c>
      <c r="B18" s="2401"/>
      <c r="C18" s="2402">
        <f>ROUND(C17/SUM(C17:D17),2)</f>
        <v>0.7</v>
      </c>
      <c r="D18" s="2402">
        <f>1-C18</f>
        <v>0.3</v>
      </c>
      <c r="E18" s="3562" t="s">
        <v>845</v>
      </c>
      <c r="F18" s="3563"/>
      <c r="G18" s="3563"/>
      <c r="H18" s="3563"/>
      <c r="I18" s="3563"/>
      <c r="K18" s="277" t="s">
        <v>505</v>
      </c>
      <c r="L18" s="277">
        <f>IF(C1="",'数据-汇总表'!E3,SUMIF(项目类型,C1,'数据-汇总表'!E17:E26)+SUMIF(项目类型,C1,'数据-汇总表'!I17:I26))</f>
        <v>879.38</v>
      </c>
      <c r="M18" s="277">
        <f>IF(C1="",'数据-汇总表'!E3,SUMIF(项目类型,C1,'数据-汇总表'!E17:E26))</f>
        <v>879.38</v>
      </c>
    </row>
    <row r="19" spans="1:36" ht="15">
      <c r="A19" s="2403" t="s">
        <v>846</v>
      </c>
      <c r="B19" s="2404" t="s">
        <v>847</v>
      </c>
      <c r="C19" s="2405">
        <f ca="1">SUMIF(INDIRECT("'"&amp;C4&amp;"'"&amp;"!A:A"),结果表!B19,INDIRECT("'"&amp;C4&amp;"'"&amp;"!B:B"))</f>
        <v>1912.9152999999999</v>
      </c>
      <c r="D19" s="1733">
        <f ca="1">SUMIF(INDIRECT("'"&amp;D4&amp;"'"&amp;"!A:A"),结果表!B19,INDIRECT("'"&amp;D4&amp;"'"&amp;"!B:B"))</f>
        <v>1029.0363</v>
      </c>
      <c r="E19" s="2403" t="s">
        <v>848</v>
      </c>
      <c r="F19" s="2404" t="s">
        <v>847</v>
      </c>
      <c r="G19" s="2406">
        <f ca="1">ROUND(C19*$C$18+D19*$D$18,0)</f>
        <v>1648</v>
      </c>
      <c r="H19" s="2407" t="s">
        <v>849</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850</v>
      </c>
      <c r="C20" s="2028">
        <f ca="1">SUMIF(INDIRECT("'"&amp;C4&amp;"'"&amp;"!A:A"),结果表!B20,INDIRECT("'"&amp;C4&amp;"'"&amp;"!B:B"))</f>
        <v>21753</v>
      </c>
      <c r="D20" s="2031">
        <f ca="1">SUMIF(INDIRECT("'"&amp;D4&amp;"'"&amp;"!A:A"),结果表!B20,INDIRECT("'"&amp;D4&amp;"'"&amp;"!B:B"))</f>
        <v>11702</v>
      </c>
      <c r="E20" s="2408"/>
      <c r="F20" s="2409" t="s">
        <v>850</v>
      </c>
      <c r="G20" s="2410">
        <f ca="1">ROUND(C20*$C$18+D20*$D$18,0)</f>
        <v>18738</v>
      </c>
      <c r="H20" s="440" t="s">
        <v>851</v>
      </c>
      <c r="I20" s="1300"/>
    </row>
    <row r="21" spans="1:36" ht="15" customHeight="1">
      <c r="A21" s="2346"/>
      <c r="B21" s="2411" t="s">
        <v>852</v>
      </c>
      <c r="C21" s="2412" t="e">
        <f ca="1">ROUND(C19*10000/L19,0)</f>
        <v>#DIV/0!</v>
      </c>
      <c r="D21" s="2413" t="e">
        <f ca="1">ROUND(D19*10000/L19,0)</f>
        <v>#DIV/0!</v>
      </c>
      <c r="E21" s="2346"/>
      <c r="F21" s="2411" t="s">
        <v>852</v>
      </c>
      <c r="G21" s="2414" t="e">
        <f ca="1">ROUND(G19*10000/L19,0)</f>
        <v>#DIV/0!</v>
      </c>
      <c r="H21" s="2415" t="s">
        <v>851</v>
      </c>
      <c r="I21" s="1300"/>
    </row>
    <row r="22" spans="1:36" ht="14.25">
      <c r="A22" s="2416" t="s">
        <v>853</v>
      </c>
      <c r="B22" s="2417"/>
      <c r="C22" s="2418"/>
      <c r="D22" s="2419">
        <f ca="1">IF(C19&lt;D19,D19/C19-1,C19/D19-1)</f>
        <v>0.85893860109696796</v>
      </c>
      <c r="E22" s="1300"/>
      <c r="F22" s="1300"/>
      <c r="G22" s="1300"/>
      <c r="H22" s="1300"/>
      <c r="I22" s="1300"/>
    </row>
    <row r="23" spans="1:36" ht="12.75">
      <c r="A23" s="2384"/>
      <c r="B23" s="2384"/>
      <c r="C23" s="2384"/>
      <c r="D23" s="2384"/>
      <c r="E23" s="1300"/>
      <c r="F23" s="1300"/>
      <c r="G23" s="1300"/>
      <c r="H23" s="1300"/>
      <c r="I23" s="1300"/>
    </row>
    <row r="24" spans="1:36" ht="14.25">
      <c r="A24" s="3640" t="s">
        <v>854</v>
      </c>
      <c r="B24" s="2404" t="s">
        <v>847</v>
      </c>
      <c r="C24" s="2406">
        <f>IF(B30=0,0,D30)</f>
        <v>0</v>
      </c>
      <c r="D24" s="2420"/>
      <c r="E24" s="1300"/>
      <c r="F24" s="1300"/>
      <c r="G24" s="1300"/>
      <c r="H24" s="1300"/>
      <c r="I24" s="1300"/>
    </row>
    <row r="25" spans="1:36" ht="14.25">
      <c r="A25" s="3641"/>
      <c r="B25" s="2409" t="s">
        <v>850</v>
      </c>
      <c r="C25" s="2421">
        <f>IF(B30=0,0,C30)</f>
        <v>0</v>
      </c>
      <c r="D25" s="2422"/>
      <c r="E25" s="1300"/>
      <c r="F25" s="1300"/>
      <c r="G25" s="1300"/>
      <c r="H25" s="1300"/>
      <c r="I25" s="1300"/>
    </row>
    <row r="26" spans="1:36" ht="13.5" customHeight="1">
      <c r="A26" s="2423" t="s">
        <v>855</v>
      </c>
      <c r="B26" s="2424" t="s">
        <v>856</v>
      </c>
      <c r="C26" s="2424" t="s">
        <v>857</v>
      </c>
      <c r="D26" s="2425" t="s">
        <v>858</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859</v>
      </c>
      <c r="B30" s="2424"/>
      <c r="C30" s="2424"/>
      <c r="D30" s="2424"/>
      <c r="E30" s="2426" t="s">
        <v>860</v>
      </c>
      <c r="F30" s="1300"/>
      <c r="G30" s="1300"/>
      <c r="H30" s="1300"/>
      <c r="I30" s="1300"/>
    </row>
    <row r="31" spans="1:36" s="2378" customFormat="1" ht="26.45" customHeight="1">
      <c r="A31" s="2427"/>
      <c r="B31" s="2428"/>
      <c r="C31" s="2428"/>
      <c r="D31" s="2428"/>
      <c r="E31" s="2428"/>
      <c r="F31" s="2428"/>
      <c r="G31" s="2428"/>
      <c r="H31" s="2428"/>
      <c r="I31" s="2522" t="s">
        <v>861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862</v>
      </c>
      <c r="B32" s="2430"/>
      <c r="C32" s="2431">
        <f ca="1">IF(D32="总价",G19-C24,G20-C25)</f>
        <v>18738</v>
      </c>
      <c r="D32" s="2432" t="s">
        <v>863</v>
      </c>
      <c r="E32" s="1300"/>
      <c r="F32" s="1300"/>
      <c r="G32" s="1300"/>
      <c r="H32" s="1300"/>
      <c r="I32" s="1300"/>
    </row>
    <row r="33" spans="1:15" ht="15">
      <c r="A33" s="2287" t="s">
        <v>864</v>
      </c>
      <c r="B33" s="2433"/>
      <c r="C33" s="2434" t="s">
        <v>865</v>
      </c>
      <c r="D33" s="2435" t="s">
        <v>285</v>
      </c>
      <c r="E33" s="2436" t="s">
        <v>866</v>
      </c>
      <c r="F33" s="2437" t="str">
        <f>IF(D32="楼面单价","取值（单价）","取值（总价）")</f>
        <v>取值（单价）</v>
      </c>
      <c r="G33" s="1300"/>
      <c r="H33" s="1300"/>
      <c r="I33" s="1300"/>
    </row>
    <row r="34" spans="1:15" ht="15">
      <c r="A34" s="2438"/>
      <c r="B34" s="2439" t="s">
        <v>867</v>
      </c>
      <c r="C34" s="2440">
        <f ca="1">IF(C33="自定义",F34,C32-C35)</f>
        <v>9762</v>
      </c>
      <c r="D34" s="2441">
        <f ca="1">IF(C33="自定义",ROUND(C34/C32,3),IF(C33="收益比率",SUMIF(INDIRECT("'"&amp;D33&amp;"'"&amp;"!b:b"),"土地收益比率",INDIRECT("'"&amp;D33&amp;"'"&amp;"!c:c")),SUMIF(INDIRECT("'"&amp;D33&amp;"'"&amp;"!b:b"),"土地成本比率",INDIRECT("'"&amp;D33&amp;"'"&amp;"!c:c"))))</f>
        <v>0.52100000000000002</v>
      </c>
      <c r="E34" s="2442" t="s">
        <v>868</v>
      </c>
      <c r="F34" s="2443"/>
      <c r="G34" s="1300"/>
      <c r="H34" s="1300"/>
      <c r="I34" s="1300"/>
    </row>
    <row r="35" spans="1:15" ht="15">
      <c r="A35" s="2444"/>
      <c r="B35" s="2445" t="s">
        <v>869</v>
      </c>
      <c r="C35" s="2446">
        <f ca="1">IF(C33="自定义",F35,ROUND(C32*D35,0))</f>
        <v>8976</v>
      </c>
      <c r="D35" s="2447">
        <f ca="1">IF(C33="自定义",ROUND(C35/C32,3),IF(C33="收益比率",SUMIF(INDIRECT("'"&amp;D33&amp;"'"&amp;"!b:b"),"建筑物收益比率",INDIRECT("'"&amp;D33&amp;"'"&amp;"!c:c")),SUMIF(INDIRECT("'"&amp;D33&amp;"'"&amp;"!b:b"),"建筑物成本比率",INDIRECT("'"&amp;D33&amp;"'"&amp;"!c:c"))))</f>
        <v>0.47899999999999998</v>
      </c>
      <c r="E35" s="2448" t="s">
        <v>870</v>
      </c>
      <c r="F35" s="2449"/>
      <c r="G35" s="1300"/>
      <c r="H35" s="1300"/>
      <c r="I35" s="1300"/>
    </row>
    <row r="36" spans="1:15" ht="15">
      <c r="A36" s="3642" t="s">
        <v>871</v>
      </c>
      <c r="B36" s="2450" t="s">
        <v>872</v>
      </c>
      <c r="C36" s="2451"/>
      <c r="D36" s="2452"/>
      <c r="E36" s="2453"/>
      <c r="F36" s="2454"/>
      <c r="G36" s="1300"/>
      <c r="H36" s="1300"/>
      <c r="I36" s="1300"/>
    </row>
    <row r="37" spans="1:15" ht="15">
      <c r="A37" s="3643"/>
      <c r="B37" s="2455" t="s">
        <v>873</v>
      </c>
      <c r="C37" s="2456"/>
      <c r="D37" s="2457"/>
      <c r="E37" s="2457"/>
      <c r="F37" s="2454"/>
      <c r="G37" s="1300"/>
      <c r="H37" s="1300"/>
      <c r="I37" s="1300"/>
    </row>
    <row r="38" spans="1:15" ht="15">
      <c r="A38" s="3644"/>
      <c r="B38" s="2458" t="s">
        <v>874</v>
      </c>
      <c r="C38" s="2459"/>
      <c r="D38" s="2460" t="s">
        <v>875</v>
      </c>
      <c r="E38" s="2457"/>
      <c r="F38" s="2454"/>
      <c r="G38" s="1300"/>
      <c r="H38" s="1300"/>
      <c r="I38" s="1300"/>
    </row>
    <row r="39" spans="1:15" ht="15">
      <c r="A39" s="2408" t="s">
        <v>876</v>
      </c>
      <c r="B39" s="2461" t="s">
        <v>856</v>
      </c>
      <c r="C39" s="2462" t="s">
        <v>857</v>
      </c>
      <c r="D39" s="2462" t="s">
        <v>877</v>
      </c>
      <c r="E39" s="2463" t="s">
        <v>858</v>
      </c>
      <c r="F39" s="2454"/>
      <c r="G39" s="1300"/>
      <c r="H39" s="1300"/>
      <c r="I39" s="1300"/>
    </row>
    <row r="40" spans="1:15" ht="14.25">
      <c r="A40" s="2464" t="s">
        <v>878</v>
      </c>
      <c r="B40" s="2465"/>
      <c r="C40" s="1313"/>
      <c r="D40" s="1313"/>
      <c r="E40" s="2466"/>
      <c r="F40" s="2454"/>
      <c r="G40" s="1300"/>
      <c r="H40" s="1300"/>
      <c r="I40" s="1300"/>
    </row>
    <row r="41" spans="1:15" ht="14.25">
      <c r="A41" s="2464" t="s">
        <v>879</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880</v>
      </c>
      <c r="B44" s="2473"/>
      <c r="C44" s="2473"/>
      <c r="D44" s="2474"/>
      <c r="E44" s="2474"/>
      <c r="F44" s="2475"/>
      <c r="G44" s="2475"/>
      <c r="H44" s="2475"/>
      <c r="I44" s="2475"/>
      <c r="J44" s="2526" t="s">
        <v>881</v>
      </c>
      <c r="K44" s="2527"/>
      <c r="L44" s="2527"/>
      <c r="M44" s="2527"/>
      <c r="N44" s="2527"/>
      <c r="O44" s="2527"/>
    </row>
    <row r="45" spans="1:15" ht="14.25" customHeight="1">
      <c r="A45" s="3564" t="s">
        <v>882</v>
      </c>
      <c r="B45" s="3565"/>
      <c r="C45" s="3566"/>
      <c r="D45" s="276">
        <f ca="1">ROUND(H101*F45,0)</f>
        <v>1648</v>
      </c>
      <c r="E45" s="2476" t="s">
        <v>883</v>
      </c>
      <c r="F45" s="2477">
        <v>1</v>
      </c>
      <c r="G45" s="2478" t="s">
        <v>884</v>
      </c>
      <c r="H45" s="1300"/>
      <c r="I45" s="1300"/>
      <c r="J45" s="3567" t="s">
        <v>885</v>
      </c>
      <c r="K45" s="3567"/>
      <c r="L45" s="3567"/>
      <c r="M45" s="3567"/>
      <c r="N45" s="3567"/>
      <c r="O45" s="3567"/>
    </row>
    <row r="46" spans="1:15" ht="14.25" customHeight="1">
      <c r="A46" s="3568" t="s">
        <v>886</v>
      </c>
      <c r="B46" s="3569"/>
      <c r="C46" s="3569"/>
      <c r="D46" s="3569"/>
      <c r="E46" s="3569"/>
      <c r="F46" s="3569"/>
      <c r="G46" s="3570"/>
      <c r="H46" s="2479"/>
      <c r="I46" s="1301"/>
      <c r="J46" s="928">
        <v>1</v>
      </c>
      <c r="K46" s="3571" t="s">
        <v>887</v>
      </c>
      <c r="L46" s="3571"/>
      <c r="M46" s="3572"/>
      <c r="N46" s="3572"/>
      <c r="O46" s="3572"/>
    </row>
    <row r="47" spans="1:15" ht="12" customHeight="1">
      <c r="A47" s="2480" t="s">
        <v>888</v>
      </c>
      <c r="B47" s="2481"/>
      <c r="C47" s="2482"/>
      <c r="D47" s="330" t="s">
        <v>889</v>
      </c>
      <c r="E47" s="277" t="s">
        <v>890</v>
      </c>
      <c r="F47" s="2483" t="s">
        <v>891</v>
      </c>
      <c r="G47" s="2484" t="s">
        <v>892</v>
      </c>
      <c r="H47" s="2485"/>
      <c r="I47" s="1301"/>
      <c r="J47" s="928">
        <v>2</v>
      </c>
      <c r="K47" s="3571" t="s">
        <v>893</v>
      </c>
      <c r="L47" s="3571"/>
      <c r="M47" s="3574">
        <f>'数据-取费表'!B2</f>
        <v>45874</v>
      </c>
      <c r="N47" s="3574"/>
      <c r="O47" s="3574"/>
    </row>
    <row r="48" spans="1:15" ht="25.5">
      <c r="A48" s="3575" t="s">
        <v>894</v>
      </c>
      <c r="B48" s="3576"/>
      <c r="C48" s="3576"/>
      <c r="D48" s="438" t="b">
        <f>IF(H48="情况1",0,IF(H48="情况2",D52,IF(H48="情况3",D53,IF(H48="情况4",D54))))</f>
        <v>0</v>
      </c>
      <c r="E48" s="334" t="str">
        <f>IF(H48="情况4","(销售额-原购置价)×税（费）率","销售额×税（费）率")</f>
        <v>销售额×税（费）率</v>
      </c>
      <c r="F48" s="2487">
        <f>IF(H48="情况1","免征",'数据-取费表'!B41)</f>
        <v>5.5E-2</v>
      </c>
      <c r="G48" s="2488" t="s">
        <v>895</v>
      </c>
      <c r="H48" s="2489"/>
      <c r="I48" s="2479"/>
      <c r="J48" s="928">
        <v>3</v>
      </c>
      <c r="K48" s="3571" t="s">
        <v>896</v>
      </c>
      <c r="L48" s="3571"/>
      <c r="M48" s="3577">
        <f ca="1">H101</f>
        <v>1648</v>
      </c>
      <c r="N48" s="3577"/>
      <c r="O48" s="3577"/>
    </row>
    <row r="49" spans="1:35" ht="25.5" customHeight="1">
      <c r="A49" s="2486" t="s">
        <v>897</v>
      </c>
      <c r="B49" s="3578" t="s">
        <v>898</v>
      </c>
      <c r="C49" s="3578"/>
      <c r="D49" s="2490">
        <v>0</v>
      </c>
      <c r="E49" s="340" t="s">
        <v>899</v>
      </c>
      <c r="F49" s="2491" t="s">
        <v>124</v>
      </c>
      <c r="G49" s="3583"/>
      <c r="H49" s="2492" t="s">
        <v>900</v>
      </c>
      <c r="I49" s="2529"/>
      <c r="J49" s="928">
        <v>4</v>
      </c>
      <c r="K49" s="3571" t="str">
        <f>IF(项目基本情况!E8="房地产抵押价值","房地产抵押价值","抵押担保权已注销时的房地产抵押价值")</f>
        <v>房地产抵押价值</v>
      </c>
      <c r="L49" s="3571"/>
      <c r="M49" s="3577">
        <f ca="1">IF(项目基本情况!E8="房地产抵押价值",H107,H109)</f>
        <v>1648</v>
      </c>
      <c r="N49" s="3577"/>
      <c r="O49" s="3577"/>
    </row>
    <row r="50" spans="1:35" ht="25.5" customHeight="1">
      <c r="A50" s="2493"/>
      <c r="B50" s="3578" t="s">
        <v>901</v>
      </c>
      <c r="C50" s="3578"/>
      <c r="D50" s="2494"/>
      <c r="E50" s="355"/>
      <c r="F50" s="2491"/>
      <c r="G50" s="3584"/>
      <c r="H50" s="2495" t="s">
        <v>902</v>
      </c>
      <c r="I50" s="2529"/>
      <c r="J50" s="3567" t="s">
        <v>903</v>
      </c>
      <c r="K50" s="3567"/>
      <c r="L50" s="3567"/>
      <c r="M50" s="3567"/>
      <c r="N50" s="3567"/>
      <c r="O50" s="3567"/>
    </row>
    <row r="51" spans="1:35" ht="20.45" customHeight="1">
      <c r="A51" s="2496"/>
      <c r="B51" s="3578" t="s">
        <v>904</v>
      </c>
      <c r="C51" s="3578"/>
      <c r="D51" s="330"/>
      <c r="E51" s="344"/>
      <c r="F51" s="2491"/>
      <c r="G51" s="3585"/>
      <c r="H51" s="2495" t="s">
        <v>905</v>
      </c>
      <c r="I51" s="2529"/>
      <c r="J51" s="2528" t="s">
        <v>906</v>
      </c>
      <c r="K51" s="3571" t="s">
        <v>907</v>
      </c>
      <c r="L51" s="3571"/>
      <c r="M51" s="2528" t="s">
        <v>908</v>
      </c>
      <c r="N51" s="2528" t="s">
        <v>909</v>
      </c>
      <c r="O51" s="2528" t="s">
        <v>910</v>
      </c>
    </row>
    <row r="52" spans="1:35" ht="24" customHeight="1">
      <c r="A52" s="2497" t="s">
        <v>911</v>
      </c>
      <c r="B52" s="3578" t="s">
        <v>912</v>
      </c>
      <c r="C52" s="3578"/>
      <c r="D52" s="330">
        <f ca="1">ROUND(D45*'数据-取费表'!B41/(1+'数据-取费表'!C42),0)</f>
        <v>86</v>
      </c>
      <c r="E52" s="334" t="s">
        <v>913</v>
      </c>
      <c r="F52" s="2498">
        <f>'数据-取费表'!B41</f>
        <v>5.5E-2</v>
      </c>
      <c r="G52" s="2499"/>
      <c r="H52" s="453"/>
      <c r="I52" s="2530"/>
      <c r="J52" s="928">
        <v>1</v>
      </c>
      <c r="K52" s="3579" t="s">
        <v>914</v>
      </c>
      <c r="L52" s="3579"/>
      <c r="M52" s="2531" t="b">
        <f>D48</f>
        <v>0</v>
      </c>
      <c r="N52" s="928" t="str">
        <f>E48</f>
        <v>销售额×税（费）率</v>
      </c>
      <c r="O52" s="2532">
        <f>F48</f>
        <v>5.5E-2</v>
      </c>
    </row>
    <row r="53" spans="1:35" ht="12" customHeight="1">
      <c r="A53" s="2497" t="s">
        <v>915</v>
      </c>
      <c r="B53" s="3580" t="s">
        <v>916</v>
      </c>
      <c r="C53" s="3581"/>
      <c r="D53" s="330">
        <f ca="1">ROUND(D45*'数据-取费表'!B41/(1+'数据-取费表'!C42),0)</f>
        <v>86</v>
      </c>
      <c r="E53" s="334" t="s">
        <v>913</v>
      </c>
      <c r="F53" s="2498">
        <f>'数据-取费表'!B41</f>
        <v>5.5E-2</v>
      </c>
      <c r="G53" s="2499"/>
      <c r="H53" s="453"/>
      <c r="I53" s="2530"/>
      <c r="J53" s="928">
        <v>2</v>
      </c>
      <c r="K53" s="3579" t="s">
        <v>917</v>
      </c>
      <c r="L53" s="3579"/>
      <c r="M53" s="2531">
        <f t="shared" ref="M53:O54" ca="1" si="0">D55</f>
        <v>1</v>
      </c>
      <c r="N53" s="928" t="str">
        <f t="shared" si="0"/>
        <v>销售额×税（费）率</v>
      </c>
      <c r="O53" s="2532" t="str">
        <f t="shared" si="0"/>
        <v>免征</v>
      </c>
    </row>
    <row r="54" spans="1:35" ht="12" customHeight="1">
      <c r="A54" s="2497" t="s">
        <v>918</v>
      </c>
      <c r="B54" s="3580" t="s">
        <v>919</v>
      </c>
      <c r="C54" s="3581"/>
      <c r="D54" s="330">
        <f ca="1">C68</f>
        <v>86</v>
      </c>
      <c r="E54" s="344" t="s">
        <v>920</v>
      </c>
      <c r="F54" s="2498">
        <f>'数据-取费表'!B41</f>
        <v>5.5E-2</v>
      </c>
      <c r="G54" s="2499"/>
      <c r="H54" s="2500"/>
      <c r="I54" s="2530"/>
      <c r="J54" s="928">
        <v>3</v>
      </c>
      <c r="K54" s="3579" t="s">
        <v>921</v>
      </c>
      <c r="L54" s="3579"/>
      <c r="M54" s="2531">
        <f t="shared" ca="1" si="0"/>
        <v>934</v>
      </c>
      <c r="N54" s="928" t="str">
        <f t="shared" si="0"/>
        <v>增值额×税（费）率</v>
      </c>
      <c r="O54" s="2533" t="str">
        <f t="shared" si="0"/>
        <v>免征</v>
      </c>
    </row>
    <row r="55" spans="1:35" ht="24" customHeight="1">
      <c r="A55" s="3582" t="s">
        <v>922</v>
      </c>
      <c r="B55" s="3576"/>
      <c r="C55" s="3576"/>
      <c r="D55" s="438">
        <f ca="1">IF(H55="个人住宅",0,ROUND(D45*I55,0))</f>
        <v>1</v>
      </c>
      <c r="E55" s="334" t="s">
        <v>923</v>
      </c>
      <c r="F55" s="2498" t="str">
        <f>IF(H55="正常",I55,"免征")</f>
        <v>免征</v>
      </c>
      <c r="G55" s="2499"/>
      <c r="H55" s="2489"/>
      <c r="I55" s="2534">
        <f>'数据-取费表'!B49</f>
        <v>5.0000000000000001E-4</v>
      </c>
      <c r="J55" s="928">
        <f>IF(H59="非个人房产","",4)</f>
        <v>4</v>
      </c>
      <c r="K55" s="3579" t="str">
        <f>IF(H59="非个人房产","——","个人所得税")</f>
        <v>个人所得税</v>
      </c>
      <c r="L55" s="3579"/>
      <c r="M55" s="2535">
        <f ca="1">D59</f>
        <v>16</v>
      </c>
      <c r="N55" s="909" t="str">
        <f>E59</f>
        <v>差额计税</v>
      </c>
      <c r="O55" s="2536">
        <f>F59</f>
        <v>0.01</v>
      </c>
    </row>
    <row r="56" spans="1:35" ht="24.75">
      <c r="A56" s="3582" t="s">
        <v>924</v>
      </c>
      <c r="B56" s="3576"/>
      <c r="C56" s="3576"/>
      <c r="D56" s="438">
        <f ca="1">IF(H56="个人住宅",D57,D58)</f>
        <v>934</v>
      </c>
      <c r="E56" s="334" t="s">
        <v>925</v>
      </c>
      <c r="F56" s="2498" t="str">
        <f>IF(H56="正常",F58,"免征")</f>
        <v>免征</v>
      </c>
      <c r="G56" s="2501" t="s">
        <v>926</v>
      </c>
      <c r="H56" s="2502"/>
      <c r="I56" s="2511"/>
      <c r="J56" s="928" t="str">
        <f>IF(项目基本情况!K6="上海银行",IF(J55="",4,J55+1),"")</f>
        <v/>
      </c>
      <c r="K56" s="3595" t="str">
        <f>IF(项目基本情况!K6="上海银行","其他处置费用","")</f>
        <v/>
      </c>
      <c r="L56" s="3596"/>
      <c r="M56" s="2531" t="str">
        <f>IF(项目基本情况!K6="上海银行",M69,"")</f>
        <v/>
      </c>
      <c r="N56" s="3595" t="str">
        <f>IF(项目基本情况!K6="上海银行","包含处置中涉及的律师、诉讼、拍卖、评估等费用","")</f>
        <v/>
      </c>
      <c r="O56" s="3597"/>
    </row>
    <row r="57" spans="1:35" ht="12.75">
      <c r="A57" s="2497" t="s">
        <v>897</v>
      </c>
      <c r="B57" s="3580" t="s">
        <v>927</v>
      </c>
      <c r="C57" s="3581"/>
      <c r="D57" s="2490">
        <v>0</v>
      </c>
      <c r="E57" s="340" t="s">
        <v>899</v>
      </c>
      <c r="F57" s="277"/>
      <c r="G57" s="2499"/>
      <c r="H57" s="2503"/>
      <c r="I57" s="2511"/>
      <c r="J57" s="3579">
        <f>IF(AND(J55="",J56=""),4,IF(项目基本情况!K6="上海银行",结果表!J56+1,结果表!J55+1))</f>
        <v>5</v>
      </c>
      <c r="K57" s="3579" t="s">
        <v>928</v>
      </c>
      <c r="L57" s="2537" t="s">
        <v>929</v>
      </c>
      <c r="M57" s="2538"/>
      <c r="N57" s="2539">
        <f ca="1">SUMIF(M52:M56,"&lt;9e307")</f>
        <v>951</v>
      </c>
      <c r="O57" s="2540"/>
      <c r="P57" s="2541">
        <f ca="1">N57/M49</f>
        <v>0.5770631067961165</v>
      </c>
    </row>
    <row r="58" spans="1:35" ht="24.75">
      <c r="A58" s="2497" t="s">
        <v>911</v>
      </c>
      <c r="B58" s="3580" t="s">
        <v>930</v>
      </c>
      <c r="C58" s="3578"/>
      <c r="D58" s="438">
        <f ca="1">IF(H58="转让取得",C81,C97)</f>
        <v>934</v>
      </c>
      <c r="E58" s="334" t="s">
        <v>925</v>
      </c>
      <c r="F58" s="277" t="s">
        <v>124</v>
      </c>
      <c r="G58" s="2499"/>
      <c r="H58" s="2502"/>
      <c r="I58" s="2511"/>
      <c r="J58" s="3579"/>
      <c r="K58" s="3579"/>
      <c r="L58" s="2537" t="s">
        <v>931</v>
      </c>
      <c r="M58" s="2542"/>
      <c r="N58" s="2543" t="str">
        <f ca="1">NUMBERSTRING(INT(N57*10000),2)&amp;"元整"</f>
        <v>玖佰伍拾壹万元整</v>
      </c>
      <c r="O58" s="2544"/>
    </row>
    <row r="59" spans="1:35" ht="24">
      <c r="A59" s="3598" t="s">
        <v>932</v>
      </c>
      <c r="B59" s="3599"/>
      <c r="C59" s="3599"/>
      <c r="D59" s="2504">
        <f ca="1">IF(H59="非个人房产","——",IF(H59="个人住宅（满五唯一有凭证）",0,IF(H59="个人其他（无凭证）",ROUND(D45*F59,0),ROUND(C67*F59,0))))</f>
        <v>16</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926</v>
      </c>
      <c r="H59" s="2508"/>
      <c r="I59" s="2545" t="s">
        <v>933</v>
      </c>
      <c r="J59" s="3601">
        <f>J57+1</f>
        <v>6</v>
      </c>
      <c r="K59" s="3579" t="s">
        <v>934</v>
      </c>
      <c r="L59" s="928" t="s">
        <v>929</v>
      </c>
      <c r="M59" s="2546"/>
      <c r="N59" s="2547">
        <f ca="1">M49-N57</f>
        <v>697</v>
      </c>
      <c r="O59" s="2548"/>
    </row>
    <row r="60" spans="1:35" ht="12" customHeight="1">
      <c r="A60" s="2509"/>
      <c r="B60" s="2384"/>
      <c r="C60" s="2384"/>
      <c r="D60" s="2384"/>
      <c r="E60" s="2510"/>
      <c r="F60" s="2511"/>
      <c r="G60" s="2511"/>
      <c r="H60" s="2512"/>
      <c r="I60" s="1300"/>
      <c r="J60" s="3602"/>
      <c r="K60" s="3579"/>
      <c r="L60" s="2537" t="s">
        <v>931</v>
      </c>
      <c r="M60" s="2542"/>
      <c r="N60" s="2543" t="str">
        <f ca="1">NUMBERSTRING(INT(N59*10000),2)&amp;"元整"</f>
        <v>陆佰玖拾柒万元整</v>
      </c>
      <c r="O60" s="2544"/>
    </row>
    <row r="61" spans="1:35" ht="12.75">
      <c r="A61" s="3600" t="s">
        <v>935</v>
      </c>
      <c r="B61" s="3600"/>
      <c r="C61" s="3600"/>
      <c r="D61" s="3600"/>
      <c r="E61" s="3600"/>
      <c r="F61" s="2511"/>
      <c r="G61" s="2511"/>
      <c r="H61" s="2512"/>
      <c r="I61" s="1300"/>
      <c r="J61" s="928">
        <f>J59+1</f>
        <v>7</v>
      </c>
      <c r="K61" s="3579" t="s">
        <v>936</v>
      </c>
      <c r="L61" s="3579"/>
      <c r="M61" s="2549"/>
      <c r="N61" s="2550">
        <f ca="1">ROUND(N59*10000/'数据-汇总表'!E3,0)</f>
        <v>7926</v>
      </c>
      <c r="O61" s="2551"/>
    </row>
    <row r="62" spans="1:35" ht="12.75">
      <c r="A62" s="3588" t="s">
        <v>937</v>
      </c>
      <c r="B62" s="3589"/>
      <c r="C62" s="879"/>
      <c r="D62" s="879" t="s">
        <v>938</v>
      </c>
      <c r="E62" s="2513" t="s">
        <v>892</v>
      </c>
      <c r="F62" s="2511"/>
      <c r="G62" s="2511"/>
      <c r="H62" s="2512"/>
      <c r="I62" s="1300"/>
    </row>
    <row r="63" spans="1:35" ht="12.75">
      <c r="A63" s="2514" t="s">
        <v>939</v>
      </c>
      <c r="B63" s="938" t="s">
        <v>940</v>
      </c>
      <c r="C63" s="2515">
        <f ca="1">ROUND((C64+C65)/(1+'数据-取费表'!C42),0)</f>
        <v>1570</v>
      </c>
      <c r="D63" s="938"/>
      <c r="E63" s="2516"/>
      <c r="F63" s="2511"/>
      <c r="G63" s="2511"/>
      <c r="H63" s="2512"/>
      <c r="I63" s="1300"/>
      <c r="J63" s="3632" t="s">
        <v>941</v>
      </c>
      <c r="K63" s="2552" t="s">
        <v>942</v>
      </c>
      <c r="L63" s="2552">
        <f ca="1">IF(M49&gt;10000,M49*0.5%,IF(AND(M49&gt;1000,M49&lt;=10000),M49*1%,IF(AND(M49&gt;100,M49&lt;=1000),M49*3%,IF(AND(M49&gt;10,M49&lt;=100),M49*5%,M49*8%))))</f>
        <v>16.48</v>
      </c>
      <c r="M63" s="277">
        <f ca="1">ROUND(L63,1)</f>
        <v>16.5</v>
      </c>
      <c r="N63" s="2553"/>
      <c r="Z63" s="2381"/>
      <c r="AI63" s="2382"/>
    </row>
    <row r="64" spans="1:35" ht="14.25" customHeight="1">
      <c r="A64" s="2517" t="s">
        <v>943</v>
      </c>
      <c r="B64" s="865" t="s">
        <v>944</v>
      </c>
      <c r="C64" s="2518">
        <f ca="1">D45</f>
        <v>1648</v>
      </c>
      <c r="D64" s="865" t="s">
        <v>124</v>
      </c>
      <c r="E64" s="2519"/>
      <c r="F64" s="2511"/>
      <c r="G64" s="2511"/>
      <c r="H64" s="2512"/>
      <c r="I64" s="1300"/>
      <c r="J64" s="3632"/>
      <c r="K64" s="2552" t="s">
        <v>945</v>
      </c>
      <c r="L64" s="2552">
        <f ca="1">IF(M49&gt;2000,M49*0.5%,IF(AND(M49&gt;1000,M49&lt;=2000),M49*0.6%,IF(AND(M49&gt;500,M49&lt;=1000),M49*0.7%,IF(AND(M49&gt;200,M49&lt;=500),M49*0.8%,IF(AND(M49&gt;100,M49&lt;=200),M49*0.9%,IF(AND(M49&gt;50,M49&lt;=100),M49*1%,IF(AND(M49&gt;20,M49&lt;=50),M49*1.5%,IF(AND(M49&gt;10,M49&lt;=20),M49*2%,IF(AND(M49&gt;1,M49&lt;=10),M49*2.5%)))))))))</f>
        <v>9.8879999999999999</v>
      </c>
      <c r="M64" s="277">
        <f t="shared" ref="M64:M65" ca="1" si="1">ROUND(L64,1)</f>
        <v>9.9</v>
      </c>
      <c r="N64" s="453" t="s">
        <v>946</v>
      </c>
      <c r="Z64" s="2381"/>
      <c r="AI64" s="2382"/>
    </row>
    <row r="65" spans="1:35" ht="14.25" customHeight="1">
      <c r="A65" s="2517" t="s">
        <v>947</v>
      </c>
      <c r="B65" s="865" t="s">
        <v>948</v>
      </c>
      <c r="C65" s="2555"/>
      <c r="D65" s="865"/>
      <c r="E65" s="2519"/>
      <c r="F65" s="2511"/>
      <c r="G65" s="2511"/>
      <c r="H65" s="2512"/>
      <c r="I65" s="1300"/>
      <c r="J65" s="3632"/>
      <c r="K65" s="2552" t="s">
        <v>949</v>
      </c>
      <c r="L65" s="2552">
        <f ca="1">IF(M49&gt;1000,M49*0.1%,IF(AND(M49&gt;500,M49&lt;=1000),M49*0.5%,IF(AND(M49&gt;50,M49&lt;=500),M49*1%,IF(AND(M49&gt;1,M49&lt;=50),M49*1.5%))))</f>
        <v>1.6480000000000001</v>
      </c>
      <c r="M65" s="277">
        <f t="shared" ca="1" si="1"/>
        <v>1.6</v>
      </c>
      <c r="N65" s="453" t="s">
        <v>946</v>
      </c>
      <c r="Z65" s="2381"/>
      <c r="AI65" s="2382"/>
    </row>
    <row r="66" spans="1:35" ht="14.25" customHeight="1">
      <c r="A66" s="2514" t="s">
        <v>950</v>
      </c>
      <c r="B66" s="2556" t="s">
        <v>951</v>
      </c>
      <c r="C66" s="2557"/>
      <c r="D66" s="2556" t="s">
        <v>124</v>
      </c>
      <c r="E66" s="2558" t="s">
        <v>952</v>
      </c>
      <c r="F66" s="2511"/>
      <c r="G66" s="2511"/>
      <c r="H66" s="2512"/>
      <c r="I66" s="1300"/>
      <c r="J66" s="3632"/>
      <c r="K66" s="2552" t="s">
        <v>953</v>
      </c>
      <c r="L66" s="2552">
        <f ca="1">M49*0.5%</f>
        <v>8.24</v>
      </c>
      <c r="M66" s="277">
        <f ca="1">IF(L66&gt;0.5,0.5,ROUND(L66,0))</f>
        <v>0.5</v>
      </c>
      <c r="N66" s="453" t="s">
        <v>954</v>
      </c>
      <c r="Z66" s="2381"/>
      <c r="AI66" s="2382"/>
    </row>
    <row r="67" spans="1:35" ht="14.25" customHeight="1">
      <c r="A67" s="2514" t="s">
        <v>955</v>
      </c>
      <c r="B67" s="2556" t="s">
        <v>956</v>
      </c>
      <c r="C67" s="2559">
        <f ca="1">C63-C66</f>
        <v>1570</v>
      </c>
      <c r="D67" s="865" t="s">
        <v>124</v>
      </c>
      <c r="E67" s="2519"/>
      <c r="F67" s="2511"/>
      <c r="G67" s="2511"/>
      <c r="H67" s="2512"/>
      <c r="I67" s="1300"/>
      <c r="J67" s="3632"/>
      <c r="K67" s="2552" t="s">
        <v>957</v>
      </c>
      <c r="L67" s="2552">
        <f ca="1">IF(M49&gt;=10000,(8.25+(M49-10000)*0.01%),IF(AND(M49&gt;=8000,M49&lt;10000),(7.85+(M49-8000)*0.02%),IF(AND(M49&gt;=5000,M49&lt;8000),(6.65+(M49-5000)*0.04%),IF(AND(M49&gt;=2000,M49&lt;5000),(4.25+(PM49-2000)*0.08%),IF(AND(M49&gt;=1000,M49&lt;2000),(2.75+(M49-1000)*0.15%),IF(AND(M49&gt;=100,M49&lt;1000),(0.5+(M49-100)*0.25%),IF(AND(M49&gt;0,M49&lt;100),M49*0.5%)))))))</f>
        <v>3.722</v>
      </c>
      <c r="M67" s="277">
        <f ca="1">ROUND(L67*0.9,1)</f>
        <v>3.3</v>
      </c>
      <c r="N67" s="2553"/>
      <c r="Z67" s="2381"/>
      <c r="AI67" s="2382"/>
    </row>
    <row r="68" spans="1:35" ht="14.25" customHeight="1">
      <c r="A68" s="2560" t="s">
        <v>958</v>
      </c>
      <c r="B68" s="2561" t="s">
        <v>959</v>
      </c>
      <c r="C68" s="2562">
        <f ca="1">IF(C67&lt;=0,0,ROUND(C67*D68,0))</f>
        <v>86</v>
      </c>
      <c r="D68" s="1130">
        <f>'数据-取费表'!B41</f>
        <v>5.5E-2</v>
      </c>
      <c r="E68" s="2563"/>
      <c r="F68" s="2511"/>
      <c r="G68" s="2511"/>
      <c r="H68" s="2512"/>
      <c r="I68" s="1300"/>
      <c r="J68" s="3632"/>
      <c r="K68" s="2552" t="s">
        <v>960</v>
      </c>
      <c r="L68" s="2552">
        <f ca="1">IF(M49&gt;10000,M49*0.5%,IF(AND(M49&gt;5000,M49&lt;=10000),M49*1%,IF(AND(M49&gt;1000,M49&lt;=5000),M49*2%,IF(AND(M49&gt;200,M49&lt;=1000),M49*3%,M49*5%))))</f>
        <v>32.96</v>
      </c>
      <c r="M68" s="277">
        <f ca="1">ROUND(L68,1)</f>
        <v>33</v>
      </c>
      <c r="N68" s="2553"/>
      <c r="Z68" s="2381"/>
      <c r="AI68" s="2382"/>
    </row>
    <row r="69" spans="1:35" s="2379" customFormat="1" ht="16.5" customHeight="1">
      <c r="A69" s="2564"/>
      <c r="B69" s="2565"/>
      <c r="C69" s="2566"/>
      <c r="D69" s="1048"/>
      <c r="E69" s="2567"/>
      <c r="F69" s="2510"/>
      <c r="G69" s="2510"/>
      <c r="H69" s="2470"/>
      <c r="I69" s="2384"/>
      <c r="J69" s="3632"/>
      <c r="K69" s="2552" t="s">
        <v>961</v>
      </c>
      <c r="L69" s="2552"/>
      <c r="M69" s="277">
        <f ca="1">ROUND(SUM(M63:M68),0)</f>
        <v>65</v>
      </c>
      <c r="N69" s="2630">
        <f ca="1">M69/M49</f>
        <v>3.9441747572815537E-2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86" t="s">
        <v>962</v>
      </c>
      <c r="B70" s="3587"/>
      <c r="C70" s="3587"/>
      <c r="D70" s="3587"/>
      <c r="E70" s="3587"/>
      <c r="F70" s="3587"/>
      <c r="G70" s="3587"/>
      <c r="H70" s="358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88" t="s">
        <v>937</v>
      </c>
      <c r="B71" s="3589"/>
      <c r="C71" s="879"/>
      <c r="D71" s="879" t="s">
        <v>938</v>
      </c>
      <c r="E71" s="2568" t="s">
        <v>892</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939</v>
      </c>
      <c r="B72" s="2556" t="s">
        <v>963</v>
      </c>
      <c r="C72" s="2559">
        <f ca="1">ROUND(D45/(1+'数据-取费表'!C42),0)</f>
        <v>1570</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950</v>
      </c>
      <c r="B73" s="2483" t="s">
        <v>964</v>
      </c>
      <c r="C73" s="2559">
        <f ca="1">C74+C78</f>
        <v>8</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943</v>
      </c>
      <c r="B74" s="865" t="s">
        <v>965</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966</v>
      </c>
      <c r="B75" s="865" t="s">
        <v>967</v>
      </c>
      <c r="C75" s="2572"/>
      <c r="D75" s="865" t="s">
        <v>124</v>
      </c>
      <c r="E75" s="2573" t="s">
        <v>968</v>
      </c>
      <c r="F75" s="2574"/>
      <c r="G75" s="2573" t="s">
        <v>969</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970</v>
      </c>
      <c r="B76" s="2576" t="s">
        <v>971</v>
      </c>
      <c r="C76" s="865">
        <f>IF(F75="购房发票",ROUND(C75*H75*D76,0),0)</f>
        <v>0</v>
      </c>
      <c r="D76" s="2577">
        <v>0.05</v>
      </c>
      <c r="E76" s="3580" t="s">
        <v>972</v>
      </c>
      <c r="F76" s="3578"/>
      <c r="G76" s="3578"/>
      <c r="H76" s="3631"/>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973</v>
      </c>
      <c r="B77" s="865" t="s">
        <v>974</v>
      </c>
      <c r="C77" s="865">
        <f>ROUND(IF(G77="个人住宅",0,IF(G77="2016年5月1日前购买",C75*D77,C75*D77/(1+'数据-取费表'!C42))),0)</f>
        <v>0</v>
      </c>
      <c r="D77" s="2579">
        <f>'数据-取费表'!B48+'数据-取费表'!B49</f>
        <v>3.0499999999999999E-2</v>
      </c>
      <c r="E77" s="438" t="s">
        <v>975</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947</v>
      </c>
      <c r="B78" s="865" t="s">
        <v>976</v>
      </c>
      <c r="C78" s="2582">
        <f ca="1">ROUND(D45*D78/(1+'数据-取费表'!C42),0)</f>
        <v>8</v>
      </c>
      <c r="D78" s="2583">
        <f>'数据-取费表'!B43</f>
        <v>5.0000000000000001E-3</v>
      </c>
      <c r="E78" s="3592" t="s">
        <v>977</v>
      </c>
      <c r="F78" s="3593"/>
      <c r="G78" s="3593"/>
      <c r="H78" s="3594"/>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955</v>
      </c>
      <c r="B79" s="2556" t="s">
        <v>978</v>
      </c>
      <c r="C79" s="2559">
        <f ca="1">C72-C73</f>
        <v>1562</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958</v>
      </c>
      <c r="B80" s="2556" t="s">
        <v>979</v>
      </c>
      <c r="C80" s="2587">
        <f ca="1">IF(C79&lt;=0,0,C79/C73)</f>
        <v>195.25</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980</v>
      </c>
      <c r="B81" s="2561" t="s">
        <v>981</v>
      </c>
      <c r="C81" s="2588">
        <f ca="1">ROUND(IF(C79&lt;=0,0,IF(C80&gt;=200%,C79*60%-C73*35%,IF(C80&gt;=100%,C79*50%-C73*15%,IF(C80&gt;=50%,C79*40%-C73*5%,IF(C80&lt;50%,C79*30%,0))))),0)</f>
        <v>934</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86" t="s">
        <v>982</v>
      </c>
      <c r="B83" s="3587"/>
      <c r="C83" s="3587"/>
      <c r="D83" s="3587"/>
      <c r="E83" s="3587"/>
      <c r="F83" s="3587"/>
      <c r="G83" s="3587"/>
      <c r="H83" s="358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88" t="s">
        <v>937</v>
      </c>
      <c r="B84" s="3589"/>
      <c r="C84" s="879"/>
      <c r="D84" s="879" t="s">
        <v>938</v>
      </c>
      <c r="E84" s="2568" t="s">
        <v>892</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939</v>
      </c>
      <c r="B85" s="2556" t="s">
        <v>963</v>
      </c>
      <c r="C85" s="2559">
        <f ca="1">ROUND(D45/(1+'数据-取费表'!C42),0)</f>
        <v>1570</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950</v>
      </c>
      <c r="B86" s="2483" t="s">
        <v>964</v>
      </c>
      <c r="C86" s="2559">
        <f ca="1">IF(H88="仅含出让金",C87+C90+C91+C92+C93+C94,C87+C91+C92+C93+C94)</f>
        <v>8</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943</v>
      </c>
      <c r="B87" s="865" t="s">
        <v>983</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966</v>
      </c>
      <c r="B88" s="865" t="s">
        <v>984</v>
      </c>
      <c r="C88" s="2599"/>
      <c r="D88" s="2583"/>
      <c r="E88" s="2600" t="s">
        <v>985</v>
      </c>
      <c r="F88" s="2585"/>
      <c r="G88" s="2601" t="s">
        <v>986</v>
      </c>
      <c r="H88" s="2602"/>
      <c r="I88" s="1149"/>
      <c r="J88" s="2636" t="s">
        <v>987</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970</v>
      </c>
      <c r="B89" s="865" t="s">
        <v>974</v>
      </c>
      <c r="C89" s="2582">
        <f>ROUND(C88*D89,0)</f>
        <v>0</v>
      </c>
      <c r="D89" s="2583">
        <f>'数据-取费表'!B48+'数据-取费表'!B49</f>
        <v>3.0499999999999999E-2</v>
      </c>
      <c r="E89" s="2600" t="s">
        <v>988</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947</v>
      </c>
      <c r="B90" s="865" t="s">
        <v>989</v>
      </c>
      <c r="C90" s="2599"/>
      <c r="D90" s="2583"/>
      <c r="E90" s="2600" t="str">
        <f>IF(H88="-","土地取得成本中已包含该笔费用"," ")</f>
        <v/>
      </c>
      <c r="F90" s="2585"/>
      <c r="G90" s="3590" t="s">
        <v>990</v>
      </c>
      <c r="H90" s="3591"/>
      <c r="I90" s="1149"/>
      <c r="J90" s="2636" t="s">
        <v>991</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992</v>
      </c>
      <c r="B91" s="865" t="s">
        <v>993</v>
      </c>
      <c r="C91" s="2582">
        <f>IF(H91="——",成本法!C33,I91)</f>
        <v>0</v>
      </c>
      <c r="D91" s="2583"/>
      <c r="E91" s="3592" t="s">
        <v>994</v>
      </c>
      <c r="F91" s="3593"/>
      <c r="G91" s="3593"/>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995</v>
      </c>
      <c r="B92" s="865" t="s">
        <v>996</v>
      </c>
      <c r="C92" s="2582">
        <f>ROUND((C87+C90+C91)*D92,0)</f>
        <v>0</v>
      </c>
      <c r="D92" s="2604"/>
      <c r="E92" s="3592" t="s">
        <v>997</v>
      </c>
      <c r="F92" s="3593"/>
      <c r="G92" s="3593"/>
      <c r="H92" s="3594"/>
      <c r="I92" s="1149"/>
      <c r="J92" s="2638" t="s">
        <v>998</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999</v>
      </c>
      <c r="B93" s="865" t="s">
        <v>976</v>
      </c>
      <c r="C93" s="2582">
        <f ca="1">ROUND(D45*D93/(1+'数据-取费表'!C42),0)</f>
        <v>8</v>
      </c>
      <c r="D93" s="2583">
        <f>'数据-取费表'!B43</f>
        <v>5.0000000000000001E-3</v>
      </c>
      <c r="E93" s="3592" t="s">
        <v>977</v>
      </c>
      <c r="F93" s="3593"/>
      <c r="G93" s="3593"/>
      <c r="H93" s="3594"/>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1000</v>
      </c>
      <c r="B94" s="865" t="s">
        <v>1001</v>
      </c>
      <c r="C94" s="2599">
        <f>ROUND((C87+C90+C91)*D94,0)</f>
        <v>0</v>
      </c>
      <c r="D94" s="2583">
        <v>0.2</v>
      </c>
      <c r="E94" s="3616" t="s">
        <v>1002</v>
      </c>
      <c r="F94" s="3617"/>
      <c r="G94" s="3617"/>
      <c r="H94" s="3618"/>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955</v>
      </c>
      <c r="B95" s="2556" t="s">
        <v>978</v>
      </c>
      <c r="C95" s="2559">
        <f ca="1">ROUND(C85-C86,0)</f>
        <v>1562</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958</v>
      </c>
      <c r="B96" s="2556" t="s">
        <v>979</v>
      </c>
      <c r="C96" s="2587">
        <f ca="1">IF(C95&lt;=0,0,C95/C86)</f>
        <v>195.25</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980</v>
      </c>
      <c r="B97" s="2561" t="s">
        <v>981</v>
      </c>
      <c r="C97" s="2588">
        <f ca="1">ROUND(IF(C95&lt;=0,0,IF(C96&gt;=200%,C95*60%-C86*35%,IF(C96&gt;=100%,C95*50%-C86*15%,IF(C96&gt;=50%,C95*40%-C86*5%,IF(C96&lt;50%,C95*30%,0))))),0)</f>
        <v>934</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1003</v>
      </c>
      <c r="B99" s="2384"/>
      <c r="C99" s="2384"/>
      <c r="D99" s="2384"/>
      <c r="E99" s="2510"/>
      <c r="F99" s="2510"/>
      <c r="G99" s="2510"/>
      <c r="H99" s="2470"/>
      <c r="I99" s="1300"/>
    </row>
    <row r="100" spans="1:35" ht="18.75" customHeight="1">
      <c r="A100" s="3548" t="s">
        <v>1004</v>
      </c>
      <c r="B100" s="3549"/>
      <c r="C100" s="3549"/>
      <c r="D100" s="3619"/>
      <c r="E100" s="3549" t="s">
        <v>1005</v>
      </c>
      <c r="F100" s="3549"/>
      <c r="G100" s="3549"/>
      <c r="H100" s="3619"/>
      <c r="I100" s="1300"/>
    </row>
    <row r="101" spans="1:35" ht="18.75" customHeight="1">
      <c r="A101" s="3620" t="s">
        <v>1006</v>
      </c>
      <c r="B101" s="3621"/>
      <c r="C101" s="2607" t="str">
        <f>C4</f>
        <v>比较法-办公</v>
      </c>
      <c r="D101" s="2608" t="str">
        <f>D4</f>
        <v>收益法 (元)</v>
      </c>
      <c r="E101" s="3638" t="s">
        <v>1007</v>
      </c>
      <c r="F101" s="3634"/>
      <c r="G101" s="2610" t="s">
        <v>1008</v>
      </c>
      <c r="H101" s="2611">
        <f ca="1">H118</f>
        <v>1648</v>
      </c>
      <c r="I101" s="1300"/>
    </row>
    <row r="102" spans="1:35" ht="18.75" customHeight="1">
      <c r="A102" s="3645" t="s">
        <v>1009</v>
      </c>
      <c r="B102" s="2612" t="s">
        <v>1008</v>
      </c>
      <c r="C102" s="2607">
        <f ca="1">IF(D32="楼面单价",ROUND(C19,0),C19)</f>
        <v>1913</v>
      </c>
      <c r="D102" s="2608">
        <f ca="1">IF(D32="楼面单价",ROUND(D19,0),D19)</f>
        <v>1029</v>
      </c>
      <c r="E102" s="3638"/>
      <c r="F102" s="3634"/>
      <c r="G102" s="2610" t="s">
        <v>99</v>
      </c>
      <c r="H102" s="2499">
        <f ca="1">I118</f>
        <v>18738</v>
      </c>
      <c r="I102" s="1300"/>
    </row>
    <row r="103" spans="1:35" ht="42.75" customHeight="1">
      <c r="A103" s="3645"/>
      <c r="B103" s="2612" t="s">
        <v>99</v>
      </c>
      <c r="C103" s="2613">
        <f ca="1">C20</f>
        <v>21753</v>
      </c>
      <c r="D103" s="2614">
        <f ca="1">D20</f>
        <v>11702</v>
      </c>
      <c r="E103" s="3622" t="s">
        <v>1010</v>
      </c>
      <c r="F103" s="3623"/>
      <c r="G103" s="2615" t="s">
        <v>102</v>
      </c>
      <c r="H103" s="2611">
        <f>IF(D36="正常操作",H104+H105+H106,H105+H106)</f>
        <v>0</v>
      </c>
      <c r="I103" s="1300"/>
    </row>
    <row r="104" spans="1:35" ht="18.75" customHeight="1">
      <c r="A104" s="3645" t="s">
        <v>1011</v>
      </c>
      <c r="B104" s="2616" t="s">
        <v>1008</v>
      </c>
      <c r="C104" s="2617">
        <f ca="1">H118</f>
        <v>1648</v>
      </c>
      <c r="D104" s="2618"/>
      <c r="E104" s="2455" t="s">
        <v>1012</v>
      </c>
      <c r="F104" s="2619"/>
      <c r="G104" s="2615" t="s">
        <v>102</v>
      </c>
      <c r="H104" s="2620">
        <f>IF(D36="同一抵押权人同一抵押物续贷",C36&amp;"（续贷，未扣减，详见特别提示）",C36)</f>
        <v>0</v>
      </c>
      <c r="I104" s="1300"/>
    </row>
    <row r="105" spans="1:35" ht="18.75" customHeight="1">
      <c r="A105" s="3646"/>
      <c r="B105" s="2621" t="s">
        <v>99</v>
      </c>
      <c r="C105" s="2622">
        <f ca="1">I118</f>
        <v>18738</v>
      </c>
      <c r="D105" s="2623"/>
      <c r="E105" s="2455" t="s">
        <v>1013</v>
      </c>
      <c r="F105" s="2619"/>
      <c r="G105" s="2615" t="s">
        <v>102</v>
      </c>
      <c r="H105" s="2624">
        <f>C37</f>
        <v>0</v>
      </c>
      <c r="I105" s="1300"/>
    </row>
    <row r="106" spans="1:35" ht="18.75" customHeight="1">
      <c r="A106" s="2384" t="s">
        <v>1014</v>
      </c>
      <c r="B106" s="2384"/>
      <c r="C106" s="2384"/>
      <c r="D106" s="2384"/>
      <c r="E106" s="2625" t="s">
        <v>1015</v>
      </c>
      <c r="F106" s="2619"/>
      <c r="G106" s="2615" t="s">
        <v>102</v>
      </c>
      <c r="H106" s="2624">
        <f>C38</f>
        <v>0</v>
      </c>
      <c r="I106" s="1300"/>
    </row>
    <row r="107" spans="1:35" ht="18.75" customHeight="1">
      <c r="A107" s="1300"/>
      <c r="B107" s="1300"/>
      <c r="C107" s="1300"/>
      <c r="D107" s="1300">
        <f ca="1">H108*B118</f>
        <v>16477822.439999999</v>
      </c>
      <c r="E107" s="3633" t="str">
        <f>IF(项目基本情况!E8="已注销","——","3.房地产抵押价值")</f>
        <v>3.房地产抵押价值</v>
      </c>
      <c r="F107" s="3634"/>
      <c r="G107" s="2610" t="s">
        <v>1008</v>
      </c>
      <c r="H107" s="2611">
        <f ca="1">IF(E107="——","——",H101-H103)</f>
        <v>1648</v>
      </c>
      <c r="I107" s="1300"/>
    </row>
    <row r="108" spans="1:35" ht="18.75" customHeight="1">
      <c r="A108" s="1300"/>
      <c r="B108" s="1300"/>
      <c r="C108" s="1300"/>
      <c r="D108" s="1300"/>
      <c r="E108" s="3633"/>
      <c r="F108" s="3634"/>
      <c r="G108" s="2610" t="s">
        <v>99</v>
      </c>
      <c r="H108" s="2499">
        <f ca="1">IF(H107=H101,H102,ROUND(H107*10000/'数据-汇总表'!E3,0))</f>
        <v>18738</v>
      </c>
      <c r="I108" s="1300"/>
    </row>
    <row r="109" spans="1:35" ht="18.75" customHeight="1">
      <c r="A109" s="1300"/>
      <c r="B109" s="1300"/>
      <c r="C109" s="1300"/>
      <c r="D109" s="1300"/>
      <c r="E109" s="3633" t="str">
        <f>IF(项目基本情况!E8="已注销及未注销","4.抵押担保权已注销时的房地产抵押价值",IF(项目基本情况!E8="已注销","3.抵押担保权已注销时的房地产抵押价值","——"))</f>
        <v>——</v>
      </c>
      <c r="F109" s="3634"/>
      <c r="G109" s="2610" t="s">
        <v>1008</v>
      </c>
      <c r="H109" s="2626" t="str">
        <f>IF(E109="——","——",H101-H105-H106)</f>
        <v>——</v>
      </c>
      <c r="I109" s="1300"/>
    </row>
    <row r="110" spans="1:35" ht="18.75" customHeight="1">
      <c r="A110" s="1300"/>
      <c r="B110" s="1300"/>
      <c r="C110" s="1300"/>
      <c r="D110" s="1300"/>
      <c r="E110" s="3633"/>
      <c r="F110" s="3634"/>
      <c r="G110" s="2610" t="s">
        <v>99</v>
      </c>
      <c r="H110" s="2499" t="str">
        <f>IF(H109="——","——",ROUND(H109*10000/'数据-汇总表'!E3,0))</f>
        <v>——</v>
      </c>
      <c r="I110" s="1300"/>
    </row>
    <row r="111" spans="1:35" ht="18.75" customHeight="1">
      <c r="A111" s="1300"/>
      <c r="B111" s="1300"/>
      <c r="C111" s="1300"/>
      <c r="D111" s="1300"/>
      <c r="E111" s="3635" t="str">
        <f>IF(项目基本情况!E9="抵押净值",IF(OR(项目基本情况!E8="已注销",项目基本情况!E8="房地产抵押价值"),"4.抵押净值","5.抵押净值"),"——")</f>
        <v>——</v>
      </c>
      <c r="F111" s="3603"/>
      <c r="G111" s="2610" t="s">
        <v>1008</v>
      </c>
      <c r="H111" s="2611" t="str">
        <f>IF(E111="——","——",N59)</f>
        <v>——</v>
      </c>
      <c r="I111" s="1300"/>
    </row>
    <row r="112" spans="1:35" ht="18.75" customHeight="1">
      <c r="A112" s="1300"/>
      <c r="B112" s="1300"/>
      <c r="C112" s="1300"/>
      <c r="D112" s="1300"/>
      <c r="E112" s="3636"/>
      <c r="F112" s="3637"/>
      <c r="G112" s="2627" t="s">
        <v>99</v>
      </c>
      <c r="H112" s="2628" t="str">
        <f>IF(E111="——","——",N61)</f>
        <v>——</v>
      </c>
      <c r="I112" s="1300"/>
    </row>
    <row r="113" spans="1:27" ht="18.75" customHeight="1">
      <c r="A113" s="1300"/>
      <c r="B113" s="1300"/>
      <c r="C113" s="1300"/>
      <c r="D113" s="1300"/>
      <c r="E113" s="3624" t="s">
        <v>1014</v>
      </c>
      <c r="F113" s="3624"/>
      <c r="G113" s="3624"/>
      <c r="H113" s="3624"/>
      <c r="I113" s="1300"/>
    </row>
    <row r="114" spans="1:27" ht="3.75" customHeight="1">
      <c r="A114" s="2384"/>
      <c r="B114" s="2384"/>
      <c r="C114" s="2384"/>
      <c r="D114" s="2384"/>
      <c r="E114" s="2509"/>
      <c r="F114" s="2509"/>
      <c r="G114" s="2509"/>
      <c r="H114" s="2509"/>
      <c r="I114" s="2384"/>
    </row>
    <row r="115" spans="1:27" ht="18.75" customHeight="1">
      <c r="A115" s="3625" t="s">
        <v>1016</v>
      </c>
      <c r="B115" s="3626"/>
      <c r="C115" s="3626"/>
      <c r="D115" s="3626"/>
      <c r="E115" s="3626"/>
      <c r="F115" s="3626"/>
      <c r="G115" s="3626"/>
      <c r="H115" s="3626"/>
      <c r="I115" s="3627"/>
    </row>
    <row r="116" spans="1:27" ht="27" customHeight="1">
      <c r="A116" s="3607" t="s">
        <v>1017</v>
      </c>
      <c r="B116" s="3614" t="s">
        <v>1018</v>
      </c>
      <c r="C116" s="3614" t="s">
        <v>1019</v>
      </c>
      <c r="D116" s="3628" t="s">
        <v>1020</v>
      </c>
      <c r="E116" s="3629"/>
      <c r="F116" s="3630" t="s">
        <v>1021</v>
      </c>
      <c r="G116" s="3630"/>
      <c r="H116" s="3607" t="s">
        <v>1022</v>
      </c>
      <c r="I116" s="3607"/>
    </row>
    <row r="117" spans="1:27" ht="18.75" customHeight="1">
      <c r="A117" s="3607"/>
      <c r="B117" s="3615"/>
      <c r="C117" s="3615"/>
      <c r="D117" s="2394" t="s">
        <v>1023</v>
      </c>
      <c r="E117" s="2394" t="s">
        <v>850</v>
      </c>
      <c r="F117" s="2394" t="s">
        <v>1023</v>
      </c>
      <c r="G117" s="2394" t="s">
        <v>850</v>
      </c>
      <c r="H117" s="2394" t="s">
        <v>1023</v>
      </c>
      <c r="I117" s="2394" t="s">
        <v>850</v>
      </c>
    </row>
    <row r="118" spans="1:27" ht="24.75" customHeight="1">
      <c r="A118" s="2629" t="str">
        <f>项目基本情况!S2</f>
        <v>北京市房地产</v>
      </c>
      <c r="B118" s="2394">
        <f>M18</f>
        <v>879.38</v>
      </c>
      <c r="C118" s="2394">
        <f>M19</f>
        <v>0</v>
      </c>
      <c r="D118" s="2394">
        <f ca="1">ROUND(IF(D32="总价",C34,E118*B118/10000),0)</f>
        <v>858</v>
      </c>
      <c r="E118" s="2394">
        <f ca="1">ROUND(IF(C33="自定义",IF(D32="楼面单价",C34,D118*10000/B118),I118-G118),0)</f>
        <v>9762</v>
      </c>
      <c r="F118" s="2394">
        <f ca="1">ROUND(IF(D32="总价",C35,G118*B118/10000),0)</f>
        <v>789</v>
      </c>
      <c r="G118" s="2394">
        <f ca="1">ROUND(IF(D32="楼面单价",C35,F118*10000/B118),0)</f>
        <v>8976</v>
      </c>
      <c r="H118" s="2394">
        <f ca="1">ROUND(IF(D32="总价",C32,I118*B118/10000),0)</f>
        <v>1648</v>
      </c>
      <c r="I118" s="2394">
        <f ca="1">ROUND(IF(D32="楼面单价",C32,H118*10000/B118),0)</f>
        <v>18738</v>
      </c>
    </row>
    <row r="119" spans="1:27" ht="18.75" customHeight="1">
      <c r="A119" s="3607" t="s">
        <v>1024</v>
      </c>
      <c r="B119" s="3607"/>
      <c r="C119" s="3607"/>
      <c r="D119" s="3608" t="str">
        <f ca="1">NUMBERSTRING(INT(D118*10000),2)&amp;"元整"</f>
        <v>捌佰伍拾捌万元整</v>
      </c>
      <c r="E119" s="3610"/>
      <c r="F119" s="3608" t="str">
        <f ca="1">NUMBERSTRING(INT(F118*10000),2)&amp;"元整"</f>
        <v>柒佰捌拾玖万元整</v>
      </c>
      <c r="G119" s="3610"/>
      <c r="H119" s="3608" t="str">
        <f ca="1">NUMBERSTRING(INT(H118*10000),2)&amp;"元整"</f>
        <v>壹仟陆佰肆拾捌万元整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08" t="s">
        <v>1024</v>
      </c>
      <c r="B121" s="3609"/>
      <c r="C121" s="3610"/>
      <c r="D121" s="3608" t="str">
        <f>IF(D120=0,"零元整",NUMBERSTRING(INT(D120*10000),2)&amp;"元整")</f>
        <v>零元整</v>
      </c>
      <c r="E121" s="3609"/>
      <c r="F121" s="3609"/>
      <c r="G121" s="3609"/>
      <c r="H121" s="3609"/>
      <c r="I121" s="3610"/>
      <c r="AA121" s="1258"/>
    </row>
    <row r="122" spans="1:27" ht="18.75" customHeight="1">
      <c r="A122" s="3603" t="str">
        <f>IF(项目基本情况!B9="房地产市场价值","",MID(E107,3,LEN(E107)-2))</f>
        <v>房地产抵押价值</v>
      </c>
      <c r="B122" s="3603"/>
      <c r="C122" s="3603"/>
      <c r="D122" s="3604">
        <f ca="1">H107</f>
        <v>1648</v>
      </c>
      <c r="E122" s="3605"/>
      <c r="F122" s="3605"/>
      <c r="G122" s="3605"/>
      <c r="H122" s="3605"/>
      <c r="I122" s="3606"/>
      <c r="AA122" s="1258"/>
    </row>
    <row r="123" spans="1:27" ht="18.75" customHeight="1">
      <c r="A123" s="3607" t="s">
        <v>1024</v>
      </c>
      <c r="B123" s="3607"/>
      <c r="C123" s="3607"/>
      <c r="D123" s="3608" t="str">
        <f ca="1">NUMBERSTRING(INT(D122*10000),2)&amp;"元整"</f>
        <v>壹仟陆佰肆拾捌万元整</v>
      </c>
      <c r="E123" s="3609"/>
      <c r="F123" s="3609"/>
      <c r="G123" s="3609"/>
      <c r="H123" s="3609"/>
      <c r="I123" s="3610"/>
      <c r="AA123" s="1258"/>
    </row>
    <row r="124" spans="1:27" ht="18.75" customHeight="1">
      <c r="A124" s="3603" t="str">
        <f>IF(项目基本情况!B9="房地产市场价值","",MID(E109,3,LEN(E109)-2))</f>
        <v/>
      </c>
      <c r="B124" s="3603"/>
      <c r="C124" s="3603"/>
      <c r="D124" s="3604" t="str">
        <f>H109</f>
        <v>——</v>
      </c>
      <c r="E124" s="3605"/>
      <c r="F124" s="3605"/>
      <c r="G124" s="3605"/>
      <c r="H124" s="3605"/>
      <c r="I124" s="3606"/>
      <c r="AA124" s="1258"/>
    </row>
    <row r="125" spans="1:27" ht="18.75" customHeight="1">
      <c r="A125" s="3607" t="s">
        <v>1024</v>
      </c>
      <c r="B125" s="3607"/>
      <c r="C125" s="3607"/>
      <c r="D125" s="3608" t="e">
        <f>NUMBERSTRING(INT(D124*10000),2)&amp;"元整"</f>
        <v>#VALUE!</v>
      </c>
      <c r="E125" s="3609"/>
      <c r="F125" s="3609"/>
      <c r="G125" s="3609"/>
      <c r="H125" s="3609"/>
      <c r="I125" s="3610"/>
      <c r="AA125" s="1258"/>
    </row>
    <row r="126" spans="1:27" ht="18.75" customHeight="1">
      <c r="A126" s="3603" t="str">
        <f>IF(项目基本情况!B9="房地产市场价值","",MID(E111,3,LEN(E111)-2))</f>
        <v/>
      </c>
      <c r="B126" s="3603"/>
      <c r="C126" s="3603"/>
      <c r="D126" s="3604" t="str">
        <f>H111</f>
        <v>——</v>
      </c>
      <c r="E126" s="3605"/>
      <c r="F126" s="3605"/>
      <c r="G126" s="3605"/>
      <c r="H126" s="3605"/>
      <c r="I126" s="3606"/>
      <c r="AA126" s="1258"/>
    </row>
    <row r="127" spans="1:27" ht="18.75" customHeight="1">
      <c r="A127" s="3607" t="s">
        <v>1024</v>
      </c>
      <c r="B127" s="3607"/>
      <c r="C127" s="3607"/>
      <c r="D127" s="3608" t="e">
        <f>NUMBERSTRING(INT(D126*10000),2)&amp;"元整"</f>
        <v>#VALUE!</v>
      </c>
      <c r="E127" s="3609"/>
      <c r="F127" s="3609"/>
      <c r="G127" s="3609"/>
      <c r="H127" s="3609"/>
      <c r="I127" s="3610"/>
      <c r="AA127" s="1258"/>
    </row>
    <row r="128" spans="1:27" ht="21.75" customHeight="1">
      <c r="A128" s="3639" t="s">
        <v>113</v>
      </c>
      <c r="B128" s="3639"/>
      <c r="C128" s="3639"/>
      <c r="D128" s="3639"/>
      <c r="E128" s="3639"/>
      <c r="F128" s="3639"/>
      <c r="G128" s="3639"/>
      <c r="H128" s="3639"/>
      <c r="I128" s="3639"/>
      <c r="AA128" s="1258"/>
    </row>
    <row r="129" spans="1:35" ht="21.75" customHeight="1">
      <c r="A129" s="2640" t="s">
        <v>1025</v>
      </c>
      <c r="B129" s="2641"/>
      <c r="C129" s="2642" t="s">
        <v>1026</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1027</v>
      </c>
      <c r="G135" s="2654"/>
      <c r="H135" s="2654"/>
      <c r="I135" s="2662" t="s">
        <v>1028</v>
      </c>
    </row>
    <row r="136" spans="1:35" ht="21.75" customHeight="1">
      <c r="A136" s="1258"/>
      <c r="B136" s="2655" t="s">
        <v>1029</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1030</v>
      </c>
    </row>
    <row r="139" spans="1:35" ht="21.75" customHeight="1">
      <c r="A139" s="1258"/>
      <c r="B139" s="2655" t="s">
        <v>1031</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1030</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1032</v>
      </c>
      <c r="B1" s="2363"/>
      <c r="C1" s="683"/>
      <c r="D1" s="683"/>
      <c r="E1" s="683"/>
      <c r="F1" s="683"/>
      <c r="G1" s="2365">
        <f>MATCH(B1,'数据-取费表'!A6:A16,0)+5</f>
        <v>7</v>
      </c>
    </row>
    <row r="2" spans="1:9" s="674" customFormat="1" ht="18" customHeight="1">
      <c r="A2" s="685" t="s">
        <v>1033</v>
      </c>
      <c r="B2" s="686">
        <f ca="1">IF(D2="——",C52,C52-E2)</f>
        <v>401</v>
      </c>
      <c r="C2" s="684" t="s">
        <v>1034</v>
      </c>
      <c r="D2" s="2367" t="s">
        <v>124</v>
      </c>
      <c r="E2" s="2368" t="e">
        <f ca="1">SUMIF(INDIRECT("'"&amp;G2&amp;"'"&amp;"!A:A"),"承租人权益价值",INDIRECT("'"&amp;G2&amp;"'"&amp;"!c:c"))</f>
        <v>#REF!</v>
      </c>
      <c r="F2" s="2369" t="s">
        <v>1034</v>
      </c>
      <c r="G2" s="2370"/>
    </row>
    <row r="3" spans="1:9" s="674" customFormat="1" ht="18" customHeight="1">
      <c r="A3" s="688" t="s">
        <v>1035</v>
      </c>
      <c r="B3" s="689">
        <f ca="1">ROUND(B2*10000/(IF(B1="",'数据-汇总表'!E3,INDIRECT("'数据-取费表'!k"&amp;$G$1))),0)</f>
        <v>4560</v>
      </c>
      <c r="C3" s="684" t="s">
        <v>1036</v>
      </c>
      <c r="D3" s="684"/>
      <c r="E3" s="684"/>
      <c r="F3" s="684"/>
      <c r="G3" s="684"/>
    </row>
    <row r="4" spans="1:9" s="675" customFormat="1" ht="15.75">
      <c r="A4" s="690" t="s">
        <v>1037</v>
      </c>
      <c r="B4" s="691"/>
      <c r="C4" s="691"/>
      <c r="D4" s="691"/>
      <c r="E4" s="691"/>
      <c r="F4" s="691"/>
      <c r="G4" s="692"/>
    </row>
    <row r="5" spans="1:9" s="676" customFormat="1" ht="13.5" customHeight="1">
      <c r="A5" s="693" t="s">
        <v>1038</v>
      </c>
      <c r="B5" s="694" t="s">
        <v>1039</v>
      </c>
      <c r="C5" s="695">
        <f>C6+C7+C8</f>
        <v>0</v>
      </c>
      <c r="D5" s="695" t="s">
        <v>1040</v>
      </c>
      <c r="E5" s="696" t="s">
        <v>1041</v>
      </c>
      <c r="F5" s="696" t="s">
        <v>938</v>
      </c>
      <c r="G5" s="697"/>
    </row>
    <row r="6" spans="1:9" s="676" customFormat="1" ht="13.5" customHeight="1">
      <c r="A6" s="698" t="s">
        <v>1042</v>
      </c>
      <c r="B6" s="699" t="s">
        <v>1043</v>
      </c>
      <c r="C6" s="700"/>
      <c r="D6" s="701"/>
      <c r="E6" s="702"/>
      <c r="F6" s="702"/>
      <c r="G6" s="703"/>
    </row>
    <row r="7" spans="1:9" s="676" customFormat="1" ht="13.5" customHeight="1">
      <c r="A7" s="698" t="s">
        <v>1044</v>
      </c>
      <c r="B7" s="699" t="s">
        <v>1045</v>
      </c>
      <c r="C7" s="704">
        <f>ROUND(C6*F7,0)</f>
        <v>0</v>
      </c>
      <c r="D7" s="704"/>
      <c r="E7" s="702"/>
      <c r="F7" s="705">
        <f>IF(项目基本情况!B8="出让",0,'数据-取费表'!B48+'数据-取费表'!B49)</f>
        <v>3.0499999999999999E-2</v>
      </c>
      <c r="G7" s="703"/>
    </row>
    <row r="8" spans="1:9" s="677" customFormat="1">
      <c r="A8" s="698" t="s">
        <v>1046</v>
      </c>
      <c r="B8" s="699" t="s">
        <v>1047</v>
      </c>
      <c r="C8" s="704">
        <f>IF(G8="已包含在土地购买价格中","0",IF(B1="",'数据-取费表'!B29,IF(G9="全部缴纳",C9+C10,H9)))</f>
        <v>0</v>
      </c>
      <c r="D8" s="706"/>
      <c r="E8" s="704"/>
      <c r="F8" s="705"/>
      <c r="G8" s="2371"/>
    </row>
    <row r="9" spans="1:9" s="676" customFormat="1" ht="13.5" customHeight="1">
      <c r="A9" s="708" t="s">
        <v>1048</v>
      </c>
      <c r="B9" s="709" t="s">
        <v>1049</v>
      </c>
      <c r="C9" s="710">
        <f ca="1">ROUND(D9*E9/10000,0)</f>
        <v>0</v>
      </c>
      <c r="D9" s="711">
        <f ca="1">IF(B1="",'数据-汇总表'!E5,IF(INDIRECT("'数据-取费表'!c"&amp;$G$1)="住宅",INDIRECT("'数据-取费表'!k"&amp;$G$1),0))</f>
        <v>0</v>
      </c>
      <c r="E9" s="710">
        <f>'数据-取费表'!B27</f>
        <v>0</v>
      </c>
      <c r="F9" s="705"/>
      <c r="G9" s="2375"/>
      <c r="H9" s="2376"/>
      <c r="I9" s="2377" t="s">
        <v>1050</v>
      </c>
    </row>
    <row r="10" spans="1:9" s="676" customFormat="1" ht="13.5" customHeight="1">
      <c r="A10" s="708" t="s">
        <v>1051</v>
      </c>
      <c r="B10" s="709" t="s">
        <v>1052</v>
      </c>
      <c r="C10" s="710">
        <f ca="1">ROUND(D10*E10/10000,0)</f>
        <v>18</v>
      </c>
      <c r="D10" s="711">
        <f ca="1">IF(B1="",'数据-汇总表'!E6,IF(INDIRECT("'数据-取费表'!c"&amp;$G$1)="住宅",INDIRECT("'数据-取费表'!s"&amp;$G$1),INDIRECT("'数据-取费表'!k"&amp;$G$1)+INDIRECT("'数据-取费表'!s"&amp;$G$1)))</f>
        <v>879.38</v>
      </c>
      <c r="E10" s="710">
        <f>'数据-取费表'!B28</f>
        <v>200</v>
      </c>
      <c r="F10" s="705"/>
      <c r="G10" s="712"/>
    </row>
    <row r="11" spans="1:9" s="676" customFormat="1" ht="13.5" hidden="1" customHeight="1">
      <c r="A11" s="713" t="s">
        <v>1053</v>
      </c>
      <c r="B11" s="699" t="s">
        <v>1054</v>
      </c>
      <c r="C11" s="695"/>
      <c r="D11" s="714"/>
      <c r="E11" s="702"/>
      <c r="F11" s="702"/>
      <c r="G11" s="703"/>
    </row>
    <row r="12" spans="1:9" s="676" customFormat="1" ht="13.5" hidden="1" customHeight="1">
      <c r="A12" s="713" t="s">
        <v>1055</v>
      </c>
      <c r="B12" s="699" t="s">
        <v>974</v>
      </c>
      <c r="C12" s="695">
        <v>0</v>
      </c>
      <c r="D12" s="714"/>
      <c r="E12" s="715"/>
      <c r="F12" s="705">
        <v>3.0499999999999999E-2</v>
      </c>
      <c r="G12" s="703"/>
    </row>
    <row r="13" spans="1:9" s="676" customFormat="1" ht="13.5" hidden="1" customHeight="1">
      <c r="A13" s="713" t="s">
        <v>1056</v>
      </c>
      <c r="B13" s="699" t="s">
        <v>1057</v>
      </c>
      <c r="C13" s="695"/>
      <c r="D13" s="714"/>
      <c r="E13" s="702"/>
      <c r="F13" s="702"/>
      <c r="G13" s="703"/>
    </row>
    <row r="14" spans="1:9" s="676" customFormat="1" ht="13.5" hidden="1" customHeight="1">
      <c r="A14" s="713" t="s">
        <v>1058</v>
      </c>
      <c r="B14" s="699" t="s">
        <v>1047</v>
      </c>
      <c r="C14" s="695"/>
      <c r="D14" s="714"/>
      <c r="E14" s="702"/>
      <c r="F14" s="702"/>
      <c r="G14" s="703" t="s">
        <v>1059</v>
      </c>
    </row>
    <row r="15" spans="1:9" s="676" customFormat="1" ht="13.5" hidden="1" customHeight="1">
      <c r="A15" s="713" t="s">
        <v>1060</v>
      </c>
      <c r="B15" s="699" t="s">
        <v>1061</v>
      </c>
      <c r="C15" s="704"/>
      <c r="D15" s="714"/>
      <c r="E15" s="702"/>
      <c r="F15" s="702"/>
      <c r="G15" s="703" t="s">
        <v>1062</v>
      </c>
    </row>
    <row r="16" spans="1:9"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IF(G19="已包含在土地取得成本中","0",ROUND(D19*E19/10000,0))</f>
        <v>18</v>
      </c>
      <c r="D19" s="719">
        <f ca="1">D9+D10</f>
        <v>879.38</v>
      </c>
      <c r="E19" s="695">
        <f>'数据-取费表'!B31</f>
        <v>200</v>
      </c>
      <c r="F19" s="720"/>
      <c r="G19" s="2371"/>
    </row>
    <row r="20" spans="1:7" s="676" customFormat="1" ht="13.5" customHeight="1">
      <c r="A20" s="693" t="s">
        <v>1071</v>
      </c>
      <c r="B20" s="694" t="s">
        <v>1072</v>
      </c>
      <c r="C20" s="405">
        <f ca="1">ROUND((C5+C19)*F20,0)</f>
        <v>1</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726">
        <f ca="1">ROUND(SUM(C23:C25),0)</f>
        <v>1</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729">
        <f ca="1">ROUND(IF('数据-取费表'!B22&lt;=1,C5*F22*'数据-取费表'!B23,C5*(POWER((1+F22),'数据-取费表'!B23)-1)),0)</f>
        <v>0</v>
      </c>
      <c r="D23" s="410"/>
      <c r="E23" s="410"/>
      <c r="F23" s="730"/>
      <c r="G23" s="731" t="s">
        <v>1081</v>
      </c>
    </row>
    <row r="24" spans="1:7" s="676" customFormat="1" ht="13.5" customHeight="1">
      <c r="A24" s="728" t="s">
        <v>1044</v>
      </c>
      <c r="B24" s="699" t="s">
        <v>1082</v>
      </c>
      <c r="C24" s="729">
        <f ca="1">ROUND(IF('数据-取费表'!B22&lt;=1,C19*F22*('数据-取费表'!B19/2+'数据-取费表'!B21),C19*(POWER((1+F22),('数据-取费表'!B19/2+'数据-取费表'!B21))-1)),0)</f>
        <v>1</v>
      </c>
      <c r="D24" s="410"/>
      <c r="E24" s="410"/>
      <c r="F24" s="730"/>
      <c r="G24" s="731" t="s">
        <v>1083</v>
      </c>
    </row>
    <row r="25" spans="1:7" s="676" customFormat="1" ht="24">
      <c r="A25" s="728" t="s">
        <v>1046</v>
      </c>
      <c r="B25" s="699" t="s">
        <v>1084</v>
      </c>
      <c r="C25" s="729">
        <f ca="1">ROUND(IF('数据-取费表'!B22&lt;=1,C20*F22*'数据-取费表'!B23/2,C20*(POWER((1+F22),'数据-取费表'!B23/2)-1)),0)</f>
        <v>0</v>
      </c>
      <c r="D25" s="410"/>
      <c r="E25" s="732"/>
      <c r="F25" s="730"/>
      <c r="G25" s="733" t="s">
        <v>1085</v>
      </c>
    </row>
    <row r="26" spans="1:7" s="676" customFormat="1">
      <c r="A26" s="728" t="s">
        <v>1086</v>
      </c>
      <c r="B26" s="699" t="s">
        <v>1087</v>
      </c>
      <c r="C26" s="410">
        <f ca="1">ROUND(IF('数据-取费表'!B22&lt;=1,F21*F22*'数据-取费表'!B23/2,F21*(POWER((1+F22),'数据-取费表'!B23/2)-1)),4)</f>
        <v>4.0000000000000002E-4</v>
      </c>
      <c r="D26" s="410"/>
      <c r="E26" s="732"/>
      <c r="F26" s="730"/>
      <c r="G26" s="734"/>
    </row>
    <row r="27" spans="1:7" s="676" customFormat="1" ht="24.75">
      <c r="A27" s="693" t="s">
        <v>1088</v>
      </c>
      <c r="B27" s="735" t="s">
        <v>1089</v>
      </c>
      <c r="C27" s="736">
        <f ca="1">C28</f>
        <v>3</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ROUND((C5+C19+C20)*F27*'数据-取费表'!B21/'数据-取费表'!B20,0)</f>
        <v>3</v>
      </c>
      <c r="D28" s="723"/>
      <c r="E28" s="724"/>
      <c r="F28" s="737"/>
      <c r="G28" s="738"/>
    </row>
    <row r="29" spans="1:7" s="676" customFormat="1" ht="13.5" customHeight="1">
      <c r="A29" s="728" t="s">
        <v>1044</v>
      </c>
      <c r="B29" s="739" t="s">
        <v>1092</v>
      </c>
      <c r="C29" s="410">
        <f ca="1">ROUND(C21*F27*'数据-取费表'!B21/'数据-取费表'!B20,4)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25</v>
      </c>
      <c r="D31" s="742"/>
      <c r="E31" s="695"/>
      <c r="F31" s="743"/>
      <c r="G31" s="725" t="s">
        <v>1097</v>
      </c>
    </row>
    <row r="32" spans="1:7" s="675" customFormat="1" ht="15.75">
      <c r="A32" s="744" t="s">
        <v>1098</v>
      </c>
      <c r="B32" s="745"/>
      <c r="C32" s="745"/>
      <c r="D32" s="745"/>
      <c r="E32" s="745"/>
      <c r="F32" s="745"/>
      <c r="G32" s="746"/>
    </row>
    <row r="33" spans="1:7" s="676" customFormat="1" ht="13.5" customHeight="1">
      <c r="A33" s="693" t="s">
        <v>1038</v>
      </c>
      <c r="B33" s="694" t="s">
        <v>1099</v>
      </c>
      <c r="C33" s="747">
        <f ca="1">SUM(C34:C38)</f>
        <v>347</v>
      </c>
      <c r="D33" s="405"/>
      <c r="E33" s="696"/>
      <c r="F33" s="732"/>
      <c r="G33" s="725"/>
    </row>
    <row r="34" spans="1:7" s="242" customFormat="1" ht="13.5" customHeight="1">
      <c r="A34" s="728" t="s">
        <v>1042</v>
      </c>
      <c r="B34" s="699" t="s">
        <v>1100</v>
      </c>
      <c r="C34" s="704">
        <f ca="1">IF(B1="",IF(F34=100%,'数据-取费表'!M16,'数据-取费表'!O16),IF(F34=100%,INDIRECT("'数据-取费表'!m"&amp;$G$1)+INDIRECT("'数据-取费表'!t"&amp;$G$1),INDIRECT("'数据-取费表'!o"&amp;$G$1)+INDIRECT("'数据-取费表'!aq"&amp;$G$1)))</f>
        <v>308</v>
      </c>
      <c r="D34" s="701"/>
      <c r="E34" s="704"/>
      <c r="F34" s="748">
        <f ca="1">IF('数据-取费表'!B24=0,1,IF(B1="",'数据-取费表'!N16,INDIRECT("'数据-取费表'!n"&amp;$G$1)))</f>
        <v>1</v>
      </c>
      <c r="G34" s="703" t="s">
        <v>1101</v>
      </c>
    </row>
    <row r="35" spans="1:7" ht="13.5" customHeight="1">
      <c r="A35" s="728" t="s">
        <v>1044</v>
      </c>
      <c r="B35" s="699" t="s">
        <v>1102</v>
      </c>
      <c r="C35" s="704">
        <f ca="1">ROUND(C34*F35,0)</f>
        <v>15</v>
      </c>
      <c r="D35" s="704"/>
      <c r="E35" s="704"/>
      <c r="F35" s="749">
        <f>'数据-取费表'!B33</f>
        <v>0.05</v>
      </c>
      <c r="G35" s="703" t="s">
        <v>1103</v>
      </c>
    </row>
    <row r="36" spans="1:7" ht="24">
      <c r="A36" s="728" t="s">
        <v>1046</v>
      </c>
      <c r="B36" s="699" t="s">
        <v>1104</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1105</v>
      </c>
    </row>
    <row r="37" spans="1:7" s="242" customFormat="1" ht="13.5" customHeight="1">
      <c r="A37" s="728" t="s">
        <v>1086</v>
      </c>
      <c r="B37" s="699" t="s">
        <v>1106</v>
      </c>
      <c r="C37" s="740">
        <f ca="1">ROUND(E37*D37*F34/10000,0)</f>
        <v>18</v>
      </c>
      <c r="D37" s="701">
        <f ca="1">D19</f>
        <v>879.38</v>
      </c>
      <c r="E37" s="740">
        <f>'数据-取费表'!B35</f>
        <v>200</v>
      </c>
      <c r="F37" s="749"/>
      <c r="G37" s="751" t="s">
        <v>1107</v>
      </c>
    </row>
    <row r="38" spans="1:7" ht="13.5" customHeight="1">
      <c r="A38" s="728" t="s">
        <v>1108</v>
      </c>
      <c r="B38" s="699" t="s">
        <v>974</v>
      </c>
      <c r="C38" s="704">
        <f ca="1">ROUND(C34*F38,0)</f>
        <v>6</v>
      </c>
      <c r="D38" s="704"/>
      <c r="E38" s="704"/>
      <c r="F38" s="749">
        <f>'数据-取费表'!B36</f>
        <v>0.02</v>
      </c>
      <c r="G38" s="703" t="s">
        <v>1103</v>
      </c>
    </row>
    <row r="39" spans="1:7" s="676" customFormat="1" ht="13.5" customHeight="1">
      <c r="A39" s="693" t="s">
        <v>1069</v>
      </c>
      <c r="B39" s="694" t="s">
        <v>1072</v>
      </c>
      <c r="C39" s="405">
        <f ca="1">ROUND(C33*F20,0)</f>
        <v>10</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ROUND(IF('数据-取费表'!B22&lt;=1,C33*F22*'数据-取费表'!B21/2,C33*(POWER((1+F22),'数据-取费表'!B21/2)-1)),0)</f>
        <v>8</v>
      </c>
      <c r="D42" s="410"/>
      <c r="E42" s="410"/>
      <c r="F42" s="730"/>
      <c r="G42" s="3648" t="s">
        <v>1112</v>
      </c>
    </row>
    <row r="43" spans="1:7" ht="13.5" customHeight="1">
      <c r="A43" s="728" t="s">
        <v>1044</v>
      </c>
      <c r="B43" s="699" t="s">
        <v>1082</v>
      </c>
      <c r="C43" s="410">
        <f ca="1">ROUND(IF('数据-取费表'!B22&lt;=1,C39*F22*'数据-取费表'!B21/2,C39*(POWER((1+F22),'数据-取费表'!B21/2)-1)),0)</f>
        <v>0</v>
      </c>
      <c r="D43" s="410"/>
      <c r="E43" s="410"/>
      <c r="F43" s="730"/>
      <c r="G43" s="3649"/>
    </row>
    <row r="44" spans="1:7" ht="13.5" customHeight="1">
      <c r="A44" s="728" t="s">
        <v>1046</v>
      </c>
      <c r="B44" s="699" t="s">
        <v>1084</v>
      </c>
      <c r="C44" s="410">
        <f ca="1">ROUND(IF('数据-取费表'!B22&lt;=1,C40*F22*'数据-取费表'!B21/2,C40*(POWER((1+F22),'数据-取费表'!B21/2)-1)),4)</f>
        <v>4.0000000000000002E-4</v>
      </c>
      <c r="D44" s="410"/>
      <c r="E44" s="410"/>
      <c r="F44" s="730"/>
      <c r="G44" s="3650"/>
    </row>
    <row r="45" spans="1:7" s="676" customFormat="1" ht="13.5" customHeight="1">
      <c r="A45" s="693" t="s">
        <v>1078</v>
      </c>
      <c r="B45" s="735" t="s">
        <v>1089</v>
      </c>
      <c r="C45" s="736">
        <f ca="1">C46</f>
        <v>54</v>
      </c>
      <c r="D45" s="723">
        <f ca="1">C47</f>
        <v>3.0000000000000001E-3</v>
      </c>
      <c r="E45" s="724" t="s">
        <v>1110</v>
      </c>
      <c r="F45" s="737">
        <f ca="1">F27</f>
        <v>0.15</v>
      </c>
      <c r="G45" s="738" t="s">
        <v>1113</v>
      </c>
    </row>
    <row r="46" spans="1:7" s="676" customFormat="1" ht="13.5" customHeight="1">
      <c r="A46" s="728" t="s">
        <v>1042</v>
      </c>
      <c r="B46" s="739" t="s">
        <v>1114</v>
      </c>
      <c r="C46" s="740">
        <f ca="1">ROUND((C33+C39)*F27,0)</f>
        <v>54</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2374">
        <f>ROUND(F30/(1+'数据-取费表'!C42),4)</f>
        <v>5.2400000000000002E-2</v>
      </c>
      <c r="D48" s="724" t="s">
        <v>1110</v>
      </c>
      <c r="E48" s="405"/>
      <c r="F48" s="727">
        <f>F30</f>
        <v>5.5E-2</v>
      </c>
      <c r="G48" s="725" t="s">
        <v>1116</v>
      </c>
    </row>
    <row r="49" spans="1:7" ht="16.5" customHeight="1">
      <c r="A49" s="693" t="s">
        <v>1093</v>
      </c>
      <c r="B49" s="694" t="s">
        <v>1117</v>
      </c>
      <c r="C49" s="405">
        <f ca="1">ROUND((C33+C39+C41+C45)/(1-C40-D41-D45-C48),0)</f>
        <v>453</v>
      </c>
      <c r="D49" s="405"/>
      <c r="E49" s="405"/>
      <c r="F49" s="754"/>
      <c r="G49" s="725" t="s">
        <v>1118</v>
      </c>
    </row>
    <row r="50" spans="1:7" s="242" customFormat="1" ht="24">
      <c r="A50" s="693" t="s">
        <v>1119</v>
      </c>
      <c r="B50" s="694" t="s">
        <v>1120</v>
      </c>
      <c r="C50" s="405"/>
      <c r="D50" s="405"/>
      <c r="E50" s="405"/>
      <c r="F50" s="754">
        <f>IF('数据-取费表'!B24=0,'数据-取费表'!N16,1)</f>
        <v>0.83</v>
      </c>
      <c r="G50" s="738" t="s">
        <v>1121</v>
      </c>
    </row>
    <row r="51" spans="1:7" ht="16.5" customHeight="1">
      <c r="A51" s="693" t="s">
        <v>1122</v>
      </c>
      <c r="B51" s="694" t="s">
        <v>1123</v>
      </c>
      <c r="C51" s="405">
        <f ca="1">ROUND(C49*F50,0)</f>
        <v>376</v>
      </c>
      <c r="D51" s="405"/>
      <c r="E51" s="405"/>
      <c r="F51" s="754"/>
      <c r="G51" s="725" t="s">
        <v>1124</v>
      </c>
    </row>
    <row r="52" spans="1:7" s="675" customFormat="1" ht="15.75">
      <c r="A52" s="755" t="s">
        <v>1125</v>
      </c>
      <c r="B52" s="756"/>
      <c r="C52" s="757">
        <f ca="1">C31+C51</f>
        <v>401</v>
      </c>
      <c r="D52" s="756"/>
      <c r="E52" s="756"/>
      <c r="F52" s="756"/>
      <c r="G52" s="758"/>
    </row>
    <row r="55" spans="1:7" ht="15">
      <c r="B55" s="533" t="s">
        <v>1126</v>
      </c>
      <c r="C55" s="759"/>
    </row>
    <row r="56" spans="1:7">
      <c r="B56" s="525" t="s">
        <v>1127</v>
      </c>
      <c r="C56" s="536">
        <f ca="1">1-C57</f>
        <v>6.2000000000000055E-2</v>
      </c>
    </row>
    <row r="57" spans="1:7">
      <c r="B57" s="525" t="s">
        <v>1128</v>
      </c>
      <c r="C57" s="535">
        <f ca="1">ROUND(C51/C52,3)</f>
        <v>0.93799999999999994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1032</v>
      </c>
      <c r="B1" s="2363"/>
      <c r="C1" s="2364" t="s">
        <v>1129</v>
      </c>
      <c r="D1" s="683"/>
      <c r="E1" s="683"/>
      <c r="F1" s="683"/>
      <c r="G1" s="2365">
        <f>MATCH(B1,'数据-取费表'!A6:A16,0)+5</f>
        <v>7</v>
      </c>
      <c r="H1" s="2014" t="str">
        <f>IF(ISERROR(FIND("住宅",B1)),"非住宅","住宅")</f>
        <v>非住宅</v>
      </c>
    </row>
    <row r="2" spans="1:8" s="674" customFormat="1" ht="18" customHeight="1">
      <c r="A2" s="685" t="s">
        <v>1033</v>
      </c>
      <c r="B2" s="2366">
        <f ca="1">ROUND(IF(D2="——",C52/10000,C52/10000-E2),4)</f>
        <v>423.06490000000002</v>
      </c>
      <c r="C2" s="684" t="s">
        <v>1034</v>
      </c>
      <c r="D2" s="2367" t="s">
        <v>124</v>
      </c>
      <c r="E2" s="2368" t="e">
        <f ca="1">SUMIF(INDIRECT("'"&amp;G2&amp;"'"&amp;"!A:A"),"承租人权益价值",INDIRECT("'"&amp;G2&amp;"'"&amp;"!c:c"))</f>
        <v>#REF!</v>
      </c>
      <c r="F2" s="2369" t="s">
        <v>1034</v>
      </c>
      <c r="G2" s="2370"/>
    </row>
    <row r="3" spans="1:8" s="674" customFormat="1" ht="18" customHeight="1">
      <c r="A3" s="688" t="s">
        <v>1035</v>
      </c>
      <c r="B3" s="689">
        <f ca="1">ROUND(B2*10000/(IF(B1="",'数据-汇总表'!E3,INDIRECT("'数据-取费表'!k"&amp;$G$1))),0)</f>
        <v>4811</v>
      </c>
      <c r="C3" s="684" t="s">
        <v>1036</v>
      </c>
      <c r="D3" s="684"/>
      <c r="E3" s="684"/>
      <c r="F3" s="684"/>
      <c r="G3" s="684"/>
    </row>
    <row r="4" spans="1:8" s="675" customFormat="1" ht="15.75">
      <c r="A4" s="690" t="s">
        <v>1037</v>
      </c>
      <c r="B4" s="691"/>
      <c r="C4" s="691"/>
      <c r="D4" s="691"/>
      <c r="E4" s="691"/>
      <c r="F4" s="691"/>
      <c r="G4" s="692"/>
    </row>
    <row r="5" spans="1:8" s="676" customFormat="1" ht="13.5" customHeight="1">
      <c r="A5" s="693" t="s">
        <v>1038</v>
      </c>
      <c r="B5" s="694" t="s">
        <v>1039</v>
      </c>
      <c r="C5" s="695">
        <f ca="1">C6+C7+C8</f>
        <v>175876</v>
      </c>
      <c r="D5" s="695" t="s">
        <v>1040</v>
      </c>
      <c r="E5" s="696" t="s">
        <v>1041</v>
      </c>
      <c r="F5" s="696" t="s">
        <v>938</v>
      </c>
      <c r="G5" s="697"/>
    </row>
    <row r="6" spans="1:8" s="676" customFormat="1" ht="13.5" customHeight="1">
      <c r="A6" s="698" t="s">
        <v>1042</v>
      </c>
      <c r="B6" s="699" t="s">
        <v>1043</v>
      </c>
      <c r="C6" s="700"/>
      <c r="D6" s="701"/>
      <c r="E6" s="702"/>
      <c r="F6" s="702"/>
      <c r="G6" s="703"/>
    </row>
    <row r="7" spans="1:8" s="676" customFormat="1" ht="13.5" customHeight="1">
      <c r="A7" s="698" t="s">
        <v>1044</v>
      </c>
      <c r="B7" s="699" t="s">
        <v>1045</v>
      </c>
      <c r="C7" s="704">
        <f>ROUND(C6*F7,0)</f>
        <v>0</v>
      </c>
      <c r="D7" s="704"/>
      <c r="E7" s="702"/>
      <c r="F7" s="705">
        <f>IF(项目基本情况!B8="出让",0,'数据-取费表'!B48+'数据-取费表'!B49)</f>
        <v>3.0499999999999999E-2</v>
      </c>
      <c r="G7" s="703"/>
    </row>
    <row r="8" spans="1:8" s="677" customFormat="1">
      <c r="A8" s="698" t="s">
        <v>1046</v>
      </c>
      <c r="B8" s="699" t="s">
        <v>1047</v>
      </c>
      <c r="C8" s="704">
        <f ca="1">IF(G8="已包含在土地购买价格中",0,C9+C10)</f>
        <v>175876</v>
      </c>
      <c r="D8" s="706"/>
      <c r="E8" s="704"/>
      <c r="F8" s="705"/>
      <c r="G8" s="2371"/>
    </row>
    <row r="9" spans="1:8" s="676" customFormat="1" ht="13.5" customHeight="1">
      <c r="A9" s="708" t="s">
        <v>1048</v>
      </c>
      <c r="B9" s="709" t="s">
        <v>1049</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1051</v>
      </c>
      <c r="B10" s="709" t="s">
        <v>1052</v>
      </c>
      <c r="C10" s="710">
        <f ca="1">ROUND(D10*E10,0)</f>
        <v>175876</v>
      </c>
      <c r="D10" s="711">
        <f ca="1">IF(B1="",'数据-汇总表'!E6,IF(INDIRECT("'数据-取费表'!c"&amp;$G$1)="住宅",INDIRECT("'数据-取费表'!s"&amp;$G$1),INDIRECT("'数据-取费表'!k"&amp;$G$1)+INDIRECT("'数据-取费表'!s"&amp;$G$1)))</f>
        <v>879.38</v>
      </c>
      <c r="E10" s="710">
        <f>'数据-取费表'!B28</f>
        <v>200</v>
      </c>
      <c r="F10" s="705"/>
      <c r="G10" s="712"/>
    </row>
    <row r="11" spans="1:8" s="676" customFormat="1" ht="13.5" hidden="1" customHeight="1">
      <c r="A11" s="713" t="s">
        <v>1053</v>
      </c>
      <c r="B11" s="699" t="s">
        <v>1054</v>
      </c>
      <c r="C11" s="695"/>
      <c r="D11" s="714"/>
      <c r="E11" s="702"/>
      <c r="F11" s="702"/>
      <c r="G11" s="703"/>
    </row>
    <row r="12" spans="1:8" s="676" customFormat="1" ht="13.5" hidden="1" customHeight="1">
      <c r="A12" s="713" t="s">
        <v>1055</v>
      </c>
      <c r="B12" s="699" t="s">
        <v>974</v>
      </c>
      <c r="C12" s="695">
        <v>0</v>
      </c>
      <c r="D12" s="714"/>
      <c r="E12" s="715"/>
      <c r="F12" s="705">
        <v>3.0499999999999999E-2</v>
      </c>
      <c r="G12" s="703"/>
    </row>
    <row r="13" spans="1:8" s="676" customFormat="1" ht="13.5" hidden="1" customHeight="1">
      <c r="A13" s="713" t="s">
        <v>1056</v>
      </c>
      <c r="B13" s="699" t="s">
        <v>1057</v>
      </c>
      <c r="C13" s="695"/>
      <c r="D13" s="714"/>
      <c r="E13" s="702"/>
      <c r="F13" s="702"/>
      <c r="G13" s="703"/>
    </row>
    <row r="14" spans="1:8" s="676" customFormat="1" ht="13.5" hidden="1" customHeight="1">
      <c r="A14" s="713" t="s">
        <v>1058</v>
      </c>
      <c r="B14" s="699" t="s">
        <v>1047</v>
      </c>
      <c r="C14" s="695"/>
      <c r="D14" s="714"/>
      <c r="E14" s="702"/>
      <c r="F14" s="702"/>
      <c r="G14" s="703" t="s">
        <v>1059</v>
      </c>
    </row>
    <row r="15" spans="1:8" s="676" customFormat="1" ht="13.5" hidden="1" customHeight="1">
      <c r="A15" s="713" t="s">
        <v>1060</v>
      </c>
      <c r="B15" s="699" t="s">
        <v>1061</v>
      </c>
      <c r="C15" s="704"/>
      <c r="D15" s="714"/>
      <c r="E15" s="702"/>
      <c r="F15" s="702"/>
      <c r="G15" s="703" t="s">
        <v>1062</v>
      </c>
    </row>
    <row r="16" spans="1:8"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IF(G19="已包含在土地取得成本中","0",ROUND(D19*E19,0))</f>
        <v>175876</v>
      </c>
      <c r="D19" s="719">
        <f ca="1">D9+D10</f>
        <v>879.38</v>
      </c>
      <c r="E19" s="695">
        <f>'数据-取费表'!B31</f>
        <v>200</v>
      </c>
      <c r="F19" s="720"/>
      <c r="G19" s="2371"/>
    </row>
    <row r="20" spans="1:7" s="676" customFormat="1" ht="13.5" customHeight="1">
      <c r="A20" s="693" t="s">
        <v>1071</v>
      </c>
      <c r="B20" s="694" t="s">
        <v>1072</v>
      </c>
      <c r="C20" s="405">
        <f ca="1">ROUND((C5+C19)*F20,0)</f>
        <v>10553</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2372">
        <f ca="1">ROUND(SUM(C23:C25),0)</f>
        <v>16183</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2373">
        <f ca="1">ROUND(IF('数据-取费表'!B22&lt;=1,C5*F22*'数据-取费表'!B22,C5*(POWER((1+F22),'数据-取费表'!B22)-1)),0)</f>
        <v>7973</v>
      </c>
      <c r="D23" s="410"/>
      <c r="E23" s="410"/>
      <c r="F23" s="730"/>
      <c r="G23" s="731" t="s">
        <v>1081</v>
      </c>
    </row>
    <row r="24" spans="1:7" s="676" customFormat="1" ht="13.5" customHeight="1">
      <c r="A24" s="728" t="s">
        <v>1044</v>
      </c>
      <c r="B24" s="699" t="s">
        <v>1082</v>
      </c>
      <c r="C24" s="2373">
        <f ca="1">ROUND(IF('数据-取费表'!B22&lt;=1,C19*F22*('数据-取费表'!B19/2+'数据-取费表'!B20),C19*(POWER((1+F22),('数据-取费表'!B19/2+'数据-取费表'!B20))-1)),0)</f>
        <v>7973</v>
      </c>
      <c r="D24" s="410"/>
      <c r="E24" s="410"/>
      <c r="F24" s="730"/>
      <c r="G24" s="731" t="s">
        <v>1083</v>
      </c>
    </row>
    <row r="25" spans="1:7" s="676" customFormat="1" ht="24">
      <c r="A25" s="728" t="s">
        <v>1046</v>
      </c>
      <c r="B25" s="699" t="s">
        <v>1084</v>
      </c>
      <c r="C25" s="2373">
        <f ca="1">ROUND(IF('数据-取费表'!B22&lt;=1,C20*F22*'数据-取费表'!B22/2,C20*(POWER((1+F22),'数据-取费表'!B22/2)-1)),0)</f>
        <v>237</v>
      </c>
      <c r="D25" s="410"/>
      <c r="E25" s="732"/>
      <c r="F25" s="730"/>
      <c r="G25" s="733" t="s">
        <v>1085</v>
      </c>
    </row>
    <row r="26" spans="1:7" s="676" customFormat="1">
      <c r="A26" s="728" t="s">
        <v>1086</v>
      </c>
      <c r="B26" s="699" t="s">
        <v>1087</v>
      </c>
      <c r="C26" s="410">
        <f ca="1">ROUND(IF('数据-取费表'!B22&lt;=1,F21*F22*'数据-取费表'!B22/2,F21*(POWER((1+F22),'数据-取费表'!B22/2)-1)),4)</f>
        <v>4.0000000000000002E-4</v>
      </c>
      <c r="D26" s="410"/>
      <c r="E26" s="732"/>
      <c r="F26" s="730"/>
      <c r="G26" s="734"/>
    </row>
    <row r="27" spans="1:7" s="676" customFormat="1" ht="24.75">
      <c r="A27" s="693" t="s">
        <v>1088</v>
      </c>
      <c r="B27" s="735" t="s">
        <v>1089</v>
      </c>
      <c r="C27" s="736">
        <f ca="1">C28</f>
        <v>54346</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ROUND((C5+C19+C20)*F27,0)</f>
        <v>54346</v>
      </c>
      <c r="D28" s="723"/>
      <c r="E28" s="724"/>
      <c r="F28" s="737"/>
      <c r="G28" s="738"/>
    </row>
    <row r="29" spans="1:7" s="676" customFormat="1" ht="13.5" customHeight="1">
      <c r="A29" s="728" t="s">
        <v>1044</v>
      </c>
      <c r="B29" s="739" t="s">
        <v>1092</v>
      </c>
      <c r="C29" s="410">
        <f ca="1">ROUND(C21*F27,4)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468334</v>
      </c>
      <c r="D31" s="742"/>
      <c r="E31" s="695"/>
      <c r="F31" s="743"/>
      <c r="G31" s="725" t="s">
        <v>1097</v>
      </c>
    </row>
    <row r="32" spans="1:7" s="675" customFormat="1" ht="15.75">
      <c r="A32" s="744" t="s">
        <v>1130</v>
      </c>
      <c r="B32" s="745"/>
      <c r="C32" s="745"/>
      <c r="D32" s="745"/>
      <c r="E32" s="745"/>
      <c r="F32" s="745"/>
      <c r="G32" s="746"/>
    </row>
    <row r="33" spans="1:7" s="676" customFormat="1" ht="13.5" customHeight="1">
      <c r="A33" s="693" t="s">
        <v>1038</v>
      </c>
      <c r="B33" s="694" t="s">
        <v>1131</v>
      </c>
      <c r="C33" s="747">
        <f ca="1">SUM(C34:C38)</f>
        <v>3469155</v>
      </c>
      <c r="D33" s="405"/>
      <c r="E33" s="696"/>
      <c r="F33" s="732"/>
      <c r="G33" s="725"/>
    </row>
    <row r="34" spans="1:7" s="242" customFormat="1" ht="13.5" customHeight="1">
      <c r="A34" s="728" t="s">
        <v>1042</v>
      </c>
      <c r="B34" s="699" t="s">
        <v>1100</v>
      </c>
      <c r="C34" s="704">
        <f ca="1">ROUND(IF(B1="",SUMPRODUCT('数据-取费表'!K6:K14,'数据-取费表'!L6:L14),INDIRECT("'数据-取费表'!l"&amp;$G$1)*INDIRECT("'数据-取费表'!k"&amp;$G$1)+'数据-取费表'!L14*INDIRECT("'数据-取费表'!S"&amp;$G$1)),0)</f>
        <v>3077830</v>
      </c>
      <c r="D34" s="701"/>
      <c r="E34" s="704"/>
      <c r="F34" s="748"/>
      <c r="G34" s="703"/>
    </row>
    <row r="35" spans="1:7" ht="13.5" customHeight="1">
      <c r="A35" s="728" t="s">
        <v>1044</v>
      </c>
      <c r="B35" s="699" t="s">
        <v>1102</v>
      </c>
      <c r="C35" s="704">
        <f ca="1">ROUND(C34*F35,0)</f>
        <v>153892</v>
      </c>
      <c r="D35" s="704"/>
      <c r="E35" s="704"/>
      <c r="F35" s="749">
        <f>'数据-取费表'!B33</f>
        <v>0.05</v>
      </c>
      <c r="G35" s="703" t="s">
        <v>1103</v>
      </c>
    </row>
    <row r="36" spans="1:7" ht="24">
      <c r="A36" s="728" t="s">
        <v>1046</v>
      </c>
      <c r="B36" s="699" t="s">
        <v>1104</v>
      </c>
      <c r="C36" s="704">
        <f ca="1">ROUND(IF(B1="",SUM('数据-取费表'!AP6:AP13)*F36,IF(INDIRECT("'数据-取费表'!c"&amp;$G$1)="住宅",INDIRECT("'数据-取费表'!k"&amp;$G$1)*INDIRECT("'数据-取费表'!l"&amp;$G$1)*F36,0)),0)</f>
        <v>0</v>
      </c>
      <c r="D36" s="704"/>
      <c r="E36" s="704"/>
      <c r="F36" s="749">
        <f>'数据-取费表'!B34</f>
        <v>0</v>
      </c>
      <c r="G36" s="750" t="s">
        <v>1105</v>
      </c>
    </row>
    <row r="37" spans="1:7" s="242" customFormat="1" ht="13.5" customHeight="1">
      <c r="A37" s="728" t="s">
        <v>1086</v>
      </c>
      <c r="B37" s="699" t="s">
        <v>1106</v>
      </c>
      <c r="C37" s="740">
        <f ca="1">ROUND(E37*D37,0)</f>
        <v>175876</v>
      </c>
      <c r="D37" s="701">
        <f ca="1">D19</f>
        <v>879.38</v>
      </c>
      <c r="E37" s="740">
        <f>'数据-取费表'!B35</f>
        <v>200</v>
      </c>
      <c r="F37" s="749"/>
      <c r="G37" s="751"/>
    </row>
    <row r="38" spans="1:7" ht="13.5" customHeight="1">
      <c r="A38" s="728" t="s">
        <v>1108</v>
      </c>
      <c r="B38" s="699" t="s">
        <v>974</v>
      </c>
      <c r="C38" s="704">
        <f ca="1">ROUND(C34*F38,0)</f>
        <v>61557</v>
      </c>
      <c r="D38" s="704"/>
      <c r="E38" s="704"/>
      <c r="F38" s="749">
        <f>'数据-取费表'!B36</f>
        <v>0.02</v>
      </c>
      <c r="G38" s="703" t="s">
        <v>1103</v>
      </c>
    </row>
    <row r="39" spans="1:7" s="676" customFormat="1" ht="13.5" customHeight="1">
      <c r="A39" s="693" t="s">
        <v>1069</v>
      </c>
      <c r="B39" s="694" t="s">
        <v>1072</v>
      </c>
      <c r="C39" s="405">
        <f ca="1">ROUND(C33*F20,0)</f>
        <v>104075</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80100</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ROUND(IF('数据-取费表'!B22&lt;=1,C33*F22*'数据-取费表'!B20/2,C33*(POWER((1+F22),'数据-取费表'!B20/2)-1)),0)</f>
        <v>77767</v>
      </c>
      <c r="D42" s="410"/>
      <c r="E42" s="410"/>
      <c r="F42" s="730"/>
      <c r="G42" s="3648" t="s">
        <v>1132</v>
      </c>
    </row>
    <row r="43" spans="1:7" ht="13.5" customHeight="1">
      <c r="A43" s="728" t="s">
        <v>1044</v>
      </c>
      <c r="B43" s="699" t="s">
        <v>1082</v>
      </c>
      <c r="C43" s="410">
        <f ca="1">ROUND(IF('数据-取费表'!B22&lt;=1,C39*F22*'数据-取费表'!B20/2,C39*(POWER((1+F22),'数据-取费表'!B20/2)-1)),0)</f>
        <v>2333</v>
      </c>
      <c r="D43" s="410"/>
      <c r="E43" s="410"/>
      <c r="F43" s="730"/>
      <c r="G43" s="3649"/>
    </row>
    <row r="44" spans="1:7" ht="13.5" customHeight="1">
      <c r="A44" s="728" t="s">
        <v>1046</v>
      </c>
      <c r="B44" s="699" t="s">
        <v>1084</v>
      </c>
      <c r="C44" s="410">
        <f ca="1">ROUND(IF('数据-取费表'!B22&lt;=1,C40*F22*'数据-取费表'!B20/2,C40*(POWER((1+F22),'数据-取费表'!B20/2)-1)),4)</f>
        <v>4.0000000000000002E-4</v>
      </c>
      <c r="D44" s="410"/>
      <c r="E44" s="410"/>
      <c r="F44" s="730"/>
      <c r="G44" s="3650"/>
    </row>
    <row r="45" spans="1:7" s="676" customFormat="1" ht="13.5" customHeight="1">
      <c r="A45" s="693" t="s">
        <v>1078</v>
      </c>
      <c r="B45" s="735" t="s">
        <v>1089</v>
      </c>
      <c r="C45" s="736">
        <f ca="1">C46</f>
        <v>535985</v>
      </c>
      <c r="D45" s="723">
        <f ca="1">C47</f>
        <v>3.0000000000000001E-3</v>
      </c>
      <c r="E45" s="724" t="s">
        <v>1110</v>
      </c>
      <c r="F45" s="737">
        <f ca="1">F27</f>
        <v>0.15</v>
      </c>
      <c r="G45" s="738" t="s">
        <v>1113</v>
      </c>
    </row>
    <row r="46" spans="1:7" s="676" customFormat="1" ht="13.5" customHeight="1">
      <c r="A46" s="728" t="s">
        <v>1042</v>
      </c>
      <c r="B46" s="739" t="s">
        <v>1114</v>
      </c>
      <c r="C46" s="740">
        <f ca="1">ROUND((C33+C39)*F27,0)</f>
        <v>535985</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752">
        <f>ROUND(F30/(1+'数据-取费表'!C42),4)</f>
        <v>5.2400000000000002E-2</v>
      </c>
      <c r="D48" s="724" t="s">
        <v>1110</v>
      </c>
      <c r="E48" s="405"/>
      <c r="F48" s="727">
        <f>F30</f>
        <v>5.5E-2</v>
      </c>
      <c r="G48" s="725" t="s">
        <v>1116</v>
      </c>
    </row>
    <row r="49" spans="1:7" ht="16.5" customHeight="1">
      <c r="A49" s="693" t="s">
        <v>1093</v>
      </c>
      <c r="B49" s="694" t="s">
        <v>1133</v>
      </c>
      <c r="C49" s="405">
        <f ca="1">ROUND((C33+C39+C41+C45)/(1-C40-D41-D45-C48),0)</f>
        <v>4532910</v>
      </c>
      <c r="D49" s="405"/>
      <c r="E49" s="405"/>
      <c r="F49" s="754"/>
      <c r="G49" s="725" t="s">
        <v>1118</v>
      </c>
    </row>
    <row r="50" spans="1:7" s="242" customFormat="1">
      <c r="A50" s="693" t="s">
        <v>1119</v>
      </c>
      <c r="B50" s="694" t="s">
        <v>1120</v>
      </c>
      <c r="C50" s="405"/>
      <c r="D50" s="405"/>
      <c r="E50" s="405"/>
      <c r="F50" s="754">
        <f>IF('数据-取费表'!B24=0,'数据-取费表'!N16,1)</f>
        <v>0.83</v>
      </c>
      <c r="G50" s="738"/>
    </row>
    <row r="51" spans="1:7" ht="16.5" customHeight="1">
      <c r="A51" s="693" t="s">
        <v>1122</v>
      </c>
      <c r="B51" s="694" t="s">
        <v>1134</v>
      </c>
      <c r="C51" s="405">
        <f ca="1">ROUND(C49*F50,0)</f>
        <v>3762315</v>
      </c>
      <c r="D51" s="405"/>
      <c r="E51" s="405"/>
      <c r="F51" s="754"/>
      <c r="G51" s="725" t="s">
        <v>1124</v>
      </c>
    </row>
    <row r="52" spans="1:7" s="675" customFormat="1" ht="15.75">
      <c r="A52" s="755" t="s">
        <v>1125</v>
      </c>
      <c r="B52" s="756"/>
      <c r="C52" s="757">
        <f ca="1">C31+C51</f>
        <v>4230649</v>
      </c>
      <c r="D52" s="756"/>
      <c r="E52" s="756"/>
      <c r="F52" s="756"/>
      <c r="G52" s="758"/>
    </row>
    <row r="55" spans="1:7" ht="15">
      <c r="B55" s="533" t="s">
        <v>1126</v>
      </c>
      <c r="C55" s="759"/>
    </row>
    <row r="56" spans="1:7">
      <c r="B56" s="525" t="s">
        <v>1127</v>
      </c>
      <c r="C56" s="536">
        <f ca="1">1-C57</f>
        <v>0.11099999999999999</v>
      </c>
    </row>
    <row r="57" spans="1:7">
      <c r="B57" s="525" t="s">
        <v>1128</v>
      </c>
      <c r="C57" s="535">
        <f ca="1">ROUND(C51/C52,3)</f>
        <v>0.88900000000000001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1135</v>
      </c>
      <c r="B1" s="357"/>
      <c r="C1" s="2279"/>
      <c r="D1" s="2280"/>
      <c r="E1" s="2281"/>
      <c r="F1" s="2281"/>
      <c r="G1" s="2282"/>
      <c r="H1" s="2281"/>
      <c r="I1" s="2281"/>
      <c r="J1" s="2281"/>
      <c r="K1" s="2350">
        <f>MATCH(C1,'数据-取费表'!A6:A16,0)+5</f>
        <v>7</v>
      </c>
    </row>
    <row r="2" spans="1:33" ht="18" customHeight="1">
      <c r="A2" s="685" t="s">
        <v>1033</v>
      </c>
      <c r="B2" s="689">
        <f ca="1">C32</f>
        <v>-21</v>
      </c>
      <c r="C2" s="2283" t="s">
        <v>1136</v>
      </c>
      <c r="D2" s="2283"/>
      <c r="E2" s="2281"/>
      <c r="F2" s="2281"/>
      <c r="G2" s="2281"/>
      <c r="H2" s="2281"/>
      <c r="I2" s="2281"/>
      <c r="J2" s="2281"/>
      <c r="K2" s="2281"/>
    </row>
    <row r="3" spans="1:33" ht="18" customHeight="1">
      <c r="A3" s="688" t="s">
        <v>1035</v>
      </c>
      <c r="B3" s="689">
        <f ca="1">ROUND(B2*10000/IF(C1="",'数据-汇总表'!E3,INDIRECT("'数据-取费表'!K"&amp;$K$1)),0)</f>
        <v>-239</v>
      </c>
      <c r="C3" s="2283" t="s">
        <v>1137</v>
      </c>
      <c r="D3" s="2283"/>
      <c r="E3" s="2281"/>
      <c r="F3" s="2281"/>
      <c r="G3" s="2281"/>
      <c r="H3" s="2281"/>
      <c r="I3" s="2281"/>
      <c r="J3" s="2281"/>
      <c r="K3" s="2281"/>
    </row>
    <row r="4" spans="1:33" s="2268" customFormat="1" ht="16.5" customHeight="1">
      <c r="A4" s="2284" t="s">
        <v>1138</v>
      </c>
      <c r="B4" s="2285"/>
      <c r="C4" s="2286">
        <f>SUM(C8:K8)</f>
        <v>0</v>
      </c>
      <c r="D4" s="2285"/>
      <c r="E4" s="2285"/>
      <c r="F4" s="2285"/>
      <c r="G4" s="2285"/>
      <c r="H4" s="2285"/>
      <c r="I4" s="2285"/>
      <c r="J4" s="2285"/>
      <c r="K4" s="2351"/>
    </row>
    <row r="5" spans="1:33" s="2269" customFormat="1" ht="15">
      <c r="A5" s="2287" t="s">
        <v>1139</v>
      </c>
      <c r="B5" s="2288" t="s">
        <v>1140</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943</v>
      </c>
      <c r="B6" s="319" t="s">
        <v>1141</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947</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992</v>
      </c>
      <c r="B8" s="2294" t="s">
        <v>1142</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1143</v>
      </c>
      <c r="B9" s="2285"/>
      <c r="C9" s="2285"/>
      <c r="D9" s="2285"/>
      <c r="E9" s="2285"/>
      <c r="F9" s="2285"/>
      <c r="G9" s="2285"/>
      <c r="H9" s="2285"/>
      <c r="I9" s="2285"/>
      <c r="J9" s="2285"/>
      <c r="K9" s="2351"/>
    </row>
    <row r="10" spans="1:33" s="2271" customFormat="1" ht="13.5" customHeight="1">
      <c r="A10" s="2287" t="s">
        <v>1139</v>
      </c>
      <c r="B10" s="2297" t="s">
        <v>1140</v>
      </c>
      <c r="C10" s="2298" t="s">
        <v>1144</v>
      </c>
      <c r="D10" s="2299" t="s">
        <v>1145</v>
      </c>
      <c r="E10" s="2299" t="s">
        <v>1146</v>
      </c>
      <c r="F10" s="2299" t="s">
        <v>1147</v>
      </c>
      <c r="G10" s="2297"/>
      <c r="H10" s="2300"/>
      <c r="I10" s="2300"/>
      <c r="J10" s="2300"/>
      <c r="K10" s="2357"/>
    </row>
    <row r="11" spans="1:33" s="2272" customFormat="1" ht="13.5" customHeight="1">
      <c r="A11" s="2301" t="s">
        <v>1048</v>
      </c>
      <c r="B11" s="2302" t="s">
        <v>1148</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1051</v>
      </c>
      <c r="B12" s="2302" t="s">
        <v>1149</v>
      </c>
      <c r="C12" s="312">
        <f ca="1">ROUND(C11*F12,0)</f>
        <v>0</v>
      </c>
      <c r="D12" s="2304"/>
      <c r="E12" s="323"/>
      <c r="F12" s="2305">
        <f>'数据-取费表'!B33</f>
        <v>0.05</v>
      </c>
      <c r="G12" s="2297" t="s">
        <v>1150</v>
      </c>
      <c r="H12" s="2300"/>
      <c r="I12" s="2300"/>
      <c r="J12" s="2300"/>
      <c r="K12" s="2357"/>
    </row>
    <row r="13" spans="1:33" s="2272" customFormat="1" ht="13.5" customHeight="1">
      <c r="A13" s="2301" t="s">
        <v>1151</v>
      </c>
      <c r="B13" s="2302" t="s">
        <v>1152</v>
      </c>
      <c r="C13" s="312">
        <f ca="1">ROUND(IF(C1="",SUMIF('数据-取费表'!C:C,"住宅",'数据-取费表'!P:P)*F13,IF(INDIRECT("'数据-取费表'!c"&amp;$K$1)="住宅",INDIRECT("'数据-取费表'!P"&amp;$K$1)*F13,0)),0)</f>
        <v>0</v>
      </c>
      <c r="D13" s="2306"/>
      <c r="E13" s="323"/>
      <c r="F13" s="2305">
        <f>'数据-取费表'!B34</f>
        <v>0</v>
      </c>
      <c r="G13" s="2297" t="s">
        <v>1153</v>
      </c>
      <c r="H13" s="2300"/>
      <c r="I13" s="2300"/>
      <c r="J13" s="2300"/>
      <c r="K13" s="2357"/>
    </row>
    <row r="14" spans="1:33" s="2273" customFormat="1" ht="13.5" customHeight="1">
      <c r="A14" s="2301" t="s">
        <v>1154</v>
      </c>
      <c r="B14" s="2302" t="s">
        <v>1155</v>
      </c>
      <c r="C14" s="312">
        <f ca="1">ROUND(D14*E14*F11/10000,0)</f>
        <v>0</v>
      </c>
      <c r="D14" s="2306">
        <f ca="1">IF(C1="",'数据-汇总表'!E3,INDIRECT("'数据-取费表'!K"&amp;$K$1)+INDIRECT("'数据-取费表'!S"&amp;$K$1))</f>
        <v>879.38</v>
      </c>
      <c r="E14" s="312">
        <f>'数据-取费表'!B35</f>
        <v>200</v>
      </c>
      <c r="F14" s="2307"/>
      <c r="G14" s="2297" t="s">
        <v>1156</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1157</v>
      </c>
      <c r="B15" s="2302" t="s">
        <v>1158</v>
      </c>
      <c r="C15" s="2308">
        <f ca="1">ROUND(C11*F15,0)</f>
        <v>0</v>
      </c>
      <c r="D15" s="2309"/>
      <c r="E15" s="2308"/>
      <c r="F15" s="2305">
        <f>'数据-取费表'!B36</f>
        <v>0.02</v>
      </c>
      <c r="G15" s="319" t="s">
        <v>1159</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966</v>
      </c>
      <c r="B16" s="2302" t="s">
        <v>1160</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970</v>
      </c>
      <c r="B17" s="2302" t="s">
        <v>1161</v>
      </c>
      <c r="C17" s="312">
        <f ca="1">ROUND(D17*E17/10000,0)</f>
        <v>0</v>
      </c>
      <c r="D17" s="2306">
        <f ca="1">D14</f>
        <v>879.38</v>
      </c>
      <c r="E17" s="312">
        <f>'数据-取费表'!B32</f>
        <v>0</v>
      </c>
      <c r="F17" s="2309"/>
      <c r="G17" s="319" t="s">
        <v>1162</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1163</v>
      </c>
      <c r="B18" s="2302" t="s">
        <v>1164</v>
      </c>
      <c r="C18" s="312">
        <f ca="1">C19+C20-IF(C1="",'数据-取费表'!B29,IF(G18="已全部缴纳",C19+C20,H18))</f>
        <v>18</v>
      </c>
      <c r="D18" s="2306"/>
      <c r="E18" s="312"/>
      <c r="F18" s="2307"/>
      <c r="G18" s="2311"/>
      <c r="H18" s="2312"/>
      <c r="I18" s="2358" t="s">
        <v>1165</v>
      </c>
      <c r="J18" s="439"/>
      <c r="K18" s="440"/>
    </row>
    <row r="19" spans="1:33" s="2272" customFormat="1" ht="13.5" customHeight="1">
      <c r="A19" s="2301" t="s">
        <v>1048</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1051</v>
      </c>
      <c r="B20" s="2302" t="s">
        <v>1166</v>
      </c>
      <c r="C20" s="312">
        <f ca="1">ROUND(D20*E20/10000,0)</f>
        <v>18</v>
      </c>
      <c r="D20" s="2306">
        <f ca="1">IF(C1="",'数据-汇总表'!E6,IF(INDIRECT("'数据-取费表'!c"&amp;$K$1)="住宅",INDIRECT("'数据-取费表'!s"&amp;$K$1),INDIRECT("'数据-取费表'!k"&amp;$K$1)+INDIRECT("'数据-取费表'!s"&amp;$K$1)))</f>
        <v>879.38</v>
      </c>
      <c r="E20" s="312">
        <f>'数据-取费表'!B28</f>
        <v>200</v>
      </c>
      <c r="F20" s="2307"/>
      <c r="G20" s="438"/>
      <c r="H20" s="2314"/>
      <c r="I20" s="2314"/>
      <c r="J20" s="2314"/>
      <c r="K20" s="2359"/>
    </row>
    <row r="21" spans="1:33" s="2272" customFormat="1" ht="13.5" customHeight="1">
      <c r="A21" s="2290" t="s">
        <v>943</v>
      </c>
      <c r="B21" s="2315" t="s">
        <v>1167</v>
      </c>
      <c r="C21" s="2316">
        <f ca="1">C16+C17+C18</f>
        <v>18</v>
      </c>
      <c r="D21" s="2317"/>
      <c r="E21" s="2318"/>
      <c r="F21" s="2318"/>
      <c r="G21" s="319" t="s">
        <v>1168</v>
      </c>
      <c r="H21" s="439"/>
      <c r="I21" s="439"/>
      <c r="J21" s="439"/>
      <c r="K21" s="440"/>
    </row>
    <row r="22" spans="1:33" s="2272" customFormat="1" ht="13.5" customHeight="1">
      <c r="A22" s="2290" t="s">
        <v>947</v>
      </c>
      <c r="B22" s="2315" t="s">
        <v>1169</v>
      </c>
      <c r="C22" s="2316">
        <f ca="1">ROUND(C21*F22,0)</f>
        <v>1</v>
      </c>
      <c r="D22" s="2318"/>
      <c r="E22" s="2318"/>
      <c r="F22" s="2319">
        <f>'数据-取费表'!B37</f>
        <v>0.03</v>
      </c>
      <c r="G22" s="2297" t="s">
        <v>1170</v>
      </c>
      <c r="H22" s="2300"/>
      <c r="I22" s="2300"/>
      <c r="J22" s="2300"/>
      <c r="K22" s="2357"/>
    </row>
    <row r="23" spans="1:33" s="2272" customFormat="1" ht="13.5" customHeight="1">
      <c r="A23" s="2290" t="s">
        <v>992</v>
      </c>
      <c r="B23" s="2315" t="s">
        <v>1171</v>
      </c>
      <c r="C23" s="2316">
        <f ca="1">ROUND(C4*F23*F11,0)</f>
        <v>0</v>
      </c>
      <c r="D23" s="2318"/>
      <c r="E23" s="2318"/>
      <c r="F23" s="2319">
        <f>'数据-取费表'!B38</f>
        <v>0.02</v>
      </c>
      <c r="G23" s="2297" t="s">
        <v>1172</v>
      </c>
      <c r="H23" s="2300"/>
      <c r="I23" s="2300"/>
      <c r="J23" s="2300"/>
      <c r="K23" s="2357"/>
    </row>
    <row r="24" spans="1:33" s="2272" customFormat="1" ht="13.5" customHeight="1">
      <c r="A24" s="2290" t="s">
        <v>995</v>
      </c>
      <c r="B24" s="2315" t="s">
        <v>1173</v>
      </c>
      <c r="C24" s="2320">
        <f>ROUND(F24/(1+'数据-取费表'!C42),4)</f>
        <v>2.9000000000000001E-2</v>
      </c>
      <c r="D24" s="2318" t="s">
        <v>1174</v>
      </c>
      <c r="E24" s="2318"/>
      <c r="F24" s="2319">
        <f>IF(项目基本情况!B8="出让",0,'数据-取费表'!B48+'数据-取费表'!B49)</f>
        <v>3.0499999999999999E-2</v>
      </c>
      <c r="G24" s="2297" t="s">
        <v>1175</v>
      </c>
      <c r="H24" s="2321"/>
      <c r="I24" s="2321"/>
      <c r="J24" s="2321"/>
      <c r="K24" s="2360"/>
    </row>
    <row r="25" spans="1:33" s="2272" customFormat="1" ht="13.5" customHeight="1">
      <c r="A25" s="2290" t="s">
        <v>999</v>
      </c>
      <c r="B25" s="2317" t="s">
        <v>1176</v>
      </c>
      <c r="C25" s="2322">
        <f ca="1">C27</f>
        <v>0</v>
      </c>
      <c r="D25" s="2320">
        <f ca="1">C26</f>
        <v>0</v>
      </c>
      <c r="E25" s="2323" t="s">
        <v>1174</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966</v>
      </c>
      <c r="B26" s="2325" t="s">
        <v>1177</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970</v>
      </c>
      <c r="B27" s="2325" t="s">
        <v>1178</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1000</v>
      </c>
      <c r="B28" s="2332" t="s">
        <v>1179</v>
      </c>
      <c r="C28" s="2333">
        <f ca="1">C30</f>
        <v>3</v>
      </c>
      <c r="D28" s="2320">
        <f ca="1">C29</f>
        <v>0</v>
      </c>
      <c r="E28" s="2323" t="s">
        <v>1174</v>
      </c>
      <c r="F28" s="1604">
        <f ca="1">IF(C1="",'数据-取费表'!Q16,INDIRECT("'数据-取费表'!q"&amp;$K$1))</f>
        <v>0.15</v>
      </c>
      <c r="G28" s="2334"/>
      <c r="H28" s="2321"/>
      <c r="I28" s="2321"/>
      <c r="J28" s="2321"/>
      <c r="K28" s="2360"/>
    </row>
    <row r="29" spans="1:33" s="2276" customFormat="1" ht="13.5" customHeight="1">
      <c r="A29" s="2301" t="s">
        <v>966</v>
      </c>
      <c r="B29" s="2335" t="s">
        <v>1180</v>
      </c>
      <c r="C29" s="2327">
        <f ca="1">ROUND((1+C24)*F28*'数据-取费表'!B24/'数据-取费表'!B20,4)</f>
        <v>0</v>
      </c>
      <c r="D29" s="2327"/>
      <c r="E29" s="2328"/>
      <c r="F29" s="2336"/>
      <c r="G29" s="319" t="s">
        <v>1181</v>
      </c>
      <c r="H29" s="439"/>
      <c r="I29" s="439"/>
      <c r="J29" s="439"/>
      <c r="K29" s="440"/>
    </row>
    <row r="30" spans="1:33" s="2276" customFormat="1" ht="13.5" customHeight="1">
      <c r="A30" s="2301" t="s">
        <v>970</v>
      </c>
      <c r="B30" s="2335" t="s">
        <v>1182</v>
      </c>
      <c r="C30" s="2337">
        <f ca="1">ROUND((C21+C22+C23)*F28,0)</f>
        <v>3</v>
      </c>
      <c r="D30" s="2327"/>
      <c r="E30" s="2328"/>
      <c r="F30" s="2336"/>
      <c r="G30" s="319"/>
      <c r="H30" s="439"/>
      <c r="I30" s="439"/>
      <c r="J30" s="439"/>
      <c r="K30" s="440"/>
    </row>
    <row r="31" spans="1:33" s="2272" customFormat="1" ht="13.5" customHeight="1">
      <c r="A31" s="2338" t="s">
        <v>1183</v>
      </c>
      <c r="B31" s="2339" t="s">
        <v>1184</v>
      </c>
      <c r="C31" s="2340">
        <f>ROUND(C4*F31/(1+'数据-取费表'!C42),0)</f>
        <v>0</v>
      </c>
      <c r="D31" s="2341"/>
      <c r="E31" s="2342"/>
      <c r="F31" s="2343">
        <f>'数据-取费表'!B41</f>
        <v>5.5E-2</v>
      </c>
      <c r="G31" s="2344" t="s">
        <v>1185</v>
      </c>
      <c r="H31" s="2345"/>
      <c r="I31" s="2345"/>
      <c r="J31" s="2345"/>
      <c r="K31" s="2361"/>
    </row>
    <row r="32" spans="1:33" s="2271" customFormat="1" ht="13.5" customHeight="1">
      <c r="A32" s="2346" t="s">
        <v>1186</v>
      </c>
      <c r="B32" s="2347"/>
      <c r="C32" s="2348">
        <f ca="1">ROUND((C4-C21-C22-C23-C25-C28-C31)/(1+C24+D25+D28),0)</f>
        <v>-21</v>
      </c>
      <c r="D32" s="2347"/>
      <c r="E32" s="2347"/>
      <c r="F32" s="2347"/>
      <c r="G32" s="2349" t="s">
        <v>1187</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c r="D1" s="248" t="s">
        <v>124</v>
      </c>
      <c r="E1" s="249" t="s">
        <v>1189</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260" t="e">
        <f ca="1">C40+J29+L46</f>
        <v>#DIV/0!</v>
      </c>
      <c r="C2" s="255" t="s">
        <v>1191</v>
      </c>
      <c r="D2" s="255"/>
      <c r="E2" s="257"/>
      <c r="F2" s="258"/>
      <c r="G2" s="259"/>
      <c r="H2" s="260"/>
      <c r="I2" s="260"/>
      <c r="J2" s="260"/>
      <c r="K2" s="426"/>
      <c r="L2" s="260"/>
      <c r="M2" s="260"/>
    </row>
    <row r="3" spans="1:37" ht="18" customHeight="1">
      <c r="A3" s="261" t="s">
        <v>1192</v>
      </c>
      <c r="B3" s="262">
        <f ca="1">IF(ISERROR(B2*10000/F43),0,ROUND(B2*10000/F43,0))</f>
        <v>0</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0</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ROUND(F6*F8*F7*(1-F9)/10000,0)</f>
        <v>0</v>
      </c>
      <c r="D6" s="276" t="s">
        <v>1203</v>
      </c>
      <c r="E6" s="277" t="s">
        <v>1204</v>
      </c>
      <c r="F6" s="278">
        <f ca="1">INDIRECT("'数据-取费表'!u"&amp;$G$1)</f>
        <v>0</v>
      </c>
      <c r="G6" s="241"/>
      <c r="H6" s="274" t="s">
        <v>943</v>
      </c>
      <c r="I6" s="3653" t="s">
        <v>1202</v>
      </c>
      <c r="J6" s="352">
        <f ca="1">ROUND(M6*M8*M7*(1-M9)/10000,0)</f>
        <v>0</v>
      </c>
      <c r="K6" s="276" t="s">
        <v>1205</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0</v>
      </c>
      <c r="G7" s="241"/>
      <c r="H7" s="283"/>
      <c r="I7" s="3654"/>
      <c r="J7" s="284"/>
      <c r="K7" s="281"/>
      <c r="L7" s="277" t="s">
        <v>1206</v>
      </c>
      <c r="M7" s="278">
        <f ca="1">F7</f>
        <v>0</v>
      </c>
    </row>
    <row r="8" spans="1:37" ht="18" customHeight="1">
      <c r="A8" s="283"/>
      <c r="B8" s="3654"/>
      <c r="C8" s="284"/>
      <c r="D8" s="281"/>
      <c r="E8" s="277" t="s">
        <v>1207</v>
      </c>
      <c r="F8" s="278">
        <f ca="1">INDIRECT("'数据-取费表'!ai"&amp;$G$1)</f>
        <v>0</v>
      </c>
      <c r="G8" s="241"/>
      <c r="H8" s="283"/>
      <c r="I8" s="3654"/>
      <c r="J8" s="284"/>
      <c r="K8" s="281"/>
      <c r="L8" s="277" t="s">
        <v>1207</v>
      </c>
      <c r="M8" s="278">
        <f ca="1">INDIRECT("'数据-取费表'!ai"&amp;$G$1)</f>
        <v>0</v>
      </c>
    </row>
    <row r="9" spans="1:37" ht="18" customHeight="1">
      <c r="A9" s="283"/>
      <c r="B9" s="3655"/>
      <c r="C9" s="284"/>
      <c r="D9" s="281"/>
      <c r="E9" s="277" t="s">
        <v>1208</v>
      </c>
      <c r="F9" s="285">
        <f ca="1">INDIRECT("'数据-取费表'!w"&amp;$G$1)</f>
        <v>0</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0</v>
      </c>
      <c r="D10" s="288" t="s">
        <v>1210</v>
      </c>
      <c r="E10" s="289" t="s">
        <v>1211</v>
      </c>
      <c r="F10" s="290"/>
      <c r="G10" s="241"/>
      <c r="H10" s="274" t="s">
        <v>947</v>
      </c>
      <c r="I10" s="286" t="s">
        <v>1209</v>
      </c>
      <c r="J10" s="352">
        <f ca="1">ROUND(IF(M10="押一",J6/12*M11,IF(M10="押二",J6/12*2*M11,IF(M10="押三",J6/12*3*M11,J11*M11))),0)</f>
        <v>0</v>
      </c>
      <c r="K10" s="288" t="s">
        <v>1210</v>
      </c>
      <c r="L10" s="289" t="s">
        <v>1211</v>
      </c>
      <c r="M10" s="290"/>
    </row>
    <row r="11" spans="1:37" ht="18" customHeight="1">
      <c r="A11" s="291"/>
      <c r="B11" s="292" t="s">
        <v>1212</v>
      </c>
      <c r="C11" s="293"/>
      <c r="D11" s="2261"/>
      <c r="E11" s="289" t="s">
        <v>1213</v>
      </c>
      <c r="F11" s="294">
        <f ca="1">'数据-取费表'!B39</f>
        <v>1.4999999999999999E-2</v>
      </c>
      <c r="G11" s="241"/>
      <c r="H11" s="295"/>
      <c r="I11" s="292" t="s">
        <v>1212</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0</v>
      </c>
      <c r="D13" s="305" t="s">
        <v>1216</v>
      </c>
      <c r="E13" s="305" t="s">
        <v>1217</v>
      </c>
      <c r="F13" s="306">
        <f ca="1">INDIRECT("'数据-取费表'!y"&amp;$G$1)</f>
        <v>0</v>
      </c>
      <c r="G13" s="241"/>
      <c r="H13" s="302">
        <v>2</v>
      </c>
      <c r="I13" s="303" t="s">
        <v>1215</v>
      </c>
      <c r="J13" s="435">
        <f ca="1">ROUND(J14*J15,0)</f>
        <v>0</v>
      </c>
      <c r="K13" s="330" t="s">
        <v>1216</v>
      </c>
      <c r="L13" s="436"/>
      <c r="M13" s="437"/>
    </row>
    <row r="14" spans="1:37" ht="18" customHeight="1">
      <c r="A14" s="307" t="s">
        <v>966</v>
      </c>
      <c r="B14" s="277" t="s">
        <v>1218</v>
      </c>
      <c r="C14" s="308">
        <f ca="1">INDIRECT("'数据-取费表'!m"&amp;$G$1)+INDIRECT("'数据-取费表'!t"&amp;$G$1)</f>
        <v>0</v>
      </c>
      <c r="D14" s="309" t="s">
        <v>1219</v>
      </c>
      <c r="E14" s="310"/>
      <c r="F14" s="311"/>
      <c r="G14" s="241"/>
      <c r="H14" s="307" t="s">
        <v>943</v>
      </c>
      <c r="I14" s="277" t="s">
        <v>1220</v>
      </c>
      <c r="J14" s="312">
        <f ca="1">C29</f>
        <v>0</v>
      </c>
      <c r="K14" s="438"/>
      <c r="L14" s="439"/>
      <c r="M14" s="440"/>
    </row>
    <row r="15" spans="1:37" s="240" customFormat="1" ht="18" customHeight="1">
      <c r="A15" s="307" t="s">
        <v>970</v>
      </c>
      <c r="B15" s="277" t="s">
        <v>1149</v>
      </c>
      <c r="C15" s="312">
        <f ca="1">ROUND(C14*F15,0)</f>
        <v>0</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ROUND(INDIRECT("'数据-取费表'!m"&amp;$G$1)*F16,0)</f>
        <v>0</v>
      </c>
      <c r="D16" s="277" t="s">
        <v>1221</v>
      </c>
      <c r="E16" s="277" t="s">
        <v>1222</v>
      </c>
      <c r="F16" s="317">
        <f ca="1">IF(INDIRECT("'数据-取费表'!c"&amp;$G$1)="住宅",'数据-取费表'!B34,0)</f>
        <v>0</v>
      </c>
      <c r="G16" s="241"/>
      <c r="H16" s="302" t="s">
        <v>1223</v>
      </c>
      <c r="I16" s="303" t="s">
        <v>1224</v>
      </c>
      <c r="J16" s="304">
        <f ca="1">ROUND(J17+J22+J23+J24,0)</f>
        <v>0</v>
      </c>
      <c r="K16" s="330" t="s">
        <v>1225</v>
      </c>
      <c r="L16" s="331"/>
      <c r="M16" s="273"/>
    </row>
    <row r="17" spans="1:37" s="240" customFormat="1" ht="18" customHeight="1">
      <c r="A17" s="307" t="s">
        <v>1226</v>
      </c>
      <c r="B17" s="277" t="s">
        <v>1227</v>
      </c>
      <c r="C17" s="312">
        <f ca="1">ROUND(F17*(F43+INDIRECT("'数据-取费表'!S"&amp;$G$1))/10000,0)</f>
        <v>0</v>
      </c>
      <c r="D17" s="277" t="s">
        <v>1228</v>
      </c>
      <c r="E17" s="277" t="s">
        <v>1229</v>
      </c>
      <c r="F17" s="318">
        <f>'数据-取费表'!B35</f>
        <v>200</v>
      </c>
      <c r="G17" s="315"/>
      <c r="H17" s="307" t="s">
        <v>943</v>
      </c>
      <c r="I17" s="277" t="s">
        <v>1230</v>
      </c>
      <c r="J17" s="333">
        <f ca="1">ROUND(IF(AND(项目基本情况!B11="自然人",项目基本情况!B10="北京市"),J6*M17/(1+'数据-取费表'!C42),J18+J19+J20),2)</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0</v>
      </c>
      <c r="D18" s="277" t="s">
        <v>1221</v>
      </c>
      <c r="E18" s="277" t="s">
        <v>1222</v>
      </c>
      <c r="F18" s="317">
        <f>'数据-取费表'!B36</f>
        <v>0.02</v>
      </c>
      <c r="G18" s="315"/>
      <c r="H18" s="307" t="s">
        <v>966</v>
      </c>
      <c r="I18" s="277" t="s">
        <v>1234</v>
      </c>
      <c r="J18" s="312">
        <f ca="1">ROUND(J6*M18/(1+'数据-取费表'!C42),2)</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0</v>
      </c>
      <c r="D19" s="319" t="s">
        <v>1237</v>
      </c>
      <c r="E19" s="320"/>
      <c r="F19" s="318"/>
      <c r="G19" s="241"/>
      <c r="H19" s="307" t="s">
        <v>970</v>
      </c>
      <c r="I19" s="277" t="s">
        <v>1238</v>
      </c>
      <c r="J19" s="312">
        <f ca="1">IF(K19="按租金收入计税",ROUND(J6*M19/(1+'数据-取费表'!C42),2),ROUND(C29*M19*0.7,2))</f>
        <v>0</v>
      </c>
      <c r="K19" s="337" t="s">
        <v>1239</v>
      </c>
      <c r="L19" s="277" t="s">
        <v>1222</v>
      </c>
      <c r="M19" s="317">
        <f>IF(K19="按租金收入计税",'数据-取费表'!B51,'数据-取费表'!B50)</f>
        <v>0.12</v>
      </c>
    </row>
    <row r="20" spans="1:37" s="240" customFormat="1" ht="18" customHeight="1">
      <c r="A20" s="307" t="s">
        <v>947</v>
      </c>
      <c r="B20" s="277" t="s">
        <v>1240</v>
      </c>
      <c r="C20" s="312">
        <f ca="1">ROUND(C19*F20,0)</f>
        <v>0</v>
      </c>
      <c r="D20" s="321" t="s">
        <v>1241</v>
      </c>
      <c r="E20" s="277" t="s">
        <v>1222</v>
      </c>
      <c r="F20" s="317">
        <f>'数据-取费表'!B37</f>
        <v>0.03</v>
      </c>
      <c r="G20" s="315"/>
      <c r="H20" s="307" t="s">
        <v>973</v>
      </c>
      <c r="I20" s="276" t="s">
        <v>1242</v>
      </c>
      <c r="J20" s="339">
        <f ca="1">ROUND(M20*M21/10000,2)</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ROUND(J14*M22,2)</f>
        <v>0</v>
      </c>
      <c r="K22" s="334" t="s">
        <v>1251</v>
      </c>
      <c r="L22" s="277" t="s">
        <v>1222</v>
      </c>
      <c r="M22" s="346">
        <f ca="1">INDIRECT("'数据-取费表'!Ak"&amp;$G$1)</f>
        <v>0</v>
      </c>
    </row>
    <row r="23" spans="1:37" s="240" customFormat="1" ht="18" customHeight="1">
      <c r="A23" s="307" t="s">
        <v>966</v>
      </c>
      <c r="B23" s="277" t="s">
        <v>1252</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ROUND(J13*M23,2)</f>
        <v>0</v>
      </c>
      <c r="K23" s="334" t="s">
        <v>1255</v>
      </c>
      <c r="L23" s="277" t="s">
        <v>1222</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ROUND(J5*M24,2)</f>
        <v>0</v>
      </c>
      <c r="K24" s="327" t="s">
        <v>1258</v>
      </c>
      <c r="L24" s="300" t="s">
        <v>1222</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999</v>
      </c>
      <c r="B25" s="277" t="s">
        <v>1259</v>
      </c>
      <c r="C25" s="312"/>
      <c r="D25" s="319" t="s">
        <v>1260</v>
      </c>
      <c r="E25" s="320"/>
      <c r="F25" s="318"/>
      <c r="G25" s="241"/>
      <c r="H25" s="302" t="s">
        <v>1261</v>
      </c>
      <c r="I25" s="348" t="s">
        <v>1262</v>
      </c>
      <c r="J25" s="304">
        <f ca="1">J5-J16</f>
        <v>0</v>
      </c>
      <c r="K25" s="349" t="s">
        <v>1263</v>
      </c>
      <c r="L25" s="350"/>
      <c r="M25" s="351"/>
    </row>
    <row r="26" spans="1:37">
      <c r="A26" s="307" t="s">
        <v>966</v>
      </c>
      <c r="B26" s="277" t="s">
        <v>1264</v>
      </c>
      <c r="C26" s="312">
        <f ca="1">ROUND((C19+C20)*F26,0)</f>
        <v>0</v>
      </c>
      <c r="D26" s="321" t="s">
        <v>1265</v>
      </c>
      <c r="E26" s="289" t="s">
        <v>1266</v>
      </c>
      <c r="F26" s="285">
        <f ca="1">INDIRECT("'数据-取费表'!q"&amp;$G$1)</f>
        <v>0</v>
      </c>
      <c r="G26" s="241"/>
      <c r="H26" s="268" t="s">
        <v>1267</v>
      </c>
      <c r="I26" s="269" t="s">
        <v>1268</v>
      </c>
      <c r="J26" s="352">
        <f ca="1">IF(J5&lt;&gt;0,ROUND(J25*(1-((1+M28)/(1+M26))^M27)/(M26-M28),0),0)</f>
        <v>0</v>
      </c>
      <c r="K26" s="340" t="s">
        <v>1269</v>
      </c>
      <c r="L26" s="277" t="s">
        <v>1270</v>
      </c>
      <c r="M26" s="285">
        <f ca="1">INDIRECT("'数据-取费表'!I"&amp;$G$1)</f>
        <v>0</v>
      </c>
    </row>
    <row r="27" spans="1:37" ht="18" customHeight="1">
      <c r="A27" s="307" t="s">
        <v>970</v>
      </c>
      <c r="B27" s="277" t="s">
        <v>1271</v>
      </c>
      <c r="C27" s="312">
        <f ca="1">ROUND(F21*F26,4)</f>
        <v>0</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0</v>
      </c>
      <c r="D29" s="327"/>
      <c r="E29" s="300"/>
      <c r="F29" s="328"/>
      <c r="G29" s="315"/>
      <c r="H29" s="329" t="s">
        <v>1279</v>
      </c>
      <c r="I29" s="359" t="s">
        <v>1280</v>
      </c>
      <c r="J29" s="360">
        <f ca="1">ROUND(J26/(1+F40)^F41,0)</f>
        <v>0</v>
      </c>
      <c r="K29" s="361" t="s">
        <v>1281</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ROUND(IF(AND(项目基本情况!B11="自然人",项目基本情况!B10="北京市"),C6*F31/(1+'数据-取费表'!C42),C32+C33+C34),2)</f>
        <v>0</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IF(项目基本情况!B11="自然人","——",ROUND(C6*F32/(1+'数据-取费表'!C42),2))</f>
        <v>0</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IF(项目基本情况!B11="自然人","——",IF(D33="按租金收入计税",ROUND(C6*F33/(1+'数据-取费表'!C42),2),IF(D33="按房产原值计税",ROUND(C29*F33*0.7,2),INDIRECT("'数据-取费表'!Aj"&amp;$G$1))))</f>
        <v>0</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IF(项目基本情况!B11="自然人","——",ROUND(F34*F35/10000,2))</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ROUND(C29*F36,2)</f>
        <v>0</v>
      </c>
      <c r="D36" s="334" t="s">
        <v>1283</v>
      </c>
      <c r="E36" s="277" t="s">
        <v>1222</v>
      </c>
      <c r="F36" s="346">
        <f ca="1">INDIRECT("'数据-取费表'!Ak"&amp;$G$1)</f>
        <v>0</v>
      </c>
      <c r="G36" s="241"/>
      <c r="H36" s="338"/>
      <c r="I36" s="445"/>
      <c r="J36" s="446"/>
      <c r="K36" s="453"/>
      <c r="L36" s="338"/>
      <c r="M36" s="338"/>
    </row>
    <row r="37" spans="1:18" ht="18" customHeight="1">
      <c r="A37" s="307" t="s">
        <v>992</v>
      </c>
      <c r="B37" s="277" t="s">
        <v>1254</v>
      </c>
      <c r="C37" s="312">
        <f ca="1">ROUND(C13*F37,2)</f>
        <v>0</v>
      </c>
      <c r="D37" s="334" t="s">
        <v>1255</v>
      </c>
      <c r="E37" s="277" t="s">
        <v>1222</v>
      </c>
      <c r="F37" s="347">
        <f ca="1">INDIRECT("'数据-取费表'!Al"&amp;$G$1)</f>
        <v>0</v>
      </c>
      <c r="G37" s="241"/>
      <c r="H37" s="338"/>
      <c r="I37" s="445"/>
      <c r="J37" s="446"/>
      <c r="K37" s="453"/>
      <c r="L37" s="338"/>
      <c r="M37" s="338"/>
    </row>
    <row r="38" spans="1:18" ht="18" customHeight="1">
      <c r="A38" s="316" t="s">
        <v>995</v>
      </c>
      <c r="B38" s="300" t="s">
        <v>1240</v>
      </c>
      <c r="C38" s="326">
        <f ca="1">ROUND(C5*F38,2)</f>
        <v>0</v>
      </c>
      <c r="D38" s="327" t="s">
        <v>1258</v>
      </c>
      <c r="E38" s="300" t="s">
        <v>1222</v>
      </c>
      <c r="F38" s="301">
        <f ca="1">INDIRECT("'数据-取费表'!Am"&amp;$G$1)</f>
        <v>0</v>
      </c>
      <c r="G38" s="241"/>
      <c r="H38" s="338"/>
      <c r="I38" s="445"/>
      <c r="J38" s="446"/>
      <c r="K38" s="454"/>
      <c r="L38" s="338"/>
      <c r="M38" s="338"/>
    </row>
    <row r="39" spans="1:18" ht="24.6" customHeight="1">
      <c r="A39" s="302" t="s">
        <v>1261</v>
      </c>
      <c r="B39" s="348" t="s">
        <v>1262</v>
      </c>
      <c r="C39" s="304">
        <f ca="1">C5-C30</f>
        <v>0</v>
      </c>
      <c r="D39" s="349" t="s">
        <v>1263</v>
      </c>
      <c r="E39" s="350"/>
      <c r="F39" s="351"/>
      <c r="G39" s="241"/>
      <c r="H39" s="338"/>
      <c r="I39" s="445"/>
      <c r="J39" s="446"/>
      <c r="K39" s="454"/>
      <c r="L39" s="338"/>
      <c r="M39" s="338"/>
    </row>
    <row r="40" spans="1:18" ht="18" customHeight="1">
      <c r="A40" s="268" t="s">
        <v>1267</v>
      </c>
      <c r="B40" s="269" t="s">
        <v>1284</v>
      </c>
      <c r="C40" s="352" t="e">
        <f ca="1">ROUND(C39*(1-((1+F42)/(1+F40))^F41)/(F40-F42),0)</f>
        <v>#DIV/0!</v>
      </c>
      <c r="D40" s="340" t="s">
        <v>1269</v>
      </c>
      <c r="E40" s="277" t="s">
        <v>1270</v>
      </c>
      <c r="F40" s="285">
        <f ca="1">INDIRECT("'数据-取费表'!I"&amp;$G$1)</f>
        <v>0</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1277</v>
      </c>
      <c r="F42" s="285">
        <f ca="1">INDIRECT("'数据-取费表'!v"&amp;$G$1)</f>
        <v>0</v>
      </c>
      <c r="G42" s="241"/>
      <c r="H42" s="357"/>
      <c r="I42" s="445"/>
      <c r="J42" s="446"/>
      <c r="K42" s="453"/>
      <c r="L42" s="357"/>
      <c r="M42" s="357"/>
    </row>
    <row r="43" spans="1:18" ht="18" customHeight="1">
      <c r="A43" s="329" t="s">
        <v>1279</v>
      </c>
      <c r="B43" s="359" t="s">
        <v>1285</v>
      </c>
      <c r="C43" s="360" t="e">
        <f ca="1">ROUND(C40*10000/F43,0)</f>
        <v>#DIV/0!</v>
      </c>
      <c r="D43" s="361" t="s">
        <v>1286</v>
      </c>
      <c r="E43" s="362" t="s">
        <v>1287</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1288</v>
      </c>
      <c r="P45" s="353"/>
      <c r="Q45" s="353"/>
      <c r="R45" s="353"/>
    </row>
    <row r="46" spans="1:18" s="241" customFormat="1">
      <c r="A46" s="369" t="s">
        <v>1289</v>
      </c>
      <c r="C46" s="370" t="e">
        <f ca="1">C68-C40</f>
        <v>#DIV/0!</v>
      </c>
      <c r="D46" s="371" t="str">
        <f>C2</f>
        <v>万元</v>
      </c>
      <c r="E46" s="364"/>
      <c r="F46" s="364"/>
      <c r="I46" s="457" t="s">
        <v>1290</v>
      </c>
      <c r="J46" s="458"/>
      <c r="K46" s="459"/>
      <c r="L46" s="460" t="e">
        <f ca="1">IF(M47="住宅",0,IF(L48&gt;J51,L60,J60))</f>
        <v>#DIV/0!</v>
      </c>
      <c r="O46" s="461" t="s">
        <v>1291</v>
      </c>
      <c r="P46" s="462" t="s">
        <v>1292</v>
      </c>
      <c r="Q46" s="507" t="s">
        <v>1293</v>
      </c>
      <c r="R46" s="507" t="s">
        <v>1294</v>
      </c>
    </row>
    <row r="47" spans="1:18" s="241" customFormat="1">
      <c r="A47" s="372" t="s">
        <v>1195</v>
      </c>
      <c r="B47" s="373" t="s">
        <v>1196</v>
      </c>
      <c r="C47" s="2262" t="s">
        <v>1197</v>
      </c>
      <c r="D47" s="373" t="s">
        <v>1198</v>
      </c>
      <c r="E47" s="374" t="s">
        <v>1199</v>
      </c>
      <c r="F47" s="375"/>
      <c r="G47" s="376"/>
      <c r="I47" s="463" t="s">
        <v>1295</v>
      </c>
      <c r="J47" s="464"/>
      <c r="K47" s="465" t="s">
        <v>1296</v>
      </c>
      <c r="L47" s="466">
        <f ca="1">INDIRECT("'数据-取费表'!d"&amp;$G$1)</f>
        <v>0</v>
      </c>
      <c r="M47" s="467" t="str">
        <f>IF(ISNUMBER(FIND("住宅",C1)),"住宅","非住宅")</f>
        <v>非住宅</v>
      </c>
      <c r="O47" s="468" t="s">
        <v>1048</v>
      </c>
      <c r="P47" s="469" t="s">
        <v>1297</v>
      </c>
      <c r="Q47" s="508" t="e">
        <f ca="1">C40+J29</f>
        <v>#DIV/0!</v>
      </c>
      <c r="R47" s="508" t="s">
        <v>1298</v>
      </c>
    </row>
    <row r="48" spans="1:18" s="241" customFormat="1" ht="27.75">
      <c r="A48" s="377" t="s">
        <v>1299</v>
      </c>
      <c r="B48" s="269" t="s">
        <v>1200</v>
      </c>
      <c r="C48" s="378">
        <f ca="1">C49+C53+C55</f>
        <v>0</v>
      </c>
      <c r="D48" s="379"/>
      <c r="E48" s="380"/>
      <c r="F48" s="381"/>
      <c r="G48" s="376"/>
      <c r="H48" s="382"/>
      <c r="I48" s="470" t="s">
        <v>1300</v>
      </c>
      <c r="J48" s="471"/>
      <c r="K48" s="472" t="s">
        <v>1301</v>
      </c>
      <c r="L48" s="473">
        <f ca="1">INDIRECT("'数据-取费表'!f"&amp;$G$1)</f>
        <v>0</v>
      </c>
      <c r="O48" s="468" t="s">
        <v>1051</v>
      </c>
      <c r="P48" s="469" t="s">
        <v>1302</v>
      </c>
      <c r="Q48" s="508" t="e">
        <f ca="1">J60</f>
        <v>#DIV/0!</v>
      </c>
      <c r="R48" s="508" t="s">
        <v>1303</v>
      </c>
    </row>
    <row r="49" spans="1:18" s="241" customFormat="1">
      <c r="A49" s="383" t="s">
        <v>1304</v>
      </c>
      <c r="B49" s="384" t="s">
        <v>1305</v>
      </c>
      <c r="C49" s="385">
        <f ca="1">ROUND(F49*F51*F50*(1-F52)/10000,0)</f>
        <v>0</v>
      </c>
      <c r="D49" s="386" t="s">
        <v>1205</v>
      </c>
      <c r="E49" s="387" t="s">
        <v>1306</v>
      </c>
      <c r="F49" s="388"/>
      <c r="G49" s="389"/>
      <c r="H49" s="382"/>
      <c r="I49" s="470" t="s">
        <v>1307</v>
      </c>
      <c r="J49" s="474"/>
      <c r="K49" s="472" t="s">
        <v>1308</v>
      </c>
      <c r="L49" s="475"/>
      <c r="O49" s="476" t="s">
        <v>1309</v>
      </c>
      <c r="P49" s="469" t="s">
        <v>1310</v>
      </c>
      <c r="Q49" s="508">
        <f ca="1">C29</f>
        <v>0</v>
      </c>
      <c r="R49" s="508" t="s">
        <v>1298</v>
      </c>
    </row>
    <row r="50" spans="1:18" s="241" customFormat="1">
      <c r="A50" s="390"/>
      <c r="B50" s="391"/>
      <c r="C50" s="2263"/>
      <c r="D50" s="393"/>
      <c r="E50" s="394" t="s">
        <v>1206</v>
      </c>
      <c r="F50" s="395">
        <f ca="1">F7</f>
        <v>0</v>
      </c>
      <c r="H50" s="382"/>
      <c r="I50" s="470" t="s">
        <v>1311</v>
      </c>
      <c r="J50" s="477">
        <f>SUMPRODUCT((I63:I65=J47)*(J62:L62=J48)*(J63:L65))</f>
        <v>0</v>
      </c>
      <c r="K50" s="472" t="s">
        <v>1312</v>
      </c>
      <c r="L50" s="475"/>
      <c r="M50" s="478"/>
      <c r="O50" s="476" t="s">
        <v>1313</v>
      </c>
      <c r="P50" s="469" t="s">
        <v>1314</v>
      </c>
      <c r="Q50" s="509" t="e">
        <f ca="1">J58</f>
        <v>#DIV/0!</v>
      </c>
      <c r="R50" s="508"/>
    </row>
    <row r="51" spans="1:18" s="241" customFormat="1">
      <c r="A51" s="396"/>
      <c r="B51" s="391"/>
      <c r="C51" s="392"/>
      <c r="D51" s="393"/>
      <c r="E51" s="397" t="s">
        <v>1207</v>
      </c>
      <c r="F51" s="278">
        <f ca="1">F8</f>
        <v>0</v>
      </c>
      <c r="I51" s="479" t="s">
        <v>1315</v>
      </c>
      <c r="J51" s="480">
        <f>IF(J49="",J50,J49+J50-YEAR('数据-取费表'!B2))</f>
        <v>0</v>
      </c>
      <c r="K51" s="481" t="s">
        <v>1316</v>
      </c>
      <c r="L51" s="482">
        <f ca="1">ROUND(-PV(INDIRECT("'数据-取费表'!h"&amp;$G$1),J51,(C39-C13*C76),0),0)</f>
        <v>0</v>
      </c>
      <c r="M51" s="483"/>
      <c r="O51" s="476" t="s">
        <v>1317</v>
      </c>
      <c r="P51" s="469" t="s">
        <v>1318</v>
      </c>
      <c r="Q51" s="509">
        <f>J52</f>
        <v>0</v>
      </c>
      <c r="R51" s="508"/>
    </row>
    <row r="52" spans="1:18" s="241" customFormat="1">
      <c r="A52" s="396"/>
      <c r="B52" s="391"/>
      <c r="C52" s="392"/>
      <c r="D52" s="393"/>
      <c r="E52" s="397" t="s">
        <v>1208</v>
      </c>
      <c r="F52" s="398"/>
      <c r="I52" s="484" t="s">
        <v>1319</v>
      </c>
      <c r="J52" s="485"/>
      <c r="K52" s="484" t="s">
        <v>1320</v>
      </c>
      <c r="L52" s="485"/>
      <c r="O52" s="476" t="s">
        <v>1321</v>
      </c>
      <c r="P52" s="469" t="s">
        <v>1322</v>
      </c>
      <c r="Q52" s="508">
        <f ca="1">J53</f>
        <v>0</v>
      </c>
      <c r="R52" s="508" t="s">
        <v>1323</v>
      </c>
    </row>
    <row r="53" spans="1:18" s="241" customFormat="1" ht="24">
      <c r="A53" s="2264" t="s">
        <v>1324</v>
      </c>
      <c r="B53" s="2265" t="s">
        <v>1209</v>
      </c>
      <c r="C53" s="287">
        <f ca="1">ROUND(IF(F53="押一",C49/12*F11,IF(F53="押二",C49/12*2*F11,IF(F53="押三",C49/12*3*F11,C54*F11))),0)</f>
        <v>0</v>
      </c>
      <c r="D53" s="288" t="s">
        <v>1210</v>
      </c>
      <c r="E53" s="289" t="s">
        <v>1211</v>
      </c>
      <c r="F53" s="290"/>
      <c r="I53" s="486" t="s">
        <v>1325</v>
      </c>
      <c r="J53" s="487">
        <f ca="1">IF(M47="住宅",IF(D1="——",MAX(J51,L48),MAX(J51,L48-'数据-取费表'!B24)),IF(D1="——",MIN(J51,L48),MIN(J51,L48-'数据-取费表'!B24)))</f>
        <v>0</v>
      </c>
      <c r="K53" s="3651" t="s">
        <v>1326</v>
      </c>
      <c r="L53" s="3652"/>
      <c r="O53" s="468" t="s">
        <v>1151</v>
      </c>
      <c r="P53" s="469" t="s">
        <v>1327</v>
      </c>
      <c r="Q53" s="508" t="e">
        <f ca="1">Q47+Q48</f>
        <v>#DIV/0!</v>
      </c>
      <c r="R53" s="508" t="s">
        <v>1328</v>
      </c>
    </row>
    <row r="54" spans="1:18" s="241" customFormat="1">
      <c r="A54" s="2266"/>
      <c r="B54" s="292" t="s">
        <v>1212</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t="e">
        <f ca="1">ROUND(IF(J47="钢混",J57/J50,1-(1-2%)*(J50-J57)/J50),3)</f>
        <v>#DIV/0!</v>
      </c>
      <c r="K55" s="493" t="s">
        <v>1331</v>
      </c>
      <c r="L55" s="494"/>
      <c r="O55" s="461" t="s">
        <v>1291</v>
      </c>
      <c r="P55" s="462" t="s">
        <v>1292</v>
      </c>
      <c r="Q55" s="507" t="s">
        <v>1293</v>
      </c>
      <c r="R55" s="507" t="s">
        <v>1294</v>
      </c>
    </row>
    <row r="56" spans="1:18" s="241" customFormat="1" ht="24">
      <c r="A56" s="403">
        <v>2</v>
      </c>
      <c r="B56" s="404" t="s">
        <v>1215</v>
      </c>
      <c r="C56" s="405">
        <f ca="1">C13</f>
        <v>0</v>
      </c>
      <c r="D56" s="406"/>
      <c r="E56" s="407"/>
      <c r="F56" s="402"/>
      <c r="I56" s="495" t="s">
        <v>1332</v>
      </c>
      <c r="J56" s="496"/>
      <c r="K56" s="470" t="s">
        <v>1333</v>
      </c>
      <c r="L56" s="473">
        <f ca="1">IF(L48&lt;J51,"——",L48-J53)</f>
        <v>0</v>
      </c>
      <c r="O56" s="468" t="s">
        <v>1048</v>
      </c>
      <c r="P56" s="469" t="s">
        <v>1297</v>
      </c>
      <c r="Q56" s="508" t="e">
        <f ca="1">C40+J29</f>
        <v>#DIV/0!</v>
      </c>
      <c r="R56" s="508" t="s">
        <v>1298</v>
      </c>
    </row>
    <row r="57" spans="1:18" s="241" customFormat="1" ht="24">
      <c r="A57" s="408"/>
      <c r="B57" s="409" t="s">
        <v>1278</v>
      </c>
      <c r="C57" s="410">
        <f ca="1">C29</f>
        <v>0</v>
      </c>
      <c r="D57" s="411"/>
      <c r="E57" s="412"/>
      <c r="F57" s="413"/>
      <c r="I57" s="497" t="s">
        <v>1334</v>
      </c>
      <c r="J57" s="498">
        <f ca="1">IF(OR(M47="住宅",J51&lt;L48,J56="是"),"——",J51-L48)</f>
        <v>0</v>
      </c>
      <c r="K57" s="470" t="s">
        <v>1335</v>
      </c>
      <c r="L57" s="473">
        <f ca="1">IF(L48&lt;J51,"——",IF(L55="比较法",L49,IF(L55="基准地价",L50,L51)))</f>
        <v>0</v>
      </c>
      <c r="O57" s="468" t="s">
        <v>1051</v>
      </c>
      <c r="P57" s="469" t="s">
        <v>1336</v>
      </c>
      <c r="Q57" s="508" t="e">
        <f ca="1">L60</f>
        <v>#DIV/0!</v>
      </c>
      <c r="R57" s="508" t="s">
        <v>1337</v>
      </c>
    </row>
    <row r="58" spans="1:18" s="241" customFormat="1" ht="24">
      <c r="A58" s="414" t="s">
        <v>1223</v>
      </c>
      <c r="B58" s="404" t="s">
        <v>1224</v>
      </c>
      <c r="C58" s="287">
        <f ca="1">ROUND(C59+C64+C65+C66,0)</f>
        <v>0</v>
      </c>
      <c r="D58" s="415" t="s">
        <v>1225</v>
      </c>
      <c r="E58" s="416"/>
      <c r="F58" s="381"/>
      <c r="I58" s="497" t="s">
        <v>1338</v>
      </c>
      <c r="J58" s="499" t="e">
        <f ca="1">IF(J55&lt;0.4,0.4,J55)</f>
        <v>#DIV/0!</v>
      </c>
      <c r="K58" s="481" t="s">
        <v>1339</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IF(项目基本情况!B11="自然人","——",ROUND(C48*F60/(1+'数据-取费表'!C42),2))</f>
        <v>0</v>
      </c>
      <c r="D60" s="418" t="s">
        <v>1235</v>
      </c>
      <c r="E60" s="409" t="s">
        <v>1222</v>
      </c>
      <c r="F60" s="325">
        <f t="shared" ref="F60:F66" si="0">F32</f>
        <v>5.5E-2</v>
      </c>
      <c r="I60" s="500" t="s">
        <v>1343</v>
      </c>
      <c r="J60" s="501" t="e">
        <f ca="1">IF(OR(M47="住宅",J51&lt;L48,J56="是"),"0",ROUND(J59/(1+J52)^J53,0))</f>
        <v>#DIV/0!</v>
      </c>
      <c r="K60" s="502" t="s">
        <v>1344</v>
      </c>
      <c r="L60" s="501" t="e">
        <f ca="1">IF(OR(M47="住宅",L48&lt;J51),0,ROUND(L57*(L58/L59-1),0))</f>
        <v>#DIV/0!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IF(项目基本情况!B11="自然人","——",IF(D61="按租金收入计税",ROUND(C49*F61/(1+'数据-取费表'!C42),2),IF(D61="按房产原值计税",ROUND(C57*F61*0.7,2),INDIRECT("'数据-取费表'!Aj"&amp;$G$1))))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IF(项目基本情况!B11="自然人","——",ROUND(F62*F63/10000,2))</f>
        <v>0</v>
      </c>
      <c r="D62" s="420" t="s">
        <v>1243</v>
      </c>
      <c r="E62" s="409" t="s">
        <v>1244</v>
      </c>
      <c r="F62" s="324">
        <f t="shared" si="0"/>
        <v>0</v>
      </c>
      <c r="I62" s="503" t="s">
        <v>1348</v>
      </c>
      <c r="J62" s="504" t="s">
        <v>1349</v>
      </c>
      <c r="K62" s="504" t="s">
        <v>1350</v>
      </c>
      <c r="L62" s="504" t="s">
        <v>1351</v>
      </c>
      <c r="M62" s="505" t="s">
        <v>1352</v>
      </c>
      <c r="O62" s="468" t="s">
        <v>1151</v>
      </c>
      <c r="P62" s="469" t="s">
        <v>1327</v>
      </c>
      <c r="Q62" s="508" t="e">
        <f ca="1">Q56+Q57</f>
        <v>#DIV/0!</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ROUND(C57*F64,2)</f>
        <v>0</v>
      </c>
      <c r="D64" s="418" t="s">
        <v>1283</v>
      </c>
      <c r="E64" s="409" t="s">
        <v>1222</v>
      </c>
      <c r="F64" s="346">
        <f t="shared" ca="1" si="0"/>
        <v>0</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ROUND(C56*F65,2)</f>
        <v>0</v>
      </c>
      <c r="D65" s="418" t="s">
        <v>1255</v>
      </c>
      <c r="E65" s="409" t="s">
        <v>1222</v>
      </c>
      <c r="F65" s="347">
        <f t="shared" ca="1" si="0"/>
        <v>0</v>
      </c>
      <c r="I65" s="503" t="s">
        <v>1356</v>
      </c>
      <c r="J65" s="504">
        <v>40</v>
      </c>
      <c r="K65" s="504">
        <v>30</v>
      </c>
      <c r="L65" s="504">
        <v>50</v>
      </c>
      <c r="M65" s="506">
        <v>0.02</v>
      </c>
      <c r="O65" s="468" t="s">
        <v>1048</v>
      </c>
      <c r="P65" s="469" t="s">
        <v>1297</v>
      </c>
      <c r="Q65" s="508" t="e">
        <f ca="1">C40+J29</f>
        <v>#DIV/0!</v>
      </c>
      <c r="R65" s="508" t="s">
        <v>1298</v>
      </c>
    </row>
    <row r="66" spans="1:18" s="241" customFormat="1" ht="15.75">
      <c r="A66" s="307" t="s">
        <v>995</v>
      </c>
      <c r="B66" s="409" t="s">
        <v>1240</v>
      </c>
      <c r="C66" s="312">
        <f ca="1">ROUND(C48*F66,2)</f>
        <v>0</v>
      </c>
      <c r="D66" s="418" t="s">
        <v>1258</v>
      </c>
      <c r="E66" s="409" t="s">
        <v>1222</v>
      </c>
      <c r="F66" s="285">
        <f t="shared" ca="1" si="0"/>
        <v>0</v>
      </c>
      <c r="O66" s="468" t="s">
        <v>1051</v>
      </c>
      <c r="P66" s="469" t="s">
        <v>1336</v>
      </c>
      <c r="Q66" s="508" t="e">
        <f ca="1">L60</f>
        <v>#DIV/0!</v>
      </c>
      <c r="R66" s="508" t="s">
        <v>1337</v>
      </c>
    </row>
    <row r="67" spans="1:18" s="241" customFormat="1" ht="15.75">
      <c r="A67" s="403" t="s">
        <v>1261</v>
      </c>
      <c r="B67" s="510" t="s">
        <v>1262</v>
      </c>
      <c r="C67" s="287">
        <f ca="1">C48-C58</f>
        <v>0</v>
      </c>
      <c r="D67" s="417" t="s">
        <v>1263</v>
      </c>
      <c r="E67" s="511"/>
      <c r="F67" s="512"/>
      <c r="O67" s="476" t="s">
        <v>1309</v>
      </c>
      <c r="P67" s="469" t="s">
        <v>1340</v>
      </c>
      <c r="Q67" s="538">
        <f ca="1">L51</f>
        <v>0</v>
      </c>
      <c r="R67" s="508" t="s">
        <v>1357</v>
      </c>
    </row>
    <row r="68" spans="1:18" s="241" customFormat="1" ht="15.75">
      <c r="A68" s="513" t="s">
        <v>1267</v>
      </c>
      <c r="B68" s="514" t="s">
        <v>1284</v>
      </c>
      <c r="C68" s="352" t="e">
        <f ca="1">ROUND(C67*(1-((1+F70)/(1+F68))^F69)/(F68-F70),0)</f>
        <v>#DIV/0!</v>
      </c>
      <c r="D68" s="420" t="s">
        <v>1269</v>
      </c>
      <c r="E68" s="409" t="s">
        <v>1270</v>
      </c>
      <c r="F68" s="285">
        <f ca="1">F40</f>
        <v>0</v>
      </c>
      <c r="O68" s="476" t="s">
        <v>1313</v>
      </c>
      <c r="P68" s="537" t="s">
        <v>1358</v>
      </c>
      <c r="Q68" s="508">
        <f ca="1">ROUND(Q69-Q70*Q71,0)</f>
        <v>0</v>
      </c>
      <c r="R68" s="508" t="s">
        <v>1359</v>
      </c>
    </row>
    <row r="69" spans="1:18" s="241" customFormat="1">
      <c r="A69" s="515"/>
      <c r="B69" s="516"/>
      <c r="C69" s="284"/>
      <c r="D69" s="517" t="s">
        <v>1273</v>
      </c>
      <c r="E69" s="409" t="s">
        <v>1274</v>
      </c>
      <c r="F69" s="356">
        <f ca="1">F41</f>
        <v>0</v>
      </c>
      <c r="O69" s="476" t="s">
        <v>1360</v>
      </c>
      <c r="P69" s="537" t="s">
        <v>1361</v>
      </c>
      <c r="Q69" s="508">
        <f ca="1">C39</f>
        <v>0</v>
      </c>
      <c r="R69" s="508" t="s">
        <v>1298</v>
      </c>
    </row>
    <row r="70" spans="1:18" s="241" customFormat="1">
      <c r="A70" s="518"/>
      <c r="B70" s="519"/>
      <c r="C70" s="304"/>
      <c r="D70" s="422"/>
      <c r="E70" s="409" t="s">
        <v>1277</v>
      </c>
      <c r="F70" s="398"/>
      <c r="O70" s="476" t="s">
        <v>1362</v>
      </c>
      <c r="P70" s="537" t="s">
        <v>1363</v>
      </c>
      <c r="Q70" s="508">
        <f ca="1">C13</f>
        <v>0</v>
      </c>
      <c r="R70" s="508" t="s">
        <v>1298</v>
      </c>
    </row>
    <row r="71" spans="1:18" s="241" customFormat="1">
      <c r="A71" s="520" t="s">
        <v>1279</v>
      </c>
      <c r="B71" s="521" t="s">
        <v>1285</v>
      </c>
      <c r="C71" s="360" t="e">
        <f ca="1">ROUND(C68*10000/F71,0)</f>
        <v>#DIV/0!</v>
      </c>
      <c r="D71" s="522" t="s">
        <v>1286</v>
      </c>
      <c r="E71" s="523" t="s">
        <v>1287</v>
      </c>
      <c r="F71" s="363">
        <f ca="1">F43</f>
        <v>0</v>
      </c>
      <c r="O71" s="476" t="s">
        <v>1364</v>
      </c>
      <c r="P71" s="537" t="s">
        <v>1365</v>
      </c>
      <c r="Q71" s="509">
        <f ca="1">C76</f>
        <v>0</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0</v>
      </c>
      <c r="D75" s="241"/>
      <c r="E75" s="241"/>
      <c r="F75" s="241"/>
      <c r="K75" s="455"/>
      <c r="L75" s="241"/>
      <c r="O75" s="468" t="s">
        <v>1151</v>
      </c>
      <c r="P75" s="469" t="s">
        <v>1327</v>
      </c>
      <c r="Q75" s="508" t="e">
        <f ca="1">Q65+Q66</f>
        <v>#DIV/0!</v>
      </c>
      <c r="R75" s="508" t="s">
        <v>1328</v>
      </c>
    </row>
    <row r="76" spans="1:18">
      <c r="B76" s="529" t="s">
        <v>1369</v>
      </c>
      <c r="C76" s="530">
        <f ca="1">INDIRECT("'数据-取费表'!j"&amp;$G$1)</f>
        <v>0</v>
      </c>
      <c r="I76" s="241"/>
      <c r="J76" s="241"/>
      <c r="K76" s="455"/>
      <c r="L76" s="241"/>
    </row>
    <row r="77" spans="1:18">
      <c r="B77" s="531" t="s">
        <v>1370</v>
      </c>
      <c r="C77" s="532"/>
      <c r="I77" s="241"/>
      <c r="J77" s="241"/>
      <c r="K77" s="455"/>
      <c r="L77" s="241"/>
    </row>
    <row r="78" spans="1:18">
      <c r="B78" s="533" t="s">
        <v>1371</v>
      </c>
      <c r="C78" s="534"/>
    </row>
    <row r="79" spans="1:18">
      <c r="B79" s="527" t="s">
        <v>1372</v>
      </c>
      <c r="C79" s="535" t="e">
        <f ca="1">1-C80</f>
        <v>#DIV/0!</v>
      </c>
    </row>
    <row r="80" spans="1:18">
      <c r="B80" s="527" t="s">
        <v>1373</v>
      </c>
      <c r="C80" s="535" t="e">
        <f ca="1">ROUND(C75/C39,3)</f>
        <v>#DIV/0!</v>
      </c>
    </row>
    <row r="81" spans="2:3">
      <c r="B81" s="533" t="s">
        <v>1374</v>
      </c>
      <c r="C81" s="410"/>
    </row>
    <row r="82" spans="2:3">
      <c r="B82" s="525" t="s">
        <v>1127</v>
      </c>
      <c r="C82" s="536" t="e">
        <f ca="1">1-C83</f>
        <v>#DIV/0!</v>
      </c>
    </row>
    <row r="83" spans="2:3">
      <c r="B83" s="525" t="s">
        <v>1128</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1375</v>
      </c>
      <c r="B1" s="2092"/>
      <c r="C1" s="2093"/>
      <c r="D1" s="2093"/>
      <c r="E1" s="2094"/>
      <c r="F1" s="2095"/>
      <c r="G1" s="2096"/>
      <c r="J1" s="2197" t="s">
        <v>1376</v>
      </c>
      <c r="K1" s="2198"/>
      <c r="L1" s="2198"/>
      <c r="M1" s="2198"/>
      <c r="N1" s="2198"/>
      <c r="O1" s="2198"/>
      <c r="P1" s="2198"/>
      <c r="Q1" s="2198"/>
      <c r="R1" s="2237"/>
      <c r="S1" s="2238"/>
      <c r="T1" s="2238"/>
      <c r="U1" s="2238"/>
    </row>
    <row r="2" spans="1:22" s="2084" customFormat="1" ht="13.15" customHeight="1">
      <c r="A2" s="253" t="s">
        <v>1190</v>
      </c>
      <c r="B2" s="2097" t="e">
        <f>IF(D2="——",C40,C40+E2)</f>
        <v>#DIV/0!</v>
      </c>
      <c r="C2" s="2093" t="s">
        <v>1191</v>
      </c>
      <c r="D2" s="2098" t="s">
        <v>1377</v>
      </c>
      <c r="E2" s="2099"/>
      <c r="F2" s="2100"/>
      <c r="G2" s="2101"/>
      <c r="H2" s="2102"/>
      <c r="I2" s="2199"/>
      <c r="J2" s="3656" t="s">
        <v>1378</v>
      </c>
      <c r="K2" s="3657"/>
      <c r="L2" s="2200" t="s">
        <v>1379</v>
      </c>
      <c r="M2" s="2200" t="s">
        <v>1380</v>
      </c>
      <c r="N2" s="2200" t="s">
        <v>1381</v>
      </c>
      <c r="O2" s="2200" t="s">
        <v>1382</v>
      </c>
      <c r="P2" s="2200" t="s">
        <v>1383</v>
      </c>
      <c r="Q2" s="2239" t="s">
        <v>1384</v>
      </c>
      <c r="R2" s="2240" t="s">
        <v>1385</v>
      </c>
      <c r="S2" s="2238"/>
      <c r="T2" s="2238"/>
      <c r="U2" s="2238"/>
      <c r="V2" s="2199"/>
    </row>
    <row r="3" spans="1:22" s="2084" customFormat="1" ht="13.15" customHeight="1">
      <c r="A3" s="2103" t="s">
        <v>1192</v>
      </c>
      <c r="B3" s="2104" t="e">
        <f>ROUND(B2*10000/B4,0)</f>
        <v>#DIV/0!</v>
      </c>
      <c r="C3" s="2093" t="s">
        <v>1193</v>
      </c>
      <c r="D3" s="2093"/>
      <c r="E3" s="2105"/>
      <c r="F3" s="2100"/>
      <c r="G3" s="2101"/>
      <c r="H3" s="2102"/>
      <c r="I3" s="2199"/>
      <c r="J3" s="3658" t="s">
        <v>1386</v>
      </c>
      <c r="K3" s="3659"/>
      <c r="L3" s="2201"/>
      <c r="M3" s="2201"/>
      <c r="N3" s="2201"/>
      <c r="O3" s="2201"/>
      <c r="P3" s="2201"/>
      <c r="Q3" s="2241"/>
      <c r="R3" s="2242">
        <f>SUM(L3:Q3)</f>
        <v>0</v>
      </c>
      <c r="S3" s="2238"/>
      <c r="T3" s="2238"/>
      <c r="U3" s="2238"/>
      <c r="V3" s="2199"/>
    </row>
    <row r="4" spans="1:22" s="2084" customFormat="1" ht="13.15" customHeight="1">
      <c r="A4" s="2106" t="s">
        <v>1387</v>
      </c>
      <c r="B4" s="2107"/>
      <c r="C4" s="2093"/>
      <c r="D4" s="2093"/>
      <c r="E4" s="2105"/>
      <c r="F4" s="2100"/>
      <c r="G4" s="2101"/>
      <c r="H4" s="2102"/>
      <c r="I4" s="2199"/>
      <c r="J4" s="3658" t="s">
        <v>1388</v>
      </c>
      <c r="K4" s="3659"/>
      <c r="L4" s="2202"/>
      <c r="M4" s="2202"/>
      <c r="N4" s="2202"/>
      <c r="O4" s="2202"/>
      <c r="P4" s="2202"/>
      <c r="Q4" s="2243"/>
      <c r="R4" s="2244">
        <f>SUM(L4:Q4)</f>
        <v>0</v>
      </c>
      <c r="S4" s="2238"/>
      <c r="T4" s="2238"/>
      <c r="U4" s="2238"/>
      <c r="V4" s="2199"/>
    </row>
    <row r="5" spans="1:22" s="2084" customFormat="1" ht="13.15" customHeight="1">
      <c r="A5" s="2108" t="s">
        <v>1389</v>
      </c>
      <c r="B5" s="2109"/>
      <c r="C5" s="2093"/>
      <c r="D5" s="2110"/>
      <c r="E5" s="2100"/>
      <c r="F5" s="2100"/>
      <c r="G5" s="2101"/>
      <c r="H5" s="2102"/>
      <c r="I5" s="2199"/>
      <c r="J5" s="2203" t="s">
        <v>1390</v>
      </c>
      <c r="K5" s="2204"/>
      <c r="L5" s="2204"/>
      <c r="M5" s="2205"/>
      <c r="N5" s="2205"/>
      <c r="O5" s="2205"/>
      <c r="P5" s="2205"/>
      <c r="Q5" s="2205"/>
      <c r="R5" s="2240">
        <f>SUM(R14,R19,R24,R25,R27,R28)</f>
        <v>0</v>
      </c>
      <c r="S5" s="2238"/>
      <c r="T5" s="2238" t="s">
        <v>1391</v>
      </c>
      <c r="U5" s="2238" t="e">
        <f>ROUND(R5*10000/365/R3,1)</f>
        <v>#DIV/0!</v>
      </c>
      <c r="V5" s="2199"/>
    </row>
    <row r="6" spans="1:22" s="2084" customFormat="1" ht="13.15" customHeight="1">
      <c r="A6" s="3660" t="s">
        <v>1392</v>
      </c>
      <c r="B6" s="3661"/>
      <c r="C6" s="3662"/>
      <c r="D6" s="2111"/>
      <c r="E6" s="2112"/>
      <c r="F6" s="2113"/>
      <c r="G6" s="2114"/>
      <c r="H6" s="2102"/>
      <c r="I6" s="2199"/>
      <c r="J6" s="3669">
        <v>1</v>
      </c>
      <c r="K6" s="3672" t="s">
        <v>1393</v>
      </c>
      <c r="L6" s="2207" t="s">
        <v>1394</v>
      </c>
      <c r="M6" s="2208" t="s">
        <v>1395</v>
      </c>
      <c r="N6" s="2208" t="s">
        <v>1396</v>
      </c>
      <c r="O6" s="2208" t="s">
        <v>1397</v>
      </c>
      <c r="P6" s="2208" t="s">
        <v>1398</v>
      </c>
      <c r="Q6" s="2208" t="s">
        <v>1399</v>
      </c>
      <c r="R6" s="2242" t="s">
        <v>1400</v>
      </c>
      <c r="S6" s="2238"/>
      <c r="T6" s="2238" t="s">
        <v>1401</v>
      </c>
      <c r="U6" s="2238"/>
      <c r="V6" s="2199"/>
    </row>
    <row r="7" spans="1:22" s="2084" customFormat="1" ht="13.15" customHeight="1">
      <c r="A7" s="2115" t="s">
        <v>1402</v>
      </c>
      <c r="B7" s="2116"/>
      <c r="C7" s="2117"/>
      <c r="D7" s="2118">
        <f>SUM(D9,D10,D11,D17,0)</f>
        <v>0</v>
      </c>
      <c r="E7" s="2119" t="e">
        <f>E9+E10+E11+E17</f>
        <v>#DIV/0!</v>
      </c>
      <c r="F7" s="2120"/>
      <c r="G7" s="2121"/>
      <c r="H7" s="2102"/>
      <c r="I7" s="2199"/>
      <c r="J7" s="3669"/>
      <c r="K7" s="3673"/>
      <c r="L7" s="2209" t="s">
        <v>1403</v>
      </c>
      <c r="M7" s="2210"/>
      <c r="N7" s="2107"/>
      <c r="O7" s="2211"/>
      <c r="P7" s="2211"/>
      <c r="Q7" s="2140">
        <v>365</v>
      </c>
      <c r="R7" s="2245">
        <f>ROUND(M7*N7*O7*P7*Q7/10000,0)</f>
        <v>0</v>
      </c>
      <c r="S7" s="2238"/>
      <c r="T7" s="2238" t="s">
        <v>1404</v>
      </c>
      <c r="U7" s="2238"/>
      <c r="V7" s="2199"/>
    </row>
    <row r="8" spans="1:22" s="2084" customFormat="1" ht="13.15" customHeight="1">
      <c r="A8" s="2122" t="s">
        <v>1405</v>
      </c>
      <c r="B8" s="3663" t="s">
        <v>1406</v>
      </c>
      <c r="C8" s="3664"/>
      <c r="D8" s="2125" t="s">
        <v>1407</v>
      </c>
      <c r="E8" s="2126" t="s">
        <v>1408</v>
      </c>
      <c r="F8" s="2127" t="s">
        <v>1409</v>
      </c>
      <c r="G8" s="2128"/>
      <c r="H8" s="2102"/>
      <c r="I8" s="2199"/>
      <c r="J8" s="3669"/>
      <c r="K8" s="3673"/>
      <c r="L8" s="2209" t="s">
        <v>1410</v>
      </c>
      <c r="M8" s="2210"/>
      <c r="N8" s="2107"/>
      <c r="O8" s="2211"/>
      <c r="P8" s="2211"/>
      <c r="Q8" s="2140">
        <v>365</v>
      </c>
      <c r="R8" s="2245">
        <f t="shared" ref="R8:R13" si="0">ROUND(M8*N8*O8*P8*Q8/10000,0)</f>
        <v>0</v>
      </c>
      <c r="S8" s="2238"/>
      <c r="T8" s="2238" t="s">
        <v>1411</v>
      </c>
      <c r="U8" s="2238"/>
      <c r="V8" s="2199"/>
    </row>
    <row r="9" spans="1:22" s="2084" customFormat="1" ht="13.15" customHeight="1">
      <c r="A9" s="2122">
        <v>1</v>
      </c>
      <c r="B9" s="3663" t="s">
        <v>1412</v>
      </c>
      <c r="C9" s="3664"/>
      <c r="D9" s="2125">
        <f>ROUND(D6*E9,0)</f>
        <v>0</v>
      </c>
      <c r="E9" s="2129"/>
      <c r="F9" s="2130" t="s">
        <v>1413</v>
      </c>
      <c r="G9" s="2114"/>
      <c r="H9" s="2102"/>
      <c r="I9" s="2199"/>
      <c r="J9" s="3669"/>
      <c r="K9" s="3673"/>
      <c r="L9" s="2209" t="s">
        <v>1414</v>
      </c>
      <c r="M9" s="2210"/>
      <c r="N9" s="2107"/>
      <c r="O9" s="2211"/>
      <c r="P9" s="2211"/>
      <c r="Q9" s="2140">
        <v>365</v>
      </c>
      <c r="R9" s="2245">
        <f t="shared" si="0"/>
        <v>0</v>
      </c>
      <c r="S9" s="2238"/>
      <c r="T9" s="2238"/>
      <c r="U9" s="2238"/>
      <c r="V9" s="2199"/>
    </row>
    <row r="10" spans="1:22" s="2084" customFormat="1" ht="13.15" customHeight="1">
      <c r="A10" s="2122">
        <v>2</v>
      </c>
      <c r="B10" s="3663" t="s">
        <v>1415</v>
      </c>
      <c r="C10" s="3664"/>
      <c r="D10" s="2125">
        <f>ROUND(D6*E10,0)</f>
        <v>0</v>
      </c>
      <c r="E10" s="2129"/>
      <c r="F10" s="2130" t="s">
        <v>1416</v>
      </c>
      <c r="G10" s="2114"/>
      <c r="H10" s="2102"/>
      <c r="I10" s="2199"/>
      <c r="J10" s="3669"/>
      <c r="K10" s="3673"/>
      <c r="L10" s="2209" t="s">
        <v>1417</v>
      </c>
      <c r="M10" s="2210"/>
      <c r="N10" s="2107"/>
      <c r="O10" s="2211"/>
      <c r="P10" s="2211"/>
      <c r="Q10" s="2140">
        <v>365</v>
      </c>
      <c r="R10" s="2245">
        <f t="shared" si="0"/>
        <v>0</v>
      </c>
      <c r="S10" s="2238"/>
      <c r="T10" s="2238"/>
      <c r="U10" s="2238"/>
      <c r="V10" s="2199"/>
    </row>
    <row r="11" spans="1:22" s="2084" customFormat="1" ht="13.15" customHeight="1">
      <c r="A11" s="2122">
        <v>3</v>
      </c>
      <c r="B11" s="3663" t="s">
        <v>1418</v>
      </c>
      <c r="C11" s="3664"/>
      <c r="D11" s="2125">
        <f>D12+D14+D15+D16</f>
        <v>0</v>
      </c>
      <c r="E11" s="2131" t="e">
        <f>D11/D6</f>
        <v>#DIV/0!</v>
      </c>
      <c r="F11" s="2127"/>
      <c r="G11" s="2128"/>
      <c r="H11" s="2102"/>
      <c r="I11" s="2199"/>
      <c r="J11" s="3669"/>
      <c r="K11" s="3673"/>
      <c r="L11" s="2209" t="s">
        <v>1419</v>
      </c>
      <c r="M11" s="2210"/>
      <c r="N11" s="2107"/>
      <c r="O11" s="2211"/>
      <c r="P11" s="2211"/>
      <c r="Q11" s="2140">
        <v>365</v>
      </c>
      <c r="R11" s="2245">
        <f t="shared" si="0"/>
        <v>0</v>
      </c>
      <c r="S11" s="2238"/>
      <c r="T11" s="2238"/>
      <c r="U11" s="2238"/>
      <c r="V11" s="2199"/>
    </row>
    <row r="12" spans="1:22" s="2084" customFormat="1" ht="13.15" customHeight="1">
      <c r="A12" s="2132" t="s">
        <v>1420</v>
      </c>
      <c r="B12" s="3665" t="s">
        <v>1421</v>
      </c>
      <c r="C12" s="3666"/>
      <c r="D12" s="2135">
        <f>ROUND(D13*1.2%*(1-30%),0)</f>
        <v>0</v>
      </c>
      <c r="E12" s="2136">
        <v>1.2E-2</v>
      </c>
      <c r="F12" s="2127" t="s">
        <v>1422</v>
      </c>
      <c r="G12" s="2128"/>
      <c r="H12" s="2102"/>
      <c r="I12" s="2199"/>
      <c r="J12" s="3669"/>
      <c r="K12" s="3673"/>
      <c r="L12" s="2209" t="s">
        <v>1423</v>
      </c>
      <c r="M12" s="2210"/>
      <c r="N12" s="2107"/>
      <c r="O12" s="2211"/>
      <c r="P12" s="2211"/>
      <c r="Q12" s="2140">
        <v>365</v>
      </c>
      <c r="R12" s="2245">
        <f t="shared" si="0"/>
        <v>0</v>
      </c>
      <c r="S12" s="2238"/>
      <c r="T12" s="2238"/>
      <c r="U12" s="2238"/>
      <c r="V12" s="2199"/>
    </row>
    <row r="13" spans="1:22" s="2084" customFormat="1" ht="13.15" customHeight="1">
      <c r="A13" s="2132"/>
      <c r="B13" s="2133"/>
      <c r="C13" s="2137" t="s">
        <v>1424</v>
      </c>
      <c r="D13" s="2138"/>
      <c r="E13" s="2139"/>
      <c r="F13" s="2127"/>
      <c r="G13" s="2128"/>
      <c r="H13" s="2102"/>
      <c r="I13" s="2199"/>
      <c r="J13" s="3669"/>
      <c r="K13" s="3673"/>
      <c r="L13" s="2209" t="s">
        <v>1425</v>
      </c>
      <c r="M13" s="2210"/>
      <c r="N13" s="2107"/>
      <c r="O13" s="2211"/>
      <c r="P13" s="2211"/>
      <c r="Q13" s="2140">
        <v>365</v>
      </c>
      <c r="R13" s="2245">
        <f t="shared" si="0"/>
        <v>0</v>
      </c>
      <c r="S13" s="2238"/>
      <c r="T13" s="2238"/>
      <c r="U13" s="2238"/>
      <c r="V13" s="2199"/>
    </row>
    <row r="14" spans="1:22" s="2084" customFormat="1" ht="13.15" customHeight="1">
      <c r="A14" s="2132" t="s">
        <v>1426</v>
      </c>
      <c r="B14" s="3665" t="s">
        <v>1427</v>
      </c>
      <c r="C14" s="3666"/>
      <c r="D14" s="2135">
        <f>ROUND(E14*B5/10000,0)</f>
        <v>0</v>
      </c>
      <c r="E14" s="2140"/>
      <c r="F14" s="2127" t="s">
        <v>1428</v>
      </c>
      <c r="G14" s="2128"/>
      <c r="H14" s="2102"/>
      <c r="I14" s="2199"/>
      <c r="J14" s="3669"/>
      <c r="K14" s="3674"/>
      <c r="L14" s="2212" t="s">
        <v>1429</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1430</v>
      </c>
      <c r="B15" s="3665" t="s">
        <v>1431</v>
      </c>
      <c r="C15" s="3666"/>
      <c r="D15" s="2135">
        <f>ROUND(D6*E15,0)</f>
        <v>0</v>
      </c>
      <c r="E15" s="2136">
        <v>5.5E-2</v>
      </c>
      <c r="F15" s="2127" t="s">
        <v>1432</v>
      </c>
      <c r="G15" s="2114"/>
      <c r="H15" s="2102"/>
      <c r="I15" s="2199"/>
      <c r="J15" s="3669">
        <v>2</v>
      </c>
      <c r="K15" s="3672" t="s">
        <v>1433</v>
      </c>
      <c r="L15" s="2209" t="s">
        <v>1434</v>
      </c>
      <c r="M15" s="2210" t="s">
        <v>1435</v>
      </c>
      <c r="N15" s="2210" t="s">
        <v>1436</v>
      </c>
      <c r="O15" s="2211" t="s">
        <v>1437</v>
      </c>
      <c r="P15" s="2211" t="s">
        <v>1399</v>
      </c>
      <c r="Q15" s="2107" t="s">
        <v>124</v>
      </c>
      <c r="R15" s="2247" t="s">
        <v>1400</v>
      </c>
      <c r="S15" s="2238"/>
      <c r="T15" s="2238"/>
      <c r="U15" s="2238"/>
      <c r="V15" s="2199"/>
    </row>
    <row r="16" spans="1:22" s="2084" customFormat="1" ht="13.15" customHeight="1">
      <c r="A16" s="2132" t="s">
        <v>1438</v>
      </c>
      <c r="B16" s="3665" t="s">
        <v>1439</v>
      </c>
      <c r="C16" s="3666"/>
      <c r="D16" s="2141">
        <f>D6*E16</f>
        <v>0</v>
      </c>
      <c r="E16" s="2142"/>
      <c r="F16" s="2130" t="s">
        <v>1440</v>
      </c>
      <c r="G16" s="2114"/>
      <c r="H16" s="2102"/>
      <c r="I16" s="2199"/>
      <c r="J16" s="3669"/>
      <c r="K16" s="3673"/>
      <c r="L16" s="2209" t="s">
        <v>1441</v>
      </c>
      <c r="M16" s="2210"/>
      <c r="N16" s="2210"/>
      <c r="O16" s="2211"/>
      <c r="P16" s="2140">
        <v>365</v>
      </c>
      <c r="Q16" s="2107"/>
      <c r="R16" s="2247">
        <f>ROUND(M16*N16*O16*P16/10000,0)</f>
        <v>0</v>
      </c>
      <c r="S16" s="2238"/>
      <c r="T16" s="2238"/>
      <c r="U16" s="2238"/>
      <c r="V16" s="2199"/>
    </row>
    <row r="17" spans="1:22" s="2084" customFormat="1" ht="13.15" customHeight="1">
      <c r="A17" s="2143">
        <v>4</v>
      </c>
      <c r="B17" s="3667" t="s">
        <v>1442</v>
      </c>
      <c r="C17" s="3668"/>
      <c r="D17" s="2144">
        <f>ROUND(D6*E17,0)</f>
        <v>0</v>
      </c>
      <c r="E17" s="2145"/>
      <c r="F17" s="2146" t="s">
        <v>1443</v>
      </c>
      <c r="G17" s="2114"/>
      <c r="H17" s="2102"/>
      <c r="I17" s="2199"/>
      <c r="J17" s="3669"/>
      <c r="K17" s="3673"/>
      <c r="L17" s="2209" t="s">
        <v>1444</v>
      </c>
      <c r="M17" s="2210"/>
      <c r="N17" s="2210"/>
      <c r="O17" s="2211"/>
      <c r="P17" s="2140">
        <v>365</v>
      </c>
      <c r="Q17" s="2107"/>
      <c r="R17" s="2247">
        <f>ROUND(M17*N17*O17*P17/10000,0)</f>
        <v>0</v>
      </c>
      <c r="S17" s="2238"/>
      <c r="T17" s="2238"/>
      <c r="U17" s="2238"/>
      <c r="V17" s="2199"/>
    </row>
    <row r="18" spans="1:22" s="2084" customFormat="1" ht="13.15" customHeight="1">
      <c r="A18" s="2115" t="s">
        <v>1445</v>
      </c>
      <c r="B18" s="2116"/>
      <c r="C18" s="2116"/>
      <c r="D18" s="2147">
        <f>ROUND(D6*E18,0)</f>
        <v>0</v>
      </c>
      <c r="E18" s="2148"/>
      <c r="F18" s="2149" t="s">
        <v>1446</v>
      </c>
      <c r="G18" s="2114"/>
      <c r="H18" s="2102"/>
      <c r="I18" s="2199"/>
      <c r="J18" s="3669"/>
      <c r="K18" s="3673"/>
      <c r="L18" s="2209" t="s">
        <v>1447</v>
      </c>
      <c r="M18" s="2210"/>
      <c r="N18" s="2210"/>
      <c r="O18" s="2211"/>
      <c r="P18" s="2140">
        <v>365</v>
      </c>
      <c r="Q18" s="2107"/>
      <c r="R18" s="2247">
        <f>ROUND(M18*N18*O18*P18/10000,0)</f>
        <v>0</v>
      </c>
      <c r="S18" s="2238"/>
      <c r="T18" s="2238"/>
      <c r="U18" s="2238"/>
      <c r="V18" s="2199"/>
    </row>
    <row r="19" spans="1:22" s="2084" customFormat="1" ht="13.15" customHeight="1">
      <c r="A19" s="2150" t="s">
        <v>1448</v>
      </c>
      <c r="B19" s="2112"/>
      <c r="C19" s="2112"/>
      <c r="D19" s="2112"/>
      <c r="E19" s="2112"/>
      <c r="F19" s="2113"/>
      <c r="G19" s="2128"/>
      <c r="H19" s="2102"/>
      <c r="I19" s="2199"/>
      <c r="J19" s="3669"/>
      <c r="K19" s="3674"/>
      <c r="L19" s="2212" t="s">
        <v>1429</v>
      </c>
      <c r="M19" s="2213"/>
      <c r="N19" s="2213">
        <f>SUM(N16:N18)</f>
        <v>0</v>
      </c>
      <c r="O19" s="2214"/>
      <c r="P19" s="2215" t="s">
        <v>1449</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9">
        <v>3</v>
      </c>
      <c r="K20" s="3672" t="s">
        <v>1450</v>
      </c>
      <c r="L20" s="2209" t="s">
        <v>1451</v>
      </c>
      <c r="M20" s="2210" t="s">
        <v>1452</v>
      </c>
      <c r="N20" s="2216" t="s">
        <v>1453</v>
      </c>
      <c r="O20" s="2211" t="s">
        <v>1454</v>
      </c>
      <c r="P20" s="2140" t="s">
        <v>1399</v>
      </c>
      <c r="Q20" s="2107" t="s">
        <v>124</v>
      </c>
      <c r="R20" s="2247" t="s">
        <v>1400</v>
      </c>
      <c r="S20" s="2235"/>
      <c r="T20" s="2235"/>
      <c r="U20" s="2235"/>
      <c r="V20" s="2199"/>
    </row>
    <row r="21" spans="1:22" s="2084" customFormat="1" ht="13.15" customHeight="1">
      <c r="A21" s="2115"/>
      <c r="B21" s="2116"/>
      <c r="C21" s="2123" t="s">
        <v>1455</v>
      </c>
      <c r="D21" s="2152" t="s">
        <v>1456</v>
      </c>
      <c r="E21" s="2124" t="s">
        <v>1457</v>
      </c>
      <c r="F21" s="2151"/>
      <c r="G21" s="2128"/>
      <c r="H21" s="2102"/>
      <c r="I21" s="2199"/>
      <c r="J21" s="3669"/>
      <c r="K21" s="3673"/>
      <c r="L21" s="2209" t="s">
        <v>1458</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1459</v>
      </c>
      <c r="D22" s="2154" t="s">
        <v>1460</v>
      </c>
      <c r="E22" s="2155" t="s">
        <v>1461</v>
      </c>
      <c r="F22" s="2151"/>
      <c r="G22" s="2156"/>
      <c r="H22" s="2102"/>
      <c r="I22" s="2199"/>
      <c r="J22" s="3669"/>
      <c r="K22" s="3673"/>
      <c r="L22" s="2209" t="s">
        <v>1462</v>
      </c>
      <c r="M22" s="2210"/>
      <c r="N22" s="2210"/>
      <c r="O22" s="2211"/>
      <c r="P22" s="2140">
        <v>365</v>
      </c>
      <c r="Q22" s="2107"/>
      <c r="R22" s="2249">
        <f>ROUND(M22*N22*O22*P22/10000,0)</f>
        <v>0</v>
      </c>
      <c r="S22" s="2235"/>
      <c r="T22" s="2235"/>
      <c r="U22" s="2235"/>
      <c r="V22" s="2199"/>
    </row>
    <row r="23" spans="1:22" s="2084" customFormat="1" ht="13.15" customHeight="1">
      <c r="A23" s="2157">
        <v>1</v>
      </c>
      <c r="B23" s="2158" t="s">
        <v>1463</v>
      </c>
      <c r="C23" s="2159">
        <f>D6</f>
        <v>0</v>
      </c>
      <c r="D23" s="2160">
        <f>C23*(1+D24)</f>
        <v>0</v>
      </c>
      <c r="E23" s="2161">
        <f>D23*(1+E24)</f>
        <v>0</v>
      </c>
      <c r="F23" s="2162"/>
      <c r="G23" s="2163"/>
      <c r="H23" s="2102"/>
      <c r="I23" s="2199"/>
      <c r="J23" s="3669"/>
      <c r="K23" s="3673"/>
      <c r="L23" s="2209" t="s">
        <v>1464</v>
      </c>
      <c r="M23" s="2210"/>
      <c r="N23" s="2210"/>
      <c r="O23" s="2211"/>
      <c r="P23" s="2140">
        <v>365</v>
      </c>
      <c r="Q23" s="2107"/>
      <c r="R23" s="2249">
        <f>ROUND(M23*N23*O23*P23/10000,0)</f>
        <v>0</v>
      </c>
      <c r="S23" s="2238"/>
      <c r="T23" s="2238"/>
      <c r="U23" s="2238"/>
      <c r="V23" s="2199"/>
    </row>
    <row r="24" spans="1:22" s="2084" customFormat="1" ht="13.15" customHeight="1">
      <c r="A24" s="2164"/>
      <c r="B24" s="2165" t="s">
        <v>1465</v>
      </c>
      <c r="C24" s="2166"/>
      <c r="D24" s="2167"/>
      <c r="E24" s="2168"/>
      <c r="F24" s="2169"/>
      <c r="G24" s="2163"/>
      <c r="H24" s="2102"/>
      <c r="I24" s="2199"/>
      <c r="J24" s="3669"/>
      <c r="K24" s="3674"/>
      <c r="L24" s="2212" t="s">
        <v>1429</v>
      </c>
      <c r="M24" s="2213">
        <f>SUM(M21:M23)</f>
        <v>0</v>
      </c>
      <c r="N24" s="2213"/>
      <c r="O24" s="2214"/>
      <c r="P24" s="2215" t="s">
        <v>1449</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1466</v>
      </c>
      <c r="L25" s="2218"/>
      <c r="M25" s="2218"/>
      <c r="N25" s="2218"/>
      <c r="O25" s="2218"/>
      <c r="P25" s="2219"/>
      <c r="Q25" s="2250">
        <v>0</v>
      </c>
      <c r="R25" s="2248">
        <f>ROUND(R14*Q25,0)</f>
        <v>0</v>
      </c>
      <c r="S25" s="2238"/>
      <c r="T25" s="2238"/>
      <c r="U25" s="2238"/>
      <c r="V25" s="2225"/>
    </row>
    <row r="26" spans="1:22" s="2085" customFormat="1" ht="13.15" customHeight="1">
      <c r="A26" s="2157">
        <v>2</v>
      </c>
      <c r="B26" s="2158" t="s">
        <v>1467</v>
      </c>
      <c r="C26" s="2159">
        <f>D7</f>
        <v>0</v>
      </c>
      <c r="D26" s="2160">
        <f>D23*D27</f>
        <v>0</v>
      </c>
      <c r="E26" s="2161">
        <f>E23*E27</f>
        <v>0</v>
      </c>
      <c r="F26" s="2162"/>
      <c r="G26" s="2163"/>
      <c r="H26" s="2102"/>
      <c r="I26" s="2199"/>
      <c r="J26" s="3670">
        <v>5</v>
      </c>
      <c r="K26" s="2220" t="s">
        <v>1468</v>
      </c>
      <c r="L26" s="2221"/>
      <c r="M26" s="2222"/>
      <c r="N26" s="2223" t="s">
        <v>505</v>
      </c>
      <c r="O26" s="2223" t="s">
        <v>1469</v>
      </c>
      <c r="P26" s="2224" t="s">
        <v>1470</v>
      </c>
      <c r="Q26" s="2224" t="s">
        <v>1471</v>
      </c>
      <c r="R26" s="2242" t="s">
        <v>1400</v>
      </c>
      <c r="S26" s="2251"/>
      <c r="T26" s="2251"/>
      <c r="U26" s="2251"/>
      <c r="V26" s="2225"/>
    </row>
    <row r="27" spans="1:22" s="2084" customFormat="1" ht="13.15" customHeight="1">
      <c r="A27" s="2164"/>
      <c r="B27" s="2165" t="s">
        <v>1472</v>
      </c>
      <c r="C27" s="2170" t="e">
        <f>E7</f>
        <v>#DIV/0!</v>
      </c>
      <c r="D27" s="2167"/>
      <c r="E27" s="2168"/>
      <c r="F27" s="2169"/>
      <c r="G27" s="2163"/>
      <c r="H27" s="2171"/>
      <c r="I27" s="2225"/>
      <c r="J27" s="3671"/>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1473</v>
      </c>
      <c r="F28" s="2169"/>
      <c r="G28" s="2156"/>
      <c r="H28" s="2171"/>
      <c r="I28" s="2225"/>
      <c r="J28" s="2230">
        <v>6</v>
      </c>
      <c r="K28" s="2231" t="s">
        <v>1474</v>
      </c>
      <c r="L28" s="2232" t="s">
        <v>1475</v>
      </c>
      <c r="M28" s="2233"/>
      <c r="N28" s="2232" t="s">
        <v>1476</v>
      </c>
      <c r="O28" s="2234"/>
      <c r="P28" s="2232" t="s">
        <v>1477</v>
      </c>
      <c r="Q28" s="2253">
        <v>1.4999999999999999E-2</v>
      </c>
      <c r="R28" s="2254"/>
      <c r="S28" s="2235"/>
      <c r="T28" s="2235"/>
      <c r="U28" s="2235"/>
      <c r="V28" s="2225"/>
    </row>
    <row r="29" spans="1:22" s="2085" customFormat="1" ht="13.15" customHeight="1">
      <c r="A29" s="2157">
        <v>3</v>
      </c>
      <c r="B29" s="2158" t="s">
        <v>1478</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1472</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1479</v>
      </c>
      <c r="K31" s="2198"/>
      <c r="L31" s="2198"/>
      <c r="M31" s="2198"/>
      <c r="N31" s="2198"/>
      <c r="O31" s="2198"/>
      <c r="P31" s="2198"/>
      <c r="Q31" s="2198"/>
      <c r="R31" s="2237"/>
      <c r="S31" s="2235"/>
      <c r="T31" s="2238"/>
      <c r="U31" s="2238"/>
      <c r="V31" s="2225"/>
    </row>
    <row r="32" spans="1:22" s="2085" customFormat="1" ht="13.15" customHeight="1">
      <c r="A32" s="2157">
        <v>4</v>
      </c>
      <c r="B32" s="2158" t="s">
        <v>1480</v>
      </c>
      <c r="C32" s="2159">
        <f>C23-C26-C29</f>
        <v>0</v>
      </c>
      <c r="D32" s="2160">
        <f>D23-D26-D29</f>
        <v>0</v>
      </c>
      <c r="E32" s="2161">
        <f>E23-E26-E29</f>
        <v>0</v>
      </c>
      <c r="F32" s="2162"/>
      <c r="G32" s="2156"/>
      <c r="H32" s="2102"/>
      <c r="I32" s="2199"/>
      <c r="J32" s="3656" t="s">
        <v>1378</v>
      </c>
      <c r="K32" s="3657"/>
      <c r="L32" s="2200" t="s">
        <v>1379</v>
      </c>
      <c r="M32" s="2200" t="s">
        <v>1380</v>
      </c>
      <c r="N32" s="2200" t="s">
        <v>1381</v>
      </c>
      <c r="O32" s="2200" t="s">
        <v>1382</v>
      </c>
      <c r="P32" s="2200" t="s">
        <v>1383</v>
      </c>
      <c r="Q32" s="2239" t="s">
        <v>1384</v>
      </c>
      <c r="R32" s="2255" t="s">
        <v>1385</v>
      </c>
      <c r="S32" s="2235"/>
      <c r="T32" s="2238"/>
      <c r="U32" s="2238"/>
      <c r="V32" s="2225"/>
    </row>
    <row r="33" spans="1:23" s="2084" customFormat="1" ht="13.15" customHeight="1">
      <c r="A33" s="2157"/>
      <c r="B33" s="2158"/>
      <c r="C33" s="2159"/>
      <c r="D33" s="2174"/>
      <c r="E33" s="2134"/>
      <c r="F33" s="2162"/>
      <c r="G33" s="2156"/>
      <c r="H33" s="2171"/>
      <c r="I33" s="2225"/>
      <c r="J33" s="3658" t="s">
        <v>1386</v>
      </c>
      <c r="K33" s="3659"/>
      <c r="L33" s="2201"/>
      <c r="M33" s="2201"/>
      <c r="N33" s="2201"/>
      <c r="O33" s="2201"/>
      <c r="P33" s="2201"/>
      <c r="Q33" s="2241"/>
      <c r="R33" s="2256">
        <f>SUM(L33:Q33)</f>
        <v>0</v>
      </c>
      <c r="S33" s="2235"/>
      <c r="T33" s="2238"/>
      <c r="U33" s="2238"/>
      <c r="V33" s="2199"/>
    </row>
    <row r="34" spans="1:23" s="2084" customFormat="1" ht="13.15" customHeight="1">
      <c r="A34" s="2157">
        <v>5</v>
      </c>
      <c r="B34" s="2158" t="s">
        <v>1481</v>
      </c>
      <c r="C34" s="2175"/>
      <c r="D34" s="2176"/>
      <c r="E34" s="2177"/>
      <c r="F34" s="2162"/>
      <c r="G34" s="2156"/>
      <c r="H34" s="2171"/>
      <c r="I34" s="2225"/>
      <c r="J34" s="3658" t="s">
        <v>1388</v>
      </c>
      <c r="K34" s="365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1482</v>
      </c>
      <c r="C35" s="2178"/>
      <c r="D35" s="2179"/>
      <c r="E35" s="2180"/>
      <c r="F35" s="2162"/>
      <c r="G35" s="2181"/>
      <c r="H35" s="2102"/>
      <c r="I35" s="2225"/>
      <c r="J35" s="2203" t="s">
        <v>1390</v>
      </c>
      <c r="K35" s="2204"/>
      <c r="L35" s="2204"/>
      <c r="M35" s="2205"/>
      <c r="N35" s="2205"/>
      <c r="O35" s="2205"/>
      <c r="P35" s="2205"/>
      <c r="Q35" s="2205"/>
      <c r="R35" s="2258">
        <f>R40+R41+R43</f>
        <v>0</v>
      </c>
      <c r="S35" s="2235"/>
      <c r="T35" s="2238" t="s">
        <v>1391</v>
      </c>
      <c r="U35" s="2238"/>
      <c r="V35" s="2199"/>
    </row>
    <row r="36" spans="1:23" s="2084" customFormat="1" ht="13.15" customHeight="1">
      <c r="A36" s="2157">
        <v>7</v>
      </c>
      <c r="B36" s="2182" t="s">
        <v>1483</v>
      </c>
      <c r="C36" s="2183"/>
      <c r="D36" s="2184"/>
      <c r="E36" s="2185"/>
      <c r="F36" s="2186">
        <f>C36+D36+E36</f>
        <v>0</v>
      </c>
      <c r="G36" s="2156"/>
      <c r="H36" s="2102"/>
      <c r="I36" s="2199"/>
      <c r="J36" s="3669">
        <v>1</v>
      </c>
      <c r="K36" s="3672" t="s">
        <v>1484</v>
      </c>
      <c r="L36" s="2207"/>
      <c r="M36" s="2208"/>
      <c r="N36" s="2208"/>
      <c r="O36" s="2208"/>
      <c r="P36" s="2208"/>
      <c r="Q36" s="2208"/>
      <c r="R36" s="2242" t="s">
        <v>1400</v>
      </c>
      <c r="S36" s="2235"/>
      <c r="T36" s="2238" t="s">
        <v>1401</v>
      </c>
      <c r="U36" s="2238"/>
      <c r="V36" s="2199"/>
    </row>
    <row r="37" spans="1:23" s="2084" customFormat="1" ht="13.15" customHeight="1">
      <c r="A37" s="2157"/>
      <c r="B37" s="2158"/>
      <c r="C37" s="2158"/>
      <c r="D37" s="2158"/>
      <c r="E37" s="2158"/>
      <c r="F37" s="2162"/>
      <c r="G37" s="2156"/>
      <c r="H37" s="2102"/>
      <c r="I37" s="2199"/>
      <c r="J37" s="3669"/>
      <c r="K37" s="3673"/>
      <c r="L37" s="2209"/>
      <c r="M37" s="2210"/>
      <c r="N37" s="2107"/>
      <c r="O37" s="2211"/>
      <c r="P37" s="2211"/>
      <c r="Q37" s="2140"/>
      <c r="R37" s="2245"/>
      <c r="S37" s="2235"/>
      <c r="T37" s="2238" t="s">
        <v>1404</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9"/>
      <c r="K38" s="3673"/>
      <c r="L38" s="2209"/>
      <c r="M38" s="2210"/>
      <c r="N38" s="2107"/>
      <c r="O38" s="2211"/>
      <c r="P38" s="2211"/>
      <c r="Q38" s="2140"/>
      <c r="R38" s="2245"/>
      <c r="S38" s="2235"/>
      <c r="T38" s="2238" t="s">
        <v>1411</v>
      </c>
      <c r="U38" s="2238"/>
      <c r="V38" s="2199"/>
    </row>
    <row r="39" spans="1:23" s="2084" customFormat="1" ht="13.15" customHeight="1">
      <c r="A39" s="2157">
        <v>9</v>
      </c>
      <c r="B39" s="2158" t="s">
        <v>1485</v>
      </c>
      <c r="C39" s="2135" t="e">
        <f>C38</f>
        <v>#DIV/0!</v>
      </c>
      <c r="D39" s="2158">
        <f>D38/(1+D34)^C36</f>
        <v>0</v>
      </c>
      <c r="E39" s="2158">
        <f>E38/(1+E34)^(C36+D36)</f>
        <v>0</v>
      </c>
      <c r="F39" s="2162"/>
      <c r="G39" s="2187"/>
      <c r="H39" s="2102"/>
      <c r="I39" s="2199"/>
      <c r="J39" s="3669"/>
      <c r="K39" s="3673"/>
      <c r="L39" s="2209"/>
      <c r="M39" s="2210"/>
      <c r="N39" s="2107"/>
      <c r="O39" s="2211"/>
      <c r="P39" s="2211"/>
      <c r="Q39" s="2140"/>
      <c r="R39" s="2245"/>
      <c r="S39" s="2235"/>
      <c r="T39" s="2238"/>
      <c r="U39" s="2238"/>
      <c r="V39" s="2199"/>
    </row>
    <row r="40" spans="1:23" s="2084" customFormat="1" ht="13.15" customHeight="1">
      <c r="A40" s="2188">
        <v>10</v>
      </c>
      <c r="B40" s="2158" t="s">
        <v>1486</v>
      </c>
      <c r="C40" s="2189" t="e">
        <f>C39+D39+E39</f>
        <v>#DIV/0!</v>
      </c>
      <c r="D40" s="2190"/>
      <c r="E40" s="2190"/>
      <c r="F40" s="2191"/>
      <c r="G40" s="2156"/>
      <c r="H40" s="2102"/>
      <c r="I40" s="2199"/>
      <c r="J40" s="3669"/>
      <c r="K40" s="3674"/>
      <c r="L40" s="2212" t="s">
        <v>1429</v>
      </c>
      <c r="M40" s="2213"/>
      <c r="N40" s="2213"/>
      <c r="O40" s="2214"/>
      <c r="P40" s="2214"/>
      <c r="Q40" s="2246"/>
      <c r="R40" s="2240">
        <f>SUM(R37:R39)</f>
        <v>0</v>
      </c>
      <c r="S40" s="2235"/>
      <c r="T40" s="2238"/>
      <c r="U40" s="2238"/>
      <c r="V40" s="2199"/>
    </row>
    <row r="41" spans="1:23" s="2084" customFormat="1" ht="13.15" customHeight="1">
      <c r="A41" s="2192">
        <v>11</v>
      </c>
      <c r="B41" s="2193" t="s">
        <v>1487</v>
      </c>
      <c r="C41" s="2193" t="e">
        <f>ROUND(C40*10000/B4,0)</f>
        <v>#DIV/0!</v>
      </c>
      <c r="D41" s="2194"/>
      <c r="E41" s="2194"/>
      <c r="F41" s="2195"/>
      <c r="G41" s="2196"/>
      <c r="H41" s="2102"/>
      <c r="I41" s="2199"/>
      <c r="J41" s="2206">
        <v>2</v>
      </c>
      <c r="K41" s="2217" t="s">
        <v>1466</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0">
        <v>3</v>
      </c>
      <c r="K42" s="2220" t="s">
        <v>1468</v>
      </c>
      <c r="L42" s="2221"/>
      <c r="M42" s="2222"/>
      <c r="N42" s="2223" t="s">
        <v>505</v>
      </c>
      <c r="O42" s="2223" t="s">
        <v>1469</v>
      </c>
      <c r="P42" s="2224" t="s">
        <v>1470</v>
      </c>
      <c r="Q42" s="2224" t="s">
        <v>1471</v>
      </c>
      <c r="R42" s="2242" t="s">
        <v>1400</v>
      </c>
      <c r="S42" s="2251"/>
      <c r="T42" s="2251"/>
      <c r="U42" s="2238"/>
      <c r="V42" s="2199"/>
    </row>
    <row r="43" spans="1:23" ht="13.15" customHeight="1">
      <c r="A43" s="2084"/>
      <c r="B43" s="2084"/>
      <c r="C43" s="2084"/>
      <c r="D43" s="2084"/>
      <c r="E43" s="2084"/>
      <c r="F43" s="2084"/>
      <c r="I43" s="2088"/>
      <c r="J43" s="3671"/>
      <c r="K43" s="2226"/>
      <c r="L43" s="2227"/>
      <c r="M43" s="2228"/>
      <c r="N43" s="2210"/>
      <c r="O43" s="2210"/>
      <c r="P43" s="2210"/>
      <c r="Q43" s="2250"/>
      <c r="R43" s="2248">
        <f>ROUND(O43*N43*P43*(1-Q43)/10000,0)</f>
        <v>0</v>
      </c>
      <c r="S43" s="2235"/>
      <c r="T43" s="2238"/>
      <c r="V43" s="2090"/>
      <c r="W43" s="2259"/>
    </row>
    <row r="44" spans="1:23" ht="13.15" customHeight="1">
      <c r="J44" s="2230">
        <v>6</v>
      </c>
      <c r="K44" s="2231" t="s">
        <v>1474</v>
      </c>
      <c r="L44" s="2236" t="s">
        <v>1475</v>
      </c>
      <c r="M44" s="2233"/>
      <c r="N44" s="2236" t="s">
        <v>1476</v>
      </c>
      <c r="O44" s="2233"/>
      <c r="P44" s="2236" t="s">
        <v>1477</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1488</v>
      </c>
      <c r="B1" s="2061"/>
      <c r="C1" s="2061"/>
      <c r="D1" s="2061"/>
      <c r="E1" s="2062"/>
      <c r="F1" s="2063"/>
      <c r="G1" s="2064"/>
      <c r="H1" s="2064"/>
      <c r="I1" s="2064"/>
      <c r="J1" s="2064"/>
      <c r="K1" s="2064"/>
      <c r="L1" s="2064"/>
      <c r="M1" s="2064"/>
      <c r="N1" s="2064"/>
      <c r="O1" s="2064"/>
      <c r="P1" s="2064"/>
      <c r="Q1" s="2064"/>
      <c r="R1" s="2064"/>
      <c r="S1" s="2064"/>
    </row>
    <row r="2" spans="1:22" ht="15.75">
      <c r="A2" s="2065" t="s">
        <v>1033</v>
      </c>
      <c r="B2" s="2066">
        <f ca="1">SUMIF(B6:B13,"&lt;&gt;#ref!",B6:B13)</f>
        <v>1029.0363</v>
      </c>
      <c r="C2" s="2067" t="s">
        <v>1489</v>
      </c>
      <c r="D2" s="2068" t="s">
        <v>1490</v>
      </c>
      <c r="E2" s="2069">
        <f>SUM(E6:E13)</f>
        <v>879.38</v>
      </c>
      <c r="F2" s="2063"/>
      <c r="G2" s="2064"/>
      <c r="H2" s="2064"/>
      <c r="I2" s="2064"/>
      <c r="J2" s="2064"/>
      <c r="K2" s="2064"/>
      <c r="L2" s="2064"/>
      <c r="M2" s="2064"/>
      <c r="N2" s="2064"/>
      <c r="O2" s="2064"/>
      <c r="P2" s="2064"/>
      <c r="Q2" s="2064"/>
      <c r="R2" s="2064"/>
      <c r="S2" s="2064"/>
    </row>
    <row r="3" spans="1:22" ht="15.75">
      <c r="A3" s="2065" t="s">
        <v>1035</v>
      </c>
      <c r="B3" s="2070">
        <f ca="1">ROUND(B2*10000/E2,0)</f>
        <v>11702</v>
      </c>
      <c r="C3" s="2067" t="s">
        <v>1491</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1492</v>
      </c>
      <c r="B5" s="3675" t="s">
        <v>1493</v>
      </c>
      <c r="C5" s="3676"/>
      <c r="D5" s="2075"/>
      <c r="E5" s="2076" t="s">
        <v>1494</v>
      </c>
      <c r="F5" s="2077" t="s">
        <v>1495</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1029.0363</v>
      </c>
      <c r="C6" s="2067" t="s">
        <v>1489</v>
      </c>
      <c r="D6" s="2071"/>
      <c r="E6" s="2079">
        <f>IF(OR(A6=0,F6="否"),0,'数据-取费表'!K6+'数据-取费表'!S6)</f>
        <v>879.38</v>
      </c>
      <c r="F6" s="2080" t="s">
        <v>1496</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1489</v>
      </c>
      <c r="D7" s="2071"/>
      <c r="E7" s="2079">
        <f>IF(OR(A7=0,F7="否"),0,'数据-取费表'!K7+'数据-取费表'!S7)</f>
        <v>0</v>
      </c>
      <c r="F7" s="2080" t="s">
        <v>1496</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1489</v>
      </c>
      <c r="D8" s="2071"/>
      <c r="E8" s="2079">
        <f>IF(OR(A8=0,F8="否"),0,'数据-取费表'!K8+'数据-取费表'!S8)</f>
        <v>0</v>
      </c>
      <c r="F8" s="2080" t="s">
        <v>1496</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1489</v>
      </c>
      <c r="D9" s="2071"/>
      <c r="E9" s="2079">
        <f>IF(OR(A9=0,F9="否"),0,'数据-取费表'!K9+'数据-取费表'!S9)</f>
        <v>0</v>
      </c>
      <c r="F9" s="2080" t="s">
        <v>1496</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1489</v>
      </c>
      <c r="D10" s="2071"/>
      <c r="E10" s="2079">
        <f>IF(OR(A10=0,F10="否"),0,'数据-取费表'!K10+'数据-取费表'!S10)</f>
        <v>0</v>
      </c>
      <c r="F10" s="2080" t="s">
        <v>1496</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1489</v>
      </c>
      <c r="D11" s="2071"/>
      <c r="E11" s="2079">
        <f>IF(OR(A11=0,F11="否"),0,'数据-取费表'!K11+'数据-取费表'!S11)</f>
        <v>0</v>
      </c>
      <c r="F11" s="2080" t="s">
        <v>1496</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1489</v>
      </c>
      <c r="D12" s="2071"/>
      <c r="E12" s="2079">
        <f>IF(OR(A12=0,F12="否"),0,'数据-取费表'!K12+'数据-取费表'!S12)</f>
        <v>0</v>
      </c>
      <c r="F12" s="2080" t="s">
        <v>1496</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1489</v>
      </c>
      <c r="D13" s="2083"/>
      <c r="E13" s="2079">
        <f>IF(OR(A13=0,F13="否"),0,'数据-取费表'!K13+'数据-取费表'!S13)</f>
        <v>0</v>
      </c>
      <c r="F13" s="2080" t="s">
        <v>1496</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1498</v>
      </c>
      <c r="C1" s="1809" t="s">
        <v>1499</v>
      </c>
      <c r="D1" s="1752"/>
      <c r="E1" s="1958"/>
      <c r="F1" s="1754"/>
      <c r="G1" s="1755" t="s">
        <v>1500</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1033</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1035</v>
      </c>
      <c r="B3" s="1763">
        <f>IF(C2="——",C49,ROUND(B2*10000/D3,0))</f>
        <v>0</v>
      </c>
      <c r="C3" s="1762" t="s">
        <v>1501</v>
      </c>
      <c r="D3" s="1763">
        <f>IF(D1="",'数据-汇总表'!E3,SUMIF('数据-汇总表'!$C19:$C33,D1,'数据-汇总表'!$E19:$E33))</f>
        <v>879.38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1502</v>
      </c>
      <c r="B4" s="1391"/>
      <c r="C4" s="3677" t="s">
        <v>1503</v>
      </c>
      <c r="D4" s="3678"/>
      <c r="E4" s="3679" t="s">
        <v>1504</v>
      </c>
      <c r="F4" s="3680"/>
      <c r="G4" s="3677" t="s">
        <v>1505</v>
      </c>
      <c r="H4" s="3678"/>
      <c r="I4" s="3677" t="s">
        <v>1506</v>
      </c>
      <c r="J4" s="3678"/>
      <c r="K4" s="1995"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7" t="s">
        <v>1505</v>
      </c>
      <c r="AC4" s="3707" t="s">
        <v>1506</v>
      </c>
    </row>
    <row r="5" spans="1:29" ht="15">
      <c r="A5" s="1392"/>
      <c r="B5" s="1393"/>
      <c r="C5" s="3681" t="s">
        <v>1509</v>
      </c>
      <c r="D5" s="3682"/>
      <c r="E5" s="3683" t="s">
        <v>1510</v>
      </c>
      <c r="F5" s="3684"/>
      <c r="G5" s="3681" t="s">
        <v>1511</v>
      </c>
      <c r="H5" s="3682"/>
      <c r="I5" s="3681" t="s">
        <v>1512</v>
      </c>
      <c r="J5" s="3682"/>
      <c r="K5" s="1996"/>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996"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19" si="3">D8/F8</f>
        <v>1</v>
      </c>
      <c r="AB8" s="1595">
        <f t="shared" ref="AB8:AB19" si="4">D8/H8</f>
        <v>1</v>
      </c>
      <c r="AC8" s="1595">
        <f t="shared" ref="AC8:AC19" si="5">D8/J8</f>
        <v>1</v>
      </c>
    </row>
    <row r="9" spans="1:29" s="1371" customFormat="1">
      <c r="A9" s="1404" t="s">
        <v>1520</v>
      </c>
      <c r="B9" s="1405" t="s">
        <v>1521</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4"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4"/>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4"/>
      <c r="Q11" s="1586" t="str">
        <f t="shared" si="6"/>
        <v>容积率</v>
      </c>
      <c r="R11" s="1582" t="s">
        <v>1517</v>
      </c>
      <c r="S11" s="1583" t="e">
        <f t="shared" si="0"/>
        <v>#N/A</v>
      </c>
      <c r="T11" s="1582" t="s">
        <v>1517</v>
      </c>
      <c r="U11" s="1583" t="e">
        <f t="shared" si="1"/>
        <v>#N/A</v>
      </c>
      <c r="V11" s="1582" t="s">
        <v>1517</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4"/>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4"/>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4"/>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595">
        <f t="shared" si="5"/>
        <v>1</v>
      </c>
    </row>
    <row r="15" spans="1:29" ht="15">
      <c r="A15" s="1426" t="s">
        <v>1526</v>
      </c>
      <c r="B15" s="1718" t="s">
        <v>1527</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5" t="s">
        <v>1528</v>
      </c>
      <c r="Q15" s="974" t="str">
        <f t="shared" si="6"/>
        <v>居住社区成熟度</v>
      </c>
      <c r="R15" s="1587" t="s">
        <v>1517</v>
      </c>
      <c r="S15" s="1588">
        <f t="shared" si="0"/>
        <v>100</v>
      </c>
      <c r="T15" s="1587" t="s">
        <v>1517</v>
      </c>
      <c r="U15" s="1588">
        <f t="shared" si="1"/>
        <v>100</v>
      </c>
      <c r="V15" s="1587" t="s">
        <v>1517</v>
      </c>
      <c r="W15" s="1588">
        <f t="shared" si="2"/>
        <v>100</v>
      </c>
      <c r="X15" s="1581"/>
      <c r="Y15" s="3700" t="s">
        <v>1528</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696"/>
      <c r="Q16" s="974"/>
      <c r="R16" s="1587"/>
      <c r="S16" s="1588"/>
      <c r="T16" s="1587"/>
      <c r="U16" s="1588"/>
      <c r="V16" s="1587"/>
      <c r="W16" s="1588"/>
      <c r="X16" s="1581"/>
      <c r="Y16" s="3701"/>
      <c r="Z16" s="1571"/>
      <c r="AA16" s="1597">
        <v>1</v>
      </c>
      <c r="AB16" s="1597">
        <v>1</v>
      </c>
      <c r="AC16" s="1597">
        <v>1</v>
      </c>
    </row>
    <row r="17" spans="1:29" ht="15">
      <c r="A17" s="1412"/>
      <c r="B17" s="1721" t="s">
        <v>1529</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696"/>
      <c r="Q17" s="974" t="str">
        <f>B17</f>
        <v>交通便捷度</v>
      </c>
      <c r="R17" s="1587" t="s">
        <v>1517</v>
      </c>
      <c r="S17" s="1588">
        <f>F17</f>
        <v>100</v>
      </c>
      <c r="T17" s="1587" t="s">
        <v>1517</v>
      </c>
      <c r="U17" s="1588">
        <f>H17</f>
        <v>100</v>
      </c>
      <c r="V17" s="1587" t="s">
        <v>1517</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696"/>
      <c r="Q18" s="974"/>
      <c r="R18" s="1587"/>
      <c r="S18" s="1588"/>
      <c r="T18" s="1587"/>
      <c r="U18" s="1588"/>
      <c r="V18" s="1587"/>
      <c r="W18" s="1588"/>
      <c r="X18" s="1581"/>
      <c r="Y18" s="3701"/>
      <c r="Z18" s="1571"/>
      <c r="AA18" s="1597">
        <v>1</v>
      </c>
      <c r="AB18" s="1597">
        <v>1</v>
      </c>
      <c r="AC18" s="1597">
        <v>1</v>
      </c>
    </row>
    <row r="19" spans="1:29" ht="15">
      <c r="A19" s="1412"/>
      <c r="B19" s="1721" t="s">
        <v>1530</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696"/>
      <c r="Q19" s="974" t="str">
        <f>B19</f>
        <v>公共配套设施</v>
      </c>
      <c r="R19" s="1587" t="s">
        <v>1517</v>
      </c>
      <c r="S19" s="1588">
        <f>F19</f>
        <v>100</v>
      </c>
      <c r="T19" s="1587" t="s">
        <v>1517</v>
      </c>
      <c r="U19" s="1588">
        <f>H19</f>
        <v>100</v>
      </c>
      <c r="V19" s="1587" t="s">
        <v>1517</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696"/>
      <c r="Q20" s="974"/>
      <c r="R20" s="1587"/>
      <c r="S20" s="1588"/>
      <c r="T20" s="1587"/>
      <c r="U20" s="1588"/>
      <c r="V20" s="1587"/>
      <c r="W20" s="1588"/>
      <c r="X20" s="1581"/>
      <c r="Y20" s="3701"/>
      <c r="Z20" s="1571"/>
      <c r="AA20" s="1597">
        <v>1</v>
      </c>
      <c r="AB20" s="1597">
        <v>1</v>
      </c>
      <c r="AC20" s="1597">
        <v>1</v>
      </c>
    </row>
    <row r="21" spans="1:29" ht="15">
      <c r="A21" s="1412"/>
      <c r="B21" s="1725" t="s">
        <v>1531</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696"/>
      <c r="Q21" s="974" t="str">
        <f>B21</f>
        <v>基础设施水平</v>
      </c>
      <c r="R21" s="1587" t="s">
        <v>1517</v>
      </c>
      <c r="S21" s="1588">
        <f>F21</f>
        <v>100</v>
      </c>
      <c r="T21" s="1587" t="s">
        <v>1517</v>
      </c>
      <c r="U21" s="1588">
        <f>H21</f>
        <v>100</v>
      </c>
      <c r="V21" s="1587" t="s">
        <v>1517</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696"/>
      <c r="Q22" s="974"/>
      <c r="R22" s="1587"/>
      <c r="S22" s="1588"/>
      <c r="T22" s="1587"/>
      <c r="U22" s="1588"/>
      <c r="V22" s="1587"/>
      <c r="W22" s="1588"/>
      <c r="X22" s="1581"/>
      <c r="Y22" s="3701"/>
      <c r="Z22" s="1571"/>
      <c r="AA22" s="1597">
        <v>1</v>
      </c>
      <c r="AB22" s="1597">
        <v>1</v>
      </c>
      <c r="AC22" s="1597">
        <v>1</v>
      </c>
    </row>
    <row r="23" spans="1:29" ht="15">
      <c r="A23" s="1412"/>
      <c r="B23" s="1721" t="s">
        <v>1532</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696"/>
      <c r="Q23" s="974" t="str">
        <f>B23</f>
        <v>自然及人文环境</v>
      </c>
      <c r="R23" s="1587" t="s">
        <v>1517</v>
      </c>
      <c r="S23" s="1588">
        <f>F23</f>
        <v>100</v>
      </c>
      <c r="T23" s="1587" t="s">
        <v>1517</v>
      </c>
      <c r="U23" s="1588">
        <f>H23</f>
        <v>100</v>
      </c>
      <c r="V23" s="1587" t="s">
        <v>1517</v>
      </c>
      <c r="W23" s="1588">
        <f>J23</f>
        <v>100</v>
      </c>
      <c r="X23" s="1581"/>
      <c r="Y23" s="3701"/>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696"/>
      <c r="Q24" s="974"/>
      <c r="R24" s="1587"/>
      <c r="S24" s="1588"/>
      <c r="T24" s="1587"/>
      <c r="U24" s="1588"/>
      <c r="V24" s="1587"/>
      <c r="W24" s="1588"/>
      <c r="X24" s="1581"/>
      <c r="Y24" s="3701"/>
      <c r="Z24" s="1571"/>
      <c r="AA24" s="1597">
        <v>1</v>
      </c>
      <c r="AB24" s="1597">
        <v>1</v>
      </c>
      <c r="AC24" s="1597">
        <v>1</v>
      </c>
    </row>
    <row r="25" spans="1:29" ht="15">
      <c r="A25" s="1412"/>
      <c r="B25" s="1409" t="s">
        <v>1533</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696"/>
      <c r="Q25" s="974" t="str">
        <f t="shared" ref="Q25:Q46" si="11">B25</f>
        <v>楼层-1</v>
      </c>
      <c r="R25" s="1587" t="s">
        <v>1517</v>
      </c>
      <c r="S25" s="1588">
        <f t="shared" ref="S25:S46" si="12">F25</f>
        <v>100</v>
      </c>
      <c r="T25" s="1587" t="s">
        <v>1517</v>
      </c>
      <c r="U25" s="1588">
        <f t="shared" ref="U25:U46" si="13">H25</f>
        <v>100</v>
      </c>
      <c r="V25" s="1587" t="s">
        <v>1517</v>
      </c>
      <c r="W25" s="1588">
        <f t="shared" ref="W25:W46" si="14">J25</f>
        <v>100</v>
      </c>
      <c r="X25" s="1581"/>
      <c r="Y25" s="3701"/>
      <c r="Z25" s="1571" t="str">
        <f>Q25</f>
        <v>楼层-1</v>
      </c>
      <c r="AA25" s="1597">
        <f t="shared" ref="AA25:AA46" si="15">D25/F25</f>
        <v>1</v>
      </c>
      <c r="AB25" s="1597">
        <f t="shared" ref="AB25:AB46" si="16">D25/H25</f>
        <v>1</v>
      </c>
      <c r="AC25" s="1597">
        <f t="shared" ref="AC25:AC46" si="17">D25/J25</f>
        <v>1</v>
      </c>
    </row>
    <row r="26" spans="1:29" ht="15">
      <c r="A26" s="1412"/>
      <c r="B26" s="1409" t="s">
        <v>1534</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696"/>
      <c r="Q26" s="974" t="str">
        <f t="shared" si="11"/>
        <v>朝向</v>
      </c>
      <c r="R26" s="1587" t="s">
        <v>1517</v>
      </c>
      <c r="S26" s="1588">
        <f t="shared" si="12"/>
        <v>100</v>
      </c>
      <c r="T26" s="1587" t="s">
        <v>1517</v>
      </c>
      <c r="U26" s="1588">
        <f t="shared" si="13"/>
        <v>100</v>
      </c>
      <c r="V26" s="1587" t="s">
        <v>1517</v>
      </c>
      <c r="W26" s="1588">
        <f t="shared" si="14"/>
        <v>100</v>
      </c>
      <c r="X26" s="1581"/>
      <c r="Y26" s="3701"/>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696"/>
      <c r="Q27" s="1586">
        <f t="shared" si="11"/>
        <v>111</v>
      </c>
      <c r="R27" s="1582" t="s">
        <v>1517</v>
      </c>
      <c r="S27" s="1583">
        <f t="shared" si="12"/>
        <v>100</v>
      </c>
      <c r="T27" s="1582" t="s">
        <v>1517</v>
      </c>
      <c r="U27" s="1583">
        <f t="shared" si="13"/>
        <v>100</v>
      </c>
      <c r="V27" s="1582" t="s">
        <v>1517</v>
      </c>
      <c r="W27" s="1583">
        <f t="shared" si="14"/>
        <v>100</v>
      </c>
      <c r="X27" s="1584"/>
      <c r="Y27" s="3701"/>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696"/>
      <c r="Q28" s="974">
        <f t="shared" si="11"/>
        <v>111</v>
      </c>
      <c r="R28" s="1587" t="s">
        <v>1517</v>
      </c>
      <c r="S28" s="1588">
        <f t="shared" si="12"/>
        <v>100</v>
      </c>
      <c r="T28" s="1587" t="s">
        <v>1517</v>
      </c>
      <c r="U28" s="1588">
        <f t="shared" si="13"/>
        <v>100</v>
      </c>
      <c r="V28" s="1587" t="s">
        <v>1517</v>
      </c>
      <c r="W28" s="1588">
        <f t="shared" si="14"/>
        <v>100</v>
      </c>
      <c r="X28" s="1581"/>
      <c r="Y28" s="3701"/>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696"/>
      <c r="Q29" s="974">
        <f t="shared" si="11"/>
        <v>111</v>
      </c>
      <c r="R29" s="1587" t="s">
        <v>1517</v>
      </c>
      <c r="S29" s="1588">
        <f t="shared" si="12"/>
        <v>100</v>
      </c>
      <c r="T29" s="1587" t="s">
        <v>1517</v>
      </c>
      <c r="U29" s="1588">
        <f t="shared" si="13"/>
        <v>100</v>
      </c>
      <c r="V29" s="1587" t="s">
        <v>1517</v>
      </c>
      <c r="W29" s="1588">
        <f t="shared" si="14"/>
        <v>100</v>
      </c>
      <c r="X29" s="1581"/>
      <c r="Y29" s="3701"/>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696"/>
      <c r="Q30" s="974">
        <f t="shared" si="11"/>
        <v>111</v>
      </c>
      <c r="R30" s="1587" t="s">
        <v>1517</v>
      </c>
      <c r="S30" s="1588">
        <f t="shared" si="12"/>
        <v>100</v>
      </c>
      <c r="T30" s="1587" t="s">
        <v>1517</v>
      </c>
      <c r="U30" s="1588">
        <f t="shared" si="13"/>
        <v>100</v>
      </c>
      <c r="V30" s="1587" t="s">
        <v>1517</v>
      </c>
      <c r="W30" s="1588">
        <f t="shared" si="14"/>
        <v>100</v>
      </c>
      <c r="X30" s="1581"/>
      <c r="Y30" s="3701"/>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696"/>
      <c r="Q31" s="974">
        <f t="shared" si="11"/>
        <v>111</v>
      </c>
      <c r="R31" s="1587" t="s">
        <v>1517</v>
      </c>
      <c r="S31" s="1588">
        <f t="shared" si="12"/>
        <v>100</v>
      </c>
      <c r="T31" s="1587" t="s">
        <v>1517</v>
      </c>
      <c r="U31" s="1588">
        <f t="shared" si="13"/>
        <v>100</v>
      </c>
      <c r="V31" s="1587" t="s">
        <v>1517</v>
      </c>
      <c r="W31" s="1588">
        <f t="shared" si="14"/>
        <v>100</v>
      </c>
      <c r="X31" s="1581"/>
      <c r="Y31" s="3701"/>
      <c r="Z31" s="1571">
        <f t="shared" si="18"/>
        <v>111</v>
      </c>
      <c r="AA31" s="1597">
        <f t="shared" si="15"/>
        <v>1</v>
      </c>
      <c r="AB31" s="1597">
        <f t="shared" si="16"/>
        <v>1</v>
      </c>
      <c r="AC31" s="1597">
        <f t="shared" si="17"/>
        <v>1</v>
      </c>
    </row>
    <row r="32" spans="1:29" ht="15">
      <c r="A32" s="1426" t="s">
        <v>1535</v>
      </c>
      <c r="B32" s="1405" t="s">
        <v>1536</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697" t="s">
        <v>1537</v>
      </c>
      <c r="Q32" s="974" t="str">
        <f t="shared" si="11"/>
        <v>建筑类型</v>
      </c>
      <c r="R32" s="1587" t="s">
        <v>1517</v>
      </c>
      <c r="S32" s="1588">
        <f t="shared" si="12"/>
        <v>100</v>
      </c>
      <c r="T32" s="1587" t="s">
        <v>1517</v>
      </c>
      <c r="U32" s="1588">
        <f t="shared" si="13"/>
        <v>100</v>
      </c>
      <c r="V32" s="1587" t="s">
        <v>1517</v>
      </c>
      <c r="W32" s="1588">
        <f t="shared" si="14"/>
        <v>100</v>
      </c>
      <c r="X32" s="1581"/>
      <c r="Y32" s="3702" t="s">
        <v>1537</v>
      </c>
      <c r="Z32" s="1571" t="str">
        <f t="shared" si="18"/>
        <v>建筑类型</v>
      </c>
      <c r="AA32" s="1597">
        <f t="shared" si="15"/>
        <v>1</v>
      </c>
      <c r="AB32" s="1597">
        <f t="shared" si="16"/>
        <v>1</v>
      </c>
      <c r="AC32" s="1597">
        <f t="shared" si="17"/>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698"/>
      <c r="Q33" s="1814" t="str">
        <f t="shared" si="11"/>
        <v>项目建筑规模</v>
      </c>
      <c r="R33" s="1589" t="s">
        <v>1517</v>
      </c>
      <c r="S33" s="1590" t="e">
        <f t="shared" si="12"/>
        <v>#N/A</v>
      </c>
      <c r="T33" s="1589" t="s">
        <v>1517</v>
      </c>
      <c r="U33" s="1590" t="e">
        <f t="shared" si="13"/>
        <v>#N/A</v>
      </c>
      <c r="V33" s="1589" t="s">
        <v>1517</v>
      </c>
      <c r="W33" s="1590" t="e">
        <f t="shared" si="14"/>
        <v>#N/A</v>
      </c>
      <c r="X33" s="1591"/>
      <c r="Y33" s="3702"/>
      <c r="Z33" s="1598" t="str">
        <f t="shared" si="18"/>
        <v>项目建筑规模</v>
      </c>
      <c r="AA33" s="1597" t="e">
        <f t="shared" si="15"/>
        <v>#N/A</v>
      </c>
      <c r="AB33" s="1597" t="e">
        <f t="shared" si="16"/>
        <v>#N/A</v>
      </c>
      <c r="AC33" s="1597" t="e">
        <f t="shared" si="17"/>
        <v>#N/A</v>
      </c>
    </row>
    <row r="34" spans="1:29" ht="15">
      <c r="A34" s="1463"/>
      <c r="B34" s="1409" t="s">
        <v>1539</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698"/>
      <c r="Q34" s="974" t="str">
        <f t="shared" si="11"/>
        <v>建筑结构</v>
      </c>
      <c r="R34" s="1587" t="s">
        <v>1517</v>
      </c>
      <c r="S34" s="1588">
        <f t="shared" si="12"/>
        <v>100</v>
      </c>
      <c r="T34" s="1587" t="s">
        <v>1517</v>
      </c>
      <c r="U34" s="1588">
        <f t="shared" si="13"/>
        <v>100</v>
      </c>
      <c r="V34" s="1587" t="s">
        <v>1517</v>
      </c>
      <c r="W34" s="1588">
        <f t="shared" si="14"/>
        <v>100</v>
      </c>
      <c r="X34" s="1581"/>
      <c r="Y34" s="3702"/>
      <c r="Z34" s="1571" t="str">
        <f t="shared" si="18"/>
        <v>建筑结构</v>
      </c>
      <c r="AA34" s="1597">
        <f t="shared" si="15"/>
        <v>1</v>
      </c>
      <c r="AB34" s="1597">
        <f t="shared" si="16"/>
        <v>1</v>
      </c>
      <c r="AC34" s="1597">
        <f t="shared" si="17"/>
        <v>1</v>
      </c>
    </row>
    <row r="35" spans="1:29" ht="15">
      <c r="A35" s="1463"/>
      <c r="B35" s="1409" t="s">
        <v>1540</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698"/>
      <c r="Q35" s="974" t="str">
        <f t="shared" si="11"/>
        <v>建筑品质</v>
      </c>
      <c r="R35" s="1587" t="s">
        <v>1517</v>
      </c>
      <c r="S35" s="1588">
        <f t="shared" si="12"/>
        <v>100</v>
      </c>
      <c r="T35" s="1587" t="s">
        <v>1517</v>
      </c>
      <c r="U35" s="1588">
        <f t="shared" si="13"/>
        <v>100</v>
      </c>
      <c r="V35" s="1587" t="s">
        <v>1517</v>
      </c>
      <c r="W35" s="1588">
        <f t="shared" si="14"/>
        <v>100</v>
      </c>
      <c r="X35" s="1581"/>
      <c r="Y35" s="3702"/>
      <c r="Z35" s="1571" t="str">
        <f t="shared" si="18"/>
        <v>建筑品质</v>
      </c>
      <c r="AA35" s="1597">
        <f t="shared" si="15"/>
        <v>1</v>
      </c>
      <c r="AB35" s="1597">
        <f t="shared" si="16"/>
        <v>1</v>
      </c>
      <c r="AC35" s="1597">
        <f t="shared" si="17"/>
        <v>1</v>
      </c>
    </row>
    <row r="36" spans="1:29" ht="15">
      <c r="A36" s="1463"/>
      <c r="B36" s="1409" t="s">
        <v>1541</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698"/>
      <c r="Q36" s="974" t="str">
        <f t="shared" si="11"/>
        <v>公共部分装修</v>
      </c>
      <c r="R36" s="1587" t="s">
        <v>1517</v>
      </c>
      <c r="S36" s="1588">
        <f t="shared" si="12"/>
        <v>100</v>
      </c>
      <c r="T36" s="1587" t="s">
        <v>1517</v>
      </c>
      <c r="U36" s="1588">
        <f t="shared" si="13"/>
        <v>100</v>
      </c>
      <c r="V36" s="1587" t="s">
        <v>1517</v>
      </c>
      <c r="W36" s="1588">
        <f t="shared" si="14"/>
        <v>100</v>
      </c>
      <c r="X36" s="1581"/>
      <c r="Y36" s="3702"/>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698"/>
      <c r="Q37" s="1586" t="str">
        <f t="shared" si="11"/>
        <v>成新度</v>
      </c>
      <c r="R37" s="1582" t="s">
        <v>1517</v>
      </c>
      <c r="S37" s="1583" t="e">
        <f t="shared" si="12"/>
        <v>#N/A</v>
      </c>
      <c r="T37" s="1582" t="s">
        <v>1517</v>
      </c>
      <c r="U37" s="1583" t="e">
        <f t="shared" si="13"/>
        <v>#N/A</v>
      </c>
      <c r="V37" s="1582" t="s">
        <v>1517</v>
      </c>
      <c r="W37" s="1583" t="e">
        <f t="shared" si="14"/>
        <v>#N/A</v>
      </c>
      <c r="X37" s="1584"/>
      <c r="Y37" s="3702"/>
      <c r="Z37" s="1596" t="str">
        <f t="shared" si="18"/>
        <v>成新度</v>
      </c>
      <c r="AA37" s="1595" t="e">
        <f t="shared" si="15"/>
        <v>#N/A</v>
      </c>
      <c r="AB37" s="1595" t="e">
        <f t="shared" si="16"/>
        <v>#N/A</v>
      </c>
      <c r="AC37" s="1595" t="e">
        <f t="shared" si="17"/>
        <v>#N/A</v>
      </c>
    </row>
    <row r="38" spans="1:29" ht="15">
      <c r="A38" s="1463"/>
      <c r="B38" s="1409" t="s">
        <v>1542</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698" t="s">
        <v>1537</v>
      </c>
      <c r="Q38" s="974" t="str">
        <f t="shared" si="11"/>
        <v>物业管理</v>
      </c>
      <c r="R38" s="1587" t="s">
        <v>1517</v>
      </c>
      <c r="S38" s="1588">
        <f t="shared" si="12"/>
        <v>100</v>
      </c>
      <c r="T38" s="1587" t="s">
        <v>1517</v>
      </c>
      <c r="U38" s="1588">
        <f t="shared" si="13"/>
        <v>100</v>
      </c>
      <c r="V38" s="1587" t="s">
        <v>1517</v>
      </c>
      <c r="W38" s="1588">
        <f t="shared" si="14"/>
        <v>100</v>
      </c>
      <c r="X38" s="1581"/>
      <c r="Y38" s="3702" t="s">
        <v>1537</v>
      </c>
      <c r="Z38" s="1571" t="str">
        <f t="shared" si="18"/>
        <v>物业管理</v>
      </c>
      <c r="AA38" s="1597">
        <f t="shared" si="15"/>
        <v>1</v>
      </c>
      <c r="AB38" s="1597">
        <f t="shared" si="16"/>
        <v>1</v>
      </c>
      <c r="AC38" s="1597">
        <f t="shared" si="17"/>
        <v>1</v>
      </c>
    </row>
    <row r="39" spans="1:29" ht="15">
      <c r="A39" s="1463"/>
      <c r="B39" s="1409" t="s">
        <v>1543</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698"/>
      <c r="Q39" s="974" t="str">
        <f t="shared" si="11"/>
        <v>市政基础设施</v>
      </c>
      <c r="R39" s="1587" t="s">
        <v>1517</v>
      </c>
      <c r="S39" s="1588">
        <f t="shared" si="12"/>
        <v>100</v>
      </c>
      <c r="T39" s="1587" t="s">
        <v>1517</v>
      </c>
      <c r="U39" s="1588">
        <f t="shared" si="13"/>
        <v>100</v>
      </c>
      <c r="V39" s="1587" t="s">
        <v>1517</v>
      </c>
      <c r="W39" s="1588">
        <f t="shared" si="14"/>
        <v>100</v>
      </c>
      <c r="X39" s="1581"/>
      <c r="Y39" s="3702"/>
      <c r="Z39" s="1571" t="str">
        <f t="shared" si="18"/>
        <v>市政基础设施</v>
      </c>
      <c r="AA39" s="1597">
        <f t="shared" si="15"/>
        <v>1</v>
      </c>
      <c r="AB39" s="1597">
        <f t="shared" si="16"/>
        <v>1</v>
      </c>
      <c r="AC39" s="1597">
        <f t="shared" si="17"/>
        <v>1</v>
      </c>
    </row>
    <row r="40" spans="1:29" ht="15">
      <c r="A40" s="1463"/>
      <c r="B40" s="1409" t="s">
        <v>1544</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698"/>
      <c r="Q40" s="974" t="str">
        <f t="shared" si="11"/>
        <v>房型</v>
      </c>
      <c r="R40" s="1587" t="s">
        <v>1517</v>
      </c>
      <c r="S40" s="1588">
        <f t="shared" si="12"/>
        <v>100</v>
      </c>
      <c r="T40" s="1587" t="s">
        <v>1517</v>
      </c>
      <c r="U40" s="1588">
        <f t="shared" si="13"/>
        <v>100</v>
      </c>
      <c r="V40" s="1587" t="s">
        <v>1517</v>
      </c>
      <c r="W40" s="1588">
        <f t="shared" si="14"/>
        <v>100</v>
      </c>
      <c r="X40" s="1581"/>
      <c r="Y40" s="3702"/>
      <c r="Z40" s="1571" t="str">
        <f t="shared" si="18"/>
        <v>房型</v>
      </c>
      <c r="AA40" s="1597">
        <f t="shared" si="15"/>
        <v>1</v>
      </c>
      <c r="AB40" s="1597">
        <f t="shared" si="16"/>
        <v>1</v>
      </c>
      <c r="AC40" s="1597">
        <f t="shared" si="17"/>
        <v>1</v>
      </c>
    </row>
    <row r="41" spans="1:29" s="1373" customFormat="1" ht="28.5">
      <c r="A41" s="1468"/>
      <c r="B41" s="1409" t="s">
        <v>1545</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698"/>
      <c r="Q41" s="1814" t="str">
        <f t="shared" si="11"/>
        <v>单套/主力户型建筑面积</v>
      </c>
      <c r="R41" s="1589" t="s">
        <v>1517</v>
      </c>
      <c r="S41" s="1590">
        <f t="shared" si="12"/>
        <v>100</v>
      </c>
      <c r="T41" s="1589" t="s">
        <v>1517</v>
      </c>
      <c r="U41" s="1590">
        <f t="shared" si="13"/>
        <v>100</v>
      </c>
      <c r="V41" s="1589" t="s">
        <v>1517</v>
      </c>
      <c r="W41" s="1590">
        <f t="shared" si="14"/>
        <v>100</v>
      </c>
      <c r="X41" s="1591"/>
      <c r="Y41" s="3702"/>
      <c r="Z41" s="1598" t="str">
        <f t="shared" si="18"/>
        <v>单套/主力户型建筑面积</v>
      </c>
      <c r="AA41" s="1597">
        <f t="shared" si="15"/>
        <v>1</v>
      </c>
      <c r="AB41" s="1597">
        <f t="shared" si="16"/>
        <v>1</v>
      </c>
      <c r="AC41" s="1597">
        <f t="shared" si="17"/>
        <v>1</v>
      </c>
    </row>
    <row r="42" spans="1:29" ht="15">
      <c r="A42" s="1463"/>
      <c r="B42" s="1409" t="s">
        <v>1546</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698"/>
      <c r="Q42" s="974" t="str">
        <f t="shared" si="11"/>
        <v>内部装修</v>
      </c>
      <c r="R42" s="1587" t="s">
        <v>1517</v>
      </c>
      <c r="S42" s="1588">
        <f t="shared" si="12"/>
        <v>100</v>
      </c>
      <c r="T42" s="1587" t="s">
        <v>1517</v>
      </c>
      <c r="U42" s="1588">
        <f t="shared" si="13"/>
        <v>100</v>
      </c>
      <c r="V42" s="1587" t="s">
        <v>1517</v>
      </c>
      <c r="W42" s="1588">
        <f t="shared" si="14"/>
        <v>100</v>
      </c>
      <c r="X42" s="1581"/>
      <c r="Y42" s="3702"/>
      <c r="Z42" s="1571" t="str">
        <f t="shared" si="18"/>
        <v>内部装修</v>
      </c>
      <c r="AA42" s="1597">
        <f t="shared" si="15"/>
        <v>1</v>
      </c>
      <c r="AB42" s="1597">
        <f t="shared" si="16"/>
        <v>1</v>
      </c>
      <c r="AC42" s="1597">
        <f t="shared" si="17"/>
        <v>1</v>
      </c>
    </row>
    <row r="43" spans="1:29" ht="15">
      <c r="A43" s="1463"/>
      <c r="B43" s="1409" t="s">
        <v>1547</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698"/>
      <c r="Q43" s="974" t="str">
        <f t="shared" si="11"/>
        <v>内部装修维护情况</v>
      </c>
      <c r="R43" s="1587" t="s">
        <v>1517</v>
      </c>
      <c r="S43" s="1588">
        <f t="shared" si="12"/>
        <v>100</v>
      </c>
      <c r="T43" s="1587" t="s">
        <v>1517</v>
      </c>
      <c r="U43" s="1588">
        <f t="shared" si="13"/>
        <v>100</v>
      </c>
      <c r="V43" s="1587" t="s">
        <v>1517</v>
      </c>
      <c r="W43" s="1588">
        <f t="shared" si="14"/>
        <v>100</v>
      </c>
      <c r="X43" s="1581"/>
      <c r="Y43" s="3702"/>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698"/>
      <c r="Q44" s="1586">
        <f t="shared" si="11"/>
        <v>111</v>
      </c>
      <c r="R44" s="1582" t="s">
        <v>1517</v>
      </c>
      <c r="S44" s="1583">
        <f t="shared" si="12"/>
        <v>100</v>
      </c>
      <c r="T44" s="1582" t="s">
        <v>1517</v>
      </c>
      <c r="U44" s="1583">
        <f t="shared" si="13"/>
        <v>100</v>
      </c>
      <c r="V44" s="1582" t="s">
        <v>1517</v>
      </c>
      <c r="W44" s="1583">
        <f t="shared" si="14"/>
        <v>100</v>
      </c>
      <c r="X44" s="1584"/>
      <c r="Y44" s="3702"/>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698"/>
      <c r="Q45" s="974">
        <f t="shared" si="11"/>
        <v>111</v>
      </c>
      <c r="R45" s="1587" t="s">
        <v>1517</v>
      </c>
      <c r="S45" s="1588">
        <f t="shared" si="12"/>
        <v>100</v>
      </c>
      <c r="T45" s="1587" t="s">
        <v>1517</v>
      </c>
      <c r="U45" s="1588">
        <f t="shared" si="13"/>
        <v>100</v>
      </c>
      <c r="V45" s="1587" t="s">
        <v>1517</v>
      </c>
      <c r="W45" s="1588">
        <f t="shared" si="14"/>
        <v>100</v>
      </c>
      <c r="X45" s="1581"/>
      <c r="Y45" s="3702"/>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699"/>
      <c r="Q46" s="974">
        <f t="shared" si="11"/>
        <v>111</v>
      </c>
      <c r="R46" s="1587" t="s">
        <v>1517</v>
      </c>
      <c r="S46" s="1588">
        <f t="shared" si="12"/>
        <v>100</v>
      </c>
      <c r="T46" s="1587" t="s">
        <v>1517</v>
      </c>
      <c r="U46" s="1588">
        <f t="shared" si="13"/>
        <v>100</v>
      </c>
      <c r="V46" s="1587" t="s">
        <v>1517</v>
      </c>
      <c r="W46" s="1588">
        <f t="shared" si="14"/>
        <v>100</v>
      </c>
      <c r="X46" s="1581"/>
      <c r="Y46" s="3703"/>
      <c r="Z46" s="1571">
        <f t="shared" si="18"/>
        <v>111</v>
      </c>
      <c r="AA46" s="1597">
        <f t="shared" si="15"/>
        <v>1</v>
      </c>
      <c r="AB46" s="1597">
        <f t="shared" si="16"/>
        <v>1</v>
      </c>
      <c r="AC46" s="1597">
        <f t="shared" si="17"/>
        <v>1</v>
      </c>
    </row>
    <row r="47" spans="1:29" ht="15">
      <c r="A47" s="1470" t="s">
        <v>1548</v>
      </c>
      <c r="B47" s="1789"/>
      <c r="C47" s="1790" t="s">
        <v>124</v>
      </c>
      <c r="D47" s="1791"/>
      <c r="E47" s="1792"/>
      <c r="F47" s="1793"/>
      <c r="G47" s="1794"/>
      <c r="H47" s="1795"/>
      <c r="I47" s="1792"/>
      <c r="J47" s="1795"/>
      <c r="K47" s="2003"/>
      <c r="L47" s="1563"/>
      <c r="M47" s="1487"/>
      <c r="N47" s="1539"/>
      <c r="O47" s="1487"/>
      <c r="P47" s="3692" t="str">
        <f>A47</f>
        <v>成交单价（元/平方米）</v>
      </c>
      <c r="Q47" s="3692"/>
      <c r="R47" s="3693">
        <f>E47</f>
        <v>0</v>
      </c>
      <c r="S47" s="3693"/>
      <c r="T47" s="3693">
        <f>G47</f>
        <v>0</v>
      </c>
      <c r="U47" s="3693"/>
      <c r="V47" s="3693">
        <f>I47</f>
        <v>0</v>
      </c>
      <c r="W47" s="3693"/>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2004">
        <f>F48+H48+J48</f>
        <v>0</v>
      </c>
      <c r="L48" s="1563"/>
      <c r="M48" s="1487"/>
      <c r="N48" s="1487"/>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1551</v>
      </c>
      <c r="B49" s="1485"/>
      <c r="C49" s="1987" t="e">
        <f>R49</f>
        <v>#DIV/0!</v>
      </c>
      <c r="D49" s="1799"/>
      <c r="E49" s="1799"/>
      <c r="F49" s="1799"/>
      <c r="G49" s="1799"/>
      <c r="H49" s="1799"/>
      <c r="I49" s="1799"/>
      <c r="J49" s="1799"/>
      <c r="K49" s="2005"/>
      <c r="L49" s="1563"/>
      <c r="M49" s="1487"/>
      <c r="N49" s="1487"/>
      <c r="O49" s="14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1555</v>
      </c>
      <c r="B57" s="1527"/>
      <c r="C57" s="1528"/>
      <c r="D57" s="1528"/>
      <c r="E57" s="1528"/>
      <c r="F57" s="1529"/>
      <c r="G57" s="1529"/>
      <c r="H57" s="1528"/>
      <c r="I57" s="1528"/>
      <c r="J57" s="1528"/>
      <c r="K57" s="1744"/>
      <c r="L57" s="1745"/>
      <c r="M57" s="1579"/>
      <c r="N57" s="1579"/>
      <c r="O57" s="1579"/>
      <c r="P57" s="2007"/>
      <c r="Q57" s="1909"/>
    </row>
    <row r="58" spans="1:29" s="1376" customFormat="1" ht="15">
      <c r="A58" s="1801" t="s">
        <v>1515</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1556</v>
      </c>
      <c r="B60" s="1607"/>
      <c r="C60" s="1608"/>
      <c r="D60" s="1609"/>
      <c r="E60" s="1609"/>
      <c r="F60" s="1609"/>
      <c r="G60" s="1609"/>
      <c r="H60" s="1609"/>
      <c r="I60" s="1609"/>
      <c r="J60" s="1609"/>
      <c r="K60" s="1609"/>
      <c r="L60" s="1609"/>
      <c r="M60" s="1657"/>
      <c r="N60" s="1609"/>
      <c r="O60" s="1657"/>
      <c r="P60" s="2009"/>
      <c r="Q60" s="1909"/>
    </row>
    <row r="61" spans="1:29" s="1371" customFormat="1" ht="15">
      <c r="A61" s="1610" t="s">
        <v>1518</v>
      </c>
      <c r="B61" s="1611"/>
      <c r="C61" s="1612" t="s">
        <v>1557</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1558</v>
      </c>
      <c r="B63" s="1617" t="s">
        <v>1521</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1524</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1525</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1526</v>
      </c>
      <c r="B76" s="1617" t="s">
        <v>1527</v>
      </c>
      <c r="C76" s="1638" t="s">
        <v>1559</v>
      </c>
      <c r="D76" s="1638" t="s">
        <v>1560</v>
      </c>
      <c r="E76" s="1638" t="s">
        <v>1561</v>
      </c>
      <c r="F76" s="1638" t="s">
        <v>1562</v>
      </c>
      <c r="G76" s="1638" t="s">
        <v>1563</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1529</v>
      </c>
      <c r="C78" s="1640" t="s">
        <v>1559</v>
      </c>
      <c r="D78" s="1640" t="s">
        <v>1560</v>
      </c>
      <c r="E78" s="1640" t="s">
        <v>1561</v>
      </c>
      <c r="F78" s="1640" t="s">
        <v>1562</v>
      </c>
      <c r="G78" s="1640" t="s">
        <v>1563</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1530</v>
      </c>
      <c r="C80" s="1640" t="s">
        <v>1559</v>
      </c>
      <c r="D80" s="1640" t="s">
        <v>1560</v>
      </c>
      <c r="E80" s="1640" t="s">
        <v>1561</v>
      </c>
      <c r="F80" s="1640" t="s">
        <v>1562</v>
      </c>
      <c r="G80" s="1640" t="s">
        <v>1563</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1531</v>
      </c>
      <c r="C82" s="1622" t="s">
        <v>1564</v>
      </c>
      <c r="D82" s="1622" t="s">
        <v>1565</v>
      </c>
      <c r="E82" s="1622" t="s">
        <v>1566</v>
      </c>
      <c r="F82" s="1622" t="s">
        <v>1567</v>
      </c>
      <c r="G82" s="1622" t="s">
        <v>1568</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1532</v>
      </c>
      <c r="C84" s="1640" t="s">
        <v>1559</v>
      </c>
      <c r="D84" s="1640" t="s">
        <v>1560</v>
      </c>
      <c r="E84" s="1640" t="s">
        <v>1561</v>
      </c>
      <c r="F84" s="1640" t="s">
        <v>1562</v>
      </c>
      <c r="G84" s="1640" t="s">
        <v>1563</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1533</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1534</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1535</v>
      </c>
      <c r="B100" s="1617" t="s">
        <v>1536</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1538</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1539</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1540</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1541</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1542</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1543</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1544</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1545</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1546</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1547</v>
      </c>
      <c r="C124" s="1640" t="s">
        <v>1559</v>
      </c>
      <c r="D124" s="1640" t="s">
        <v>1560</v>
      </c>
      <c r="E124" s="1640" t="s">
        <v>1561</v>
      </c>
      <c r="F124" s="1640" t="s">
        <v>1562</v>
      </c>
      <c r="G124" s="1640" t="s">
        <v>1563</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1569</v>
      </c>
    </row>
    <row r="137" spans="1:17" ht="15">
      <c r="B137" s="2023" t="s">
        <v>1570</v>
      </c>
      <c r="C137" s="2024"/>
      <c r="D137" s="2024"/>
      <c r="E137" s="2024"/>
      <c r="F137" s="2024"/>
      <c r="G137" s="2025"/>
      <c r="H137" s="2026"/>
      <c r="I137" s="2049" t="s">
        <v>1571</v>
      </c>
      <c r="J137" s="2024"/>
      <c r="K137" s="2050"/>
    </row>
    <row r="138" spans="1:17" ht="15">
      <c r="B138" s="2027"/>
      <c r="C138" s="2028" t="s">
        <v>1572</v>
      </c>
      <c r="D138" s="2028" t="s">
        <v>1573</v>
      </c>
      <c r="E138" s="2029" t="s">
        <v>1574</v>
      </c>
      <c r="F138" s="2030" t="s">
        <v>1575</v>
      </c>
      <c r="G138" s="2028" t="s">
        <v>1573</v>
      </c>
      <c r="H138" s="2031" t="s">
        <v>1574</v>
      </c>
      <c r="I138" s="2051"/>
      <c r="J138" s="2028" t="s">
        <v>1576</v>
      </c>
      <c r="K138" s="2031" t="s">
        <v>1577</v>
      </c>
    </row>
    <row r="139" spans="1:17" ht="15">
      <c r="B139" s="2032">
        <v>6</v>
      </c>
      <c r="C139" s="2033">
        <v>96</v>
      </c>
      <c r="D139" s="2034" t="s">
        <v>1578</v>
      </c>
      <c r="E139" s="2035">
        <v>100</v>
      </c>
      <c r="F139" s="2036">
        <v>102.5</v>
      </c>
      <c r="G139" s="2034" t="s">
        <v>1578</v>
      </c>
      <c r="H139" s="2037">
        <v>105</v>
      </c>
      <c r="I139" s="2052" t="s">
        <v>1579</v>
      </c>
      <c r="J139" s="2033">
        <v>20</v>
      </c>
      <c r="K139" s="2053">
        <f>C145/(J139-2)</f>
        <v>4.0555555555555596E-3</v>
      </c>
    </row>
    <row r="140" spans="1:17" ht="15">
      <c r="B140" s="2038">
        <v>5</v>
      </c>
      <c r="C140" s="2039">
        <v>100</v>
      </c>
      <c r="D140" s="2039"/>
      <c r="E140" s="2040"/>
      <c r="F140" s="2041">
        <v>102</v>
      </c>
      <c r="G140" s="2039"/>
      <c r="H140" s="2042"/>
      <c r="I140" s="2054" t="s">
        <v>1580</v>
      </c>
      <c r="J140" s="759">
        <f>ROUNDUP((J139-1)/2,0)</f>
        <v>10</v>
      </c>
      <c r="K140" s="2055">
        <v>100</v>
      </c>
    </row>
    <row r="141" spans="1:17" ht="15">
      <c r="B141" s="2038">
        <v>4</v>
      </c>
      <c r="C141" s="2039">
        <v>102</v>
      </c>
      <c r="D141" s="2039"/>
      <c r="E141" s="2040"/>
      <c r="F141" s="2041">
        <v>101.5</v>
      </c>
      <c r="G141" s="2039"/>
      <c r="H141" s="2042"/>
      <c r="I141" s="2054" t="s">
        <v>1581</v>
      </c>
      <c r="J141" s="759">
        <v>1</v>
      </c>
      <c r="K141" s="2056">
        <f>ROUND(100+(J141-J140)*K139*100,1)</f>
        <v>96.4</v>
      </c>
    </row>
    <row r="142" spans="1:17" ht="15">
      <c r="B142" s="2038">
        <v>3</v>
      </c>
      <c r="C142" s="2039">
        <v>103</v>
      </c>
      <c r="D142" s="2039"/>
      <c r="E142" s="2040"/>
      <c r="F142" s="2041">
        <v>101</v>
      </c>
      <c r="G142" s="2039"/>
      <c r="H142" s="2042"/>
      <c r="I142" s="2054" t="s">
        <v>1582</v>
      </c>
      <c r="J142" s="759">
        <f>J139</f>
        <v>20</v>
      </c>
      <c r="K142" s="2057">
        <v>95</v>
      </c>
    </row>
    <row r="143" spans="1:17" ht="15">
      <c r="B143" s="2038">
        <v>2</v>
      </c>
      <c r="C143" s="2039">
        <v>100</v>
      </c>
      <c r="D143" s="2039"/>
      <c r="E143" s="2040"/>
      <c r="F143" s="2041">
        <v>100.5</v>
      </c>
      <c r="G143" s="2039"/>
      <c r="H143" s="2042"/>
      <c r="I143" s="2054" t="s">
        <v>1583</v>
      </c>
      <c r="J143" s="2039">
        <v>15</v>
      </c>
      <c r="K143" s="2056">
        <f>ROUND(100+(J143-J140)*K139*100,1)</f>
        <v>102</v>
      </c>
    </row>
    <row r="144" spans="1:17" ht="15">
      <c r="B144" s="2038">
        <v>1</v>
      </c>
      <c r="C144" s="2039">
        <v>98</v>
      </c>
      <c r="D144" s="2043" t="s">
        <v>1584</v>
      </c>
      <c r="E144" s="2040">
        <v>102</v>
      </c>
      <c r="F144" s="2044">
        <v>100</v>
      </c>
      <c r="G144" s="2043" t="s">
        <v>1584</v>
      </c>
      <c r="H144" s="2042">
        <v>105</v>
      </c>
      <c r="I144" s="2054" t="s">
        <v>1583</v>
      </c>
      <c r="J144" s="2039">
        <v>18</v>
      </c>
      <c r="K144" s="2056">
        <f>ROUND(100+(J144-J140)*K139*100,1)</f>
        <v>103.2</v>
      </c>
    </row>
    <row r="145" spans="2:11" ht="15">
      <c r="B145" s="2045" t="s">
        <v>1585</v>
      </c>
      <c r="C145" s="2046">
        <f>ROUND(MAX(C139:C144)/MIN(C139:C144)-1,3)</f>
        <v>7.2999999999999995E-2</v>
      </c>
      <c r="D145" s="2047"/>
      <c r="E145" s="2047"/>
      <c r="F145" s="2048" t="s">
        <v>1586</v>
      </c>
      <c r="G145" s="1944"/>
      <c r="H145" s="1947"/>
      <c r="I145" s="2058" t="s">
        <v>1583</v>
      </c>
      <c r="J145" s="2059">
        <v>8</v>
      </c>
      <c r="K145" s="2060">
        <f>ROUND(100+(J145-J140)*K139*100,1)</f>
        <v>99.2</v>
      </c>
    </row>
    <row r="147" spans="2:11">
      <c r="B147" s="2022" t="s">
        <v>1587</v>
      </c>
    </row>
    <row r="148" spans="2:11">
      <c r="B148" s="2022" t="s">
        <v>1588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1589</v>
      </c>
      <c r="C1" s="1809" t="s">
        <v>1499</v>
      </c>
      <c r="D1" s="1752"/>
      <c r="E1" s="1958"/>
      <c r="F1" s="1754"/>
      <c r="G1" s="1755" t="s">
        <v>1500</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1033</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1035</v>
      </c>
      <c r="B3" s="1388">
        <f>IF(C2="——",C49,ROUND(B2*10000/D3,0))</f>
        <v>0</v>
      </c>
      <c r="C3" s="1762" t="s">
        <v>1501</v>
      </c>
      <c r="D3" s="1763">
        <f>IF(D1="",'数据-汇总表'!E3,SUMIF('数据-汇总表'!$C19:$C33,D1,'数据-汇总表'!$E19:$E33))</f>
        <v>879.38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22"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22"/>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22"/>
      <c r="AC6" s="3709"/>
    </row>
    <row r="7" spans="1:29" s="1371" customFormat="1" ht="15">
      <c r="A7" s="1396" t="s">
        <v>1515</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46" si="3">D8/F8</f>
        <v>1</v>
      </c>
      <c r="AB8" s="1595">
        <f t="shared" ref="AB8:AB46" si="4">D8/H8</f>
        <v>1</v>
      </c>
      <c r="AC8" s="1595">
        <f t="shared" ref="AC8:AC46" si="5">D8/J8</f>
        <v>1</v>
      </c>
    </row>
    <row r="9" spans="1:29" s="1371" customFormat="1">
      <c r="A9" s="1404" t="s">
        <v>1520</v>
      </c>
      <c r="B9" s="1405" t="s">
        <v>1521</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694"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4"/>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694"/>
      <c r="Q11" s="1586" t="str">
        <f t="shared" si="6"/>
        <v>容积率</v>
      </c>
      <c r="R11" s="1582" t="s">
        <v>1517</v>
      </c>
      <c r="S11" s="1583" t="e">
        <f t="shared" si="0"/>
        <v>#N/A</v>
      </c>
      <c r="T11" s="1582" t="s">
        <v>1517</v>
      </c>
      <c r="U11" s="1583" t="e">
        <f t="shared" si="1"/>
        <v>#N/A</v>
      </c>
      <c r="V11" s="1582" t="s">
        <v>1517</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4"/>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4"/>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4"/>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595">
        <f t="shared" si="5"/>
        <v>1</v>
      </c>
    </row>
    <row r="15" spans="1:29" ht="15">
      <c r="A15" s="1426" t="s">
        <v>1526</v>
      </c>
      <c r="B15" s="1718" t="s">
        <v>1590</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5" t="s">
        <v>1528</v>
      </c>
      <c r="Q15" s="974" t="str">
        <f t="shared" si="6"/>
        <v>商业繁华度</v>
      </c>
      <c r="R15" s="1587" t="s">
        <v>1517</v>
      </c>
      <c r="S15" s="1588">
        <f t="shared" si="0"/>
        <v>100</v>
      </c>
      <c r="T15" s="1587" t="s">
        <v>1517</v>
      </c>
      <c r="U15" s="1588">
        <f t="shared" si="1"/>
        <v>100</v>
      </c>
      <c r="V15" s="1587" t="s">
        <v>1517</v>
      </c>
      <c r="W15" s="1588">
        <f t="shared" si="2"/>
        <v>100</v>
      </c>
      <c r="X15" s="1581"/>
      <c r="Y15" s="3700" t="s">
        <v>1528</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696"/>
      <c r="Q16" s="974"/>
      <c r="R16" s="1587"/>
      <c r="S16" s="1588"/>
      <c r="T16" s="1587"/>
      <c r="U16" s="1588"/>
      <c r="V16" s="1587"/>
      <c r="W16" s="1588"/>
      <c r="X16" s="1581"/>
      <c r="Y16" s="3701"/>
      <c r="Z16" s="1571"/>
      <c r="AA16" s="1597">
        <v>1</v>
      </c>
      <c r="AB16" s="1597">
        <v>1</v>
      </c>
      <c r="AC16" s="1597">
        <v>1</v>
      </c>
    </row>
    <row r="17" spans="1:29" ht="15">
      <c r="A17" s="1412"/>
      <c r="B17" s="1721" t="s">
        <v>1529</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696"/>
      <c r="Q17" s="974" t="str">
        <f>B17</f>
        <v>交通便捷度</v>
      </c>
      <c r="R17" s="1587" t="s">
        <v>1517</v>
      </c>
      <c r="S17" s="1588">
        <f>F17</f>
        <v>100</v>
      </c>
      <c r="T17" s="1587" t="s">
        <v>1517</v>
      </c>
      <c r="U17" s="1588">
        <f>H17</f>
        <v>100</v>
      </c>
      <c r="V17" s="1587" t="s">
        <v>1517</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696"/>
      <c r="Q18" s="974"/>
      <c r="R18" s="1587"/>
      <c r="S18" s="1588"/>
      <c r="T18" s="1587"/>
      <c r="U18" s="1588"/>
      <c r="V18" s="1587"/>
      <c r="W18" s="1588"/>
      <c r="X18" s="1581"/>
      <c r="Y18" s="3701"/>
      <c r="Z18" s="1571"/>
      <c r="AA18" s="1597">
        <v>1</v>
      </c>
      <c r="AB18" s="1597">
        <v>1</v>
      </c>
      <c r="AC18" s="1597">
        <v>1</v>
      </c>
    </row>
    <row r="19" spans="1:29" ht="15">
      <c r="A19" s="1412"/>
      <c r="B19" s="1721" t="s">
        <v>1530</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696"/>
      <c r="Q19" s="974" t="str">
        <f>B19</f>
        <v>公共配套设施</v>
      </c>
      <c r="R19" s="1587" t="s">
        <v>1517</v>
      </c>
      <c r="S19" s="1588">
        <f>F19</f>
        <v>100</v>
      </c>
      <c r="T19" s="1587" t="s">
        <v>1517</v>
      </c>
      <c r="U19" s="1588">
        <f>H19</f>
        <v>100</v>
      </c>
      <c r="V19" s="1587" t="s">
        <v>1517</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696"/>
      <c r="Q20" s="974"/>
      <c r="R20" s="1587"/>
      <c r="S20" s="1588"/>
      <c r="T20" s="1587"/>
      <c r="U20" s="1588"/>
      <c r="V20" s="1587"/>
      <c r="W20" s="1588"/>
      <c r="X20" s="1581"/>
      <c r="Y20" s="3701"/>
      <c r="Z20" s="1571"/>
      <c r="AA20" s="1597">
        <v>1</v>
      </c>
      <c r="AB20" s="1597">
        <v>1</v>
      </c>
      <c r="AC20" s="1597">
        <v>1</v>
      </c>
    </row>
    <row r="21" spans="1:29" ht="15">
      <c r="A21" s="1412"/>
      <c r="B21" s="1725" t="s">
        <v>1531</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696"/>
      <c r="Q21" s="974" t="str">
        <f>B21</f>
        <v>基础设施水平</v>
      </c>
      <c r="R21" s="1587" t="s">
        <v>1517</v>
      </c>
      <c r="S21" s="1588">
        <f>F21</f>
        <v>100</v>
      </c>
      <c r="T21" s="1587" t="s">
        <v>1517</v>
      </c>
      <c r="U21" s="1588">
        <f>H21</f>
        <v>100</v>
      </c>
      <c r="V21" s="1587" t="s">
        <v>1517</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696"/>
      <c r="Q22" s="974"/>
      <c r="R22" s="1587"/>
      <c r="S22" s="1588"/>
      <c r="T22" s="1587"/>
      <c r="U22" s="1588"/>
      <c r="V22" s="1587"/>
      <c r="W22" s="1588"/>
      <c r="X22" s="1581"/>
      <c r="Y22" s="3701"/>
      <c r="Z22" s="1571"/>
      <c r="AA22" s="1597">
        <v>1</v>
      </c>
      <c r="AB22" s="1597">
        <v>1</v>
      </c>
      <c r="AC22" s="1597">
        <v>1</v>
      </c>
    </row>
    <row r="23" spans="1:29" ht="15">
      <c r="A23" s="1412"/>
      <c r="B23" s="1721" t="s">
        <v>1532</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696"/>
      <c r="Q23" s="974" t="str">
        <f>B23</f>
        <v>自然及人文环境</v>
      </c>
      <c r="R23" s="1587" t="s">
        <v>1517</v>
      </c>
      <c r="S23" s="1588">
        <f>F23</f>
        <v>100</v>
      </c>
      <c r="T23" s="1587" t="s">
        <v>1517</v>
      </c>
      <c r="U23" s="1588">
        <f>H23</f>
        <v>100</v>
      </c>
      <c r="V23" s="1587" t="s">
        <v>1517</v>
      </c>
      <c r="W23" s="1588">
        <f>J23</f>
        <v>100</v>
      </c>
      <c r="X23" s="1581"/>
      <c r="Y23" s="3701"/>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696"/>
      <c r="Q24" s="974"/>
      <c r="R24" s="1587"/>
      <c r="S24" s="1588"/>
      <c r="T24" s="1587"/>
      <c r="U24" s="1588"/>
      <c r="V24" s="1587"/>
      <c r="W24" s="1588"/>
      <c r="X24" s="1581"/>
      <c r="Y24" s="3701"/>
      <c r="Z24" s="1571"/>
      <c r="AA24" s="1597">
        <v>1</v>
      </c>
      <c r="AB24" s="1597">
        <v>1</v>
      </c>
      <c r="AC24" s="1597">
        <v>1</v>
      </c>
    </row>
    <row r="25" spans="1:29" ht="15">
      <c r="A25" s="1412"/>
      <c r="B25" s="1409" t="s">
        <v>1591</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696"/>
      <c r="Q25" s="974" t="str">
        <f t="shared" ref="Q25:Q46" si="11">B25</f>
        <v>临街状况</v>
      </c>
      <c r="R25" s="1587" t="s">
        <v>1517</v>
      </c>
      <c r="S25" s="1588">
        <f>F25</f>
        <v>100</v>
      </c>
      <c r="T25" s="1587" t="s">
        <v>1517</v>
      </c>
      <c r="U25" s="1588">
        <f>H25</f>
        <v>100</v>
      </c>
      <c r="V25" s="1587" t="s">
        <v>1517</v>
      </c>
      <c r="W25" s="1588">
        <f>J25</f>
        <v>100</v>
      </c>
      <c r="X25" s="1581"/>
      <c r="Y25" s="3701"/>
      <c r="Z25" s="1571" t="str">
        <f>Q25</f>
        <v>临街状况</v>
      </c>
      <c r="AA25" s="1597">
        <f t="shared" si="3"/>
        <v>1</v>
      </c>
      <c r="AB25" s="1597">
        <f t="shared" si="4"/>
        <v>1</v>
      </c>
      <c r="AC25" s="1597">
        <f t="shared" si="5"/>
        <v>1</v>
      </c>
    </row>
    <row r="26" spans="1:29" ht="15">
      <c r="A26" s="1412"/>
      <c r="B26" s="1726" t="s">
        <v>1592</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696"/>
      <c r="Q26" s="974" t="str">
        <f t="shared" si="11"/>
        <v>平面位置/可视性</v>
      </c>
      <c r="R26" s="1587" t="s">
        <v>1517</v>
      </c>
      <c r="S26" s="1588">
        <f>F26</f>
        <v>100</v>
      </c>
      <c r="T26" s="1587" t="s">
        <v>1517</v>
      </c>
      <c r="U26" s="1588">
        <f>H26</f>
        <v>100</v>
      </c>
      <c r="V26" s="1587" t="s">
        <v>1517</v>
      </c>
      <c r="W26" s="1588">
        <f>J26</f>
        <v>100</v>
      </c>
      <c r="X26" s="1581"/>
      <c r="Y26" s="3701"/>
      <c r="Z26" s="1571" t="str">
        <f>Q26</f>
        <v>平面位置/可视性</v>
      </c>
      <c r="AA26" s="1597">
        <f t="shared" si="3"/>
        <v>1</v>
      </c>
      <c r="AB26" s="1597">
        <f t="shared" si="4"/>
        <v>1</v>
      </c>
      <c r="AC26" s="1597">
        <f t="shared" si="5"/>
        <v>1</v>
      </c>
    </row>
    <row r="27" spans="1:29" s="1371" customFormat="1" ht="15">
      <c r="A27" s="1415"/>
      <c r="B27" s="1721" t="s">
        <v>1593</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696"/>
      <c r="Q27" s="1586" t="str">
        <f t="shared" si="11"/>
        <v>人流量</v>
      </c>
      <c r="R27" s="1582" t="s">
        <v>1517</v>
      </c>
      <c r="S27" s="1583">
        <f>F27</f>
        <v>100</v>
      </c>
      <c r="T27" s="1582" t="s">
        <v>1517</v>
      </c>
      <c r="U27" s="1583">
        <f>H27</f>
        <v>100</v>
      </c>
      <c r="V27" s="1582" t="s">
        <v>1517</v>
      </c>
      <c r="W27" s="1583">
        <f>J27</f>
        <v>100</v>
      </c>
      <c r="X27" s="1584"/>
      <c r="Y27" s="3701"/>
      <c r="Z27" s="1596" t="str">
        <f>Q27</f>
        <v>人流量</v>
      </c>
      <c r="AA27" s="1597">
        <f t="shared" si="3"/>
        <v>1</v>
      </c>
      <c r="AB27" s="1597">
        <f t="shared" si="4"/>
        <v>1</v>
      </c>
      <c r="AC27" s="1597">
        <f t="shared" si="5"/>
        <v>1</v>
      </c>
    </row>
    <row r="28" spans="1:29" ht="15">
      <c r="A28" s="1412"/>
      <c r="B28" s="1409" t="s">
        <v>1594</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696"/>
      <c r="Q28" s="974" t="str">
        <f t="shared" si="11"/>
        <v>楼层</v>
      </c>
      <c r="R28" s="1587" t="s">
        <v>1517</v>
      </c>
      <c r="S28" s="1588">
        <f t="shared" ref="S28:S46" si="12">F28</f>
        <v>100</v>
      </c>
      <c r="T28" s="1587" t="s">
        <v>1517</v>
      </c>
      <c r="U28" s="1588">
        <f t="shared" ref="U28:U46" si="13">H28</f>
        <v>100</v>
      </c>
      <c r="V28" s="1587" t="s">
        <v>1517</v>
      </c>
      <c r="W28" s="1588">
        <f t="shared" ref="W28:W46" si="14">J28</f>
        <v>100</v>
      </c>
      <c r="X28" s="1581"/>
      <c r="Y28" s="3701"/>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696"/>
      <c r="Q29" s="974">
        <f t="shared" si="11"/>
        <v>111</v>
      </c>
      <c r="R29" s="1587" t="s">
        <v>1517</v>
      </c>
      <c r="S29" s="1588">
        <f t="shared" si="12"/>
        <v>100</v>
      </c>
      <c r="T29" s="1587" t="s">
        <v>1517</v>
      </c>
      <c r="U29" s="1588">
        <f t="shared" si="13"/>
        <v>100</v>
      </c>
      <c r="V29" s="1587" t="s">
        <v>1517</v>
      </c>
      <c r="W29" s="1588">
        <f t="shared" si="14"/>
        <v>100</v>
      </c>
      <c r="X29" s="1581"/>
      <c r="Y29" s="3701"/>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696"/>
      <c r="Q30" s="974">
        <f t="shared" si="11"/>
        <v>111</v>
      </c>
      <c r="R30" s="1587" t="s">
        <v>1517</v>
      </c>
      <c r="S30" s="1588">
        <f t="shared" si="12"/>
        <v>100</v>
      </c>
      <c r="T30" s="1587" t="s">
        <v>1517</v>
      </c>
      <c r="U30" s="1588">
        <f t="shared" si="13"/>
        <v>100</v>
      </c>
      <c r="V30" s="1587" t="s">
        <v>1517</v>
      </c>
      <c r="W30" s="1588">
        <f t="shared" si="14"/>
        <v>100</v>
      </c>
      <c r="X30" s="1581"/>
      <c r="Y30" s="3701"/>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696"/>
      <c r="Q31" s="974">
        <f t="shared" si="11"/>
        <v>111</v>
      </c>
      <c r="R31" s="1587" t="s">
        <v>1517</v>
      </c>
      <c r="S31" s="1588">
        <f t="shared" si="12"/>
        <v>100</v>
      </c>
      <c r="T31" s="1587" t="s">
        <v>1517</v>
      </c>
      <c r="U31" s="1588">
        <f t="shared" si="13"/>
        <v>100</v>
      </c>
      <c r="V31" s="1587" t="s">
        <v>1517</v>
      </c>
      <c r="W31" s="1588">
        <f t="shared" si="14"/>
        <v>100</v>
      </c>
      <c r="X31" s="1581"/>
      <c r="Y31" s="3701"/>
      <c r="Z31" s="1571">
        <f t="shared" si="15"/>
        <v>111</v>
      </c>
      <c r="AA31" s="1597">
        <f t="shared" si="3"/>
        <v>1</v>
      </c>
      <c r="AB31" s="1597">
        <f t="shared" si="4"/>
        <v>1</v>
      </c>
      <c r="AC31" s="1597">
        <f t="shared" si="5"/>
        <v>1</v>
      </c>
    </row>
    <row r="32" spans="1:29" ht="15">
      <c r="A32" s="1426" t="s">
        <v>1535</v>
      </c>
      <c r="B32" s="1405" t="s">
        <v>1595</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697" t="s">
        <v>1537</v>
      </c>
      <c r="Q32" s="974" t="str">
        <f t="shared" si="11"/>
        <v>商业类型</v>
      </c>
      <c r="R32" s="1587" t="s">
        <v>1517</v>
      </c>
      <c r="S32" s="1588">
        <f t="shared" si="12"/>
        <v>100</v>
      </c>
      <c r="T32" s="1587" t="s">
        <v>1517</v>
      </c>
      <c r="U32" s="1588">
        <f t="shared" si="13"/>
        <v>100</v>
      </c>
      <c r="V32" s="1587" t="s">
        <v>1517</v>
      </c>
      <c r="W32" s="1588">
        <f t="shared" si="14"/>
        <v>100</v>
      </c>
      <c r="X32" s="1581"/>
      <c r="Y32" s="3702" t="s">
        <v>1537</v>
      </c>
      <c r="Z32" s="1571" t="str">
        <f t="shared" si="15"/>
        <v>商业类型</v>
      </c>
      <c r="AA32" s="1597">
        <f t="shared" si="3"/>
        <v>1</v>
      </c>
      <c r="AB32" s="1597">
        <f t="shared" si="4"/>
        <v>1</v>
      </c>
      <c r="AC32" s="1597">
        <f t="shared" si="5"/>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698"/>
      <c r="Q33" s="1814" t="str">
        <f t="shared" si="11"/>
        <v>项目建筑规模</v>
      </c>
      <c r="R33" s="1589" t="s">
        <v>1517</v>
      </c>
      <c r="S33" s="1590" t="e">
        <f t="shared" si="12"/>
        <v>#N/A</v>
      </c>
      <c r="T33" s="1589" t="s">
        <v>1517</v>
      </c>
      <c r="U33" s="1590" t="e">
        <f t="shared" si="13"/>
        <v>#N/A</v>
      </c>
      <c r="V33" s="1589" t="s">
        <v>1517</v>
      </c>
      <c r="W33" s="1590" t="e">
        <f t="shared" si="14"/>
        <v>#N/A</v>
      </c>
      <c r="X33" s="1591"/>
      <c r="Y33" s="3702"/>
      <c r="Z33" s="1598" t="str">
        <f t="shared" si="15"/>
        <v>项目建筑规模</v>
      </c>
      <c r="AA33" s="1597" t="e">
        <f t="shared" si="3"/>
        <v>#N/A</v>
      </c>
      <c r="AB33" s="1597" t="e">
        <f t="shared" si="4"/>
        <v>#N/A</v>
      </c>
      <c r="AC33" s="1597" t="e">
        <f t="shared" si="5"/>
        <v>#N/A</v>
      </c>
    </row>
    <row r="34" spans="1:29" ht="15">
      <c r="A34" s="1463"/>
      <c r="B34" s="1409" t="s">
        <v>1539</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698"/>
      <c r="Q34" s="974" t="str">
        <f t="shared" si="11"/>
        <v>建筑结构</v>
      </c>
      <c r="R34" s="1587" t="s">
        <v>1517</v>
      </c>
      <c r="S34" s="1588">
        <f t="shared" si="12"/>
        <v>100</v>
      </c>
      <c r="T34" s="1587" t="s">
        <v>1517</v>
      </c>
      <c r="U34" s="1588">
        <f t="shared" si="13"/>
        <v>100</v>
      </c>
      <c r="V34" s="1587" t="s">
        <v>1517</v>
      </c>
      <c r="W34" s="1588">
        <f t="shared" si="14"/>
        <v>100</v>
      </c>
      <c r="X34" s="1581"/>
      <c r="Y34" s="3702"/>
      <c r="Z34" s="1571" t="str">
        <f t="shared" si="15"/>
        <v>建筑结构</v>
      </c>
      <c r="AA34" s="1597">
        <f t="shared" si="3"/>
        <v>1</v>
      </c>
      <c r="AB34" s="1597">
        <f t="shared" si="4"/>
        <v>1</v>
      </c>
      <c r="AC34" s="1597">
        <f t="shared" si="5"/>
        <v>1</v>
      </c>
    </row>
    <row r="35" spans="1:29" ht="15">
      <c r="A35" s="1463"/>
      <c r="B35" s="1409" t="s">
        <v>1541</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698"/>
      <c r="Q35" s="974" t="str">
        <f t="shared" si="11"/>
        <v>公共部分装修</v>
      </c>
      <c r="R35" s="1587" t="s">
        <v>1517</v>
      </c>
      <c r="S35" s="1588">
        <f t="shared" si="12"/>
        <v>100</v>
      </c>
      <c r="T35" s="1587" t="s">
        <v>1517</v>
      </c>
      <c r="U35" s="1588">
        <f t="shared" si="13"/>
        <v>100</v>
      </c>
      <c r="V35" s="1587" t="s">
        <v>1517</v>
      </c>
      <c r="W35" s="1588">
        <f t="shared" si="14"/>
        <v>100</v>
      </c>
      <c r="X35" s="1581"/>
      <c r="Y35" s="3702"/>
      <c r="Z35" s="1571" t="str">
        <f t="shared" si="15"/>
        <v>公共部分装修</v>
      </c>
      <c r="AA35" s="1597">
        <f t="shared" si="3"/>
        <v>1</v>
      </c>
      <c r="AB35" s="1597">
        <f t="shared" si="4"/>
        <v>1</v>
      </c>
      <c r="AC35" s="1597">
        <f t="shared" si="5"/>
        <v>1</v>
      </c>
    </row>
    <row r="36" spans="1:29" ht="15">
      <c r="A36" s="1463"/>
      <c r="B36" s="1409" t="s">
        <v>684</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698"/>
      <c r="Q36" s="974" t="str">
        <f t="shared" si="11"/>
        <v>成新度</v>
      </c>
      <c r="R36" s="1587" t="s">
        <v>1517</v>
      </c>
      <c r="S36" s="1588" t="e">
        <f t="shared" si="12"/>
        <v>#N/A</v>
      </c>
      <c r="T36" s="1587" t="s">
        <v>1517</v>
      </c>
      <c r="U36" s="1588" t="e">
        <f t="shared" si="13"/>
        <v>#N/A</v>
      </c>
      <c r="V36" s="1587" t="s">
        <v>1517</v>
      </c>
      <c r="W36" s="1588" t="e">
        <f t="shared" si="14"/>
        <v>#N/A</v>
      </c>
      <c r="X36" s="1581"/>
      <c r="Y36" s="3702"/>
      <c r="Z36" s="1571" t="str">
        <f t="shared" si="15"/>
        <v>成新度</v>
      </c>
      <c r="AA36" s="1597" t="e">
        <f t="shared" si="3"/>
        <v>#N/A</v>
      </c>
      <c r="AB36" s="1597" t="e">
        <f t="shared" si="4"/>
        <v>#N/A</v>
      </c>
      <c r="AC36" s="1597" t="e">
        <f t="shared" si="5"/>
        <v>#N/A</v>
      </c>
    </row>
    <row r="37" spans="1:29" s="1371" customFormat="1" ht="15">
      <c r="A37" s="1465"/>
      <c r="B37" s="1409" t="s">
        <v>1543</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698"/>
      <c r="Q37" s="1586" t="str">
        <f t="shared" si="11"/>
        <v>市政基础设施</v>
      </c>
      <c r="R37" s="1582" t="s">
        <v>1517</v>
      </c>
      <c r="S37" s="1583">
        <f t="shared" si="12"/>
        <v>100</v>
      </c>
      <c r="T37" s="1582" t="s">
        <v>1517</v>
      </c>
      <c r="U37" s="1583">
        <f t="shared" si="13"/>
        <v>100</v>
      </c>
      <c r="V37" s="1582" t="s">
        <v>1517</v>
      </c>
      <c r="W37" s="1583">
        <f t="shared" si="14"/>
        <v>100</v>
      </c>
      <c r="X37" s="1584"/>
      <c r="Y37" s="3702"/>
      <c r="Z37" s="1596" t="str">
        <f t="shared" si="15"/>
        <v>市政基础设施</v>
      </c>
      <c r="AA37" s="1595">
        <f t="shared" si="3"/>
        <v>1</v>
      </c>
      <c r="AB37" s="1595">
        <f t="shared" si="4"/>
        <v>1</v>
      </c>
      <c r="AC37" s="1595">
        <f t="shared" si="5"/>
        <v>1</v>
      </c>
    </row>
    <row r="38" spans="1:29" ht="15">
      <c r="A38" s="1463"/>
      <c r="B38" s="1409" t="s">
        <v>1596</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698" t="s">
        <v>1537</v>
      </c>
      <c r="Q38" s="974" t="str">
        <f t="shared" si="11"/>
        <v>业态</v>
      </c>
      <c r="R38" s="1587" t="s">
        <v>1517</v>
      </c>
      <c r="S38" s="1588">
        <f t="shared" si="12"/>
        <v>100</v>
      </c>
      <c r="T38" s="1587" t="s">
        <v>1517</v>
      </c>
      <c r="U38" s="1588">
        <f t="shared" si="13"/>
        <v>100</v>
      </c>
      <c r="V38" s="1587" t="s">
        <v>1517</v>
      </c>
      <c r="W38" s="1588">
        <f t="shared" si="14"/>
        <v>100</v>
      </c>
      <c r="X38" s="1581"/>
      <c r="Y38" s="3702" t="s">
        <v>1537</v>
      </c>
      <c r="Z38" s="1571" t="str">
        <f t="shared" si="15"/>
        <v>业态</v>
      </c>
      <c r="AA38" s="1597">
        <f t="shared" si="3"/>
        <v>1</v>
      </c>
      <c r="AB38" s="1597">
        <f t="shared" si="4"/>
        <v>1</v>
      </c>
      <c r="AC38" s="1597">
        <f t="shared" si="5"/>
        <v>1</v>
      </c>
    </row>
    <row r="39" spans="1:29" ht="15">
      <c r="A39" s="1463"/>
      <c r="B39" s="1409" t="s">
        <v>1597</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698"/>
      <c r="Q39" s="974" t="str">
        <f t="shared" si="11"/>
        <v>层高</v>
      </c>
      <c r="R39" s="1587" t="s">
        <v>1517</v>
      </c>
      <c r="S39" s="1588">
        <f t="shared" si="12"/>
        <v>100</v>
      </c>
      <c r="T39" s="1587" t="s">
        <v>1517</v>
      </c>
      <c r="U39" s="1588">
        <f t="shared" si="13"/>
        <v>100</v>
      </c>
      <c r="V39" s="1587" t="s">
        <v>1517</v>
      </c>
      <c r="W39" s="1588">
        <f t="shared" si="14"/>
        <v>100</v>
      </c>
      <c r="X39" s="1581"/>
      <c r="Y39" s="3702"/>
      <c r="Z39" s="1571" t="str">
        <f t="shared" si="15"/>
        <v>层高</v>
      </c>
      <c r="AA39" s="1597">
        <f t="shared" si="3"/>
        <v>1</v>
      </c>
      <c r="AB39" s="1597">
        <f t="shared" si="4"/>
        <v>1</v>
      </c>
      <c r="AC39" s="1597">
        <f t="shared" si="5"/>
        <v>1</v>
      </c>
    </row>
    <row r="40" spans="1:29" ht="15">
      <c r="A40" s="1463"/>
      <c r="B40" s="1409" t="s">
        <v>1598</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698"/>
      <c r="Q40" s="974" t="str">
        <f t="shared" si="11"/>
        <v>单套建筑面积</v>
      </c>
      <c r="R40" s="1587" t="s">
        <v>1517</v>
      </c>
      <c r="S40" s="1588">
        <f t="shared" si="12"/>
        <v>100</v>
      </c>
      <c r="T40" s="1587" t="s">
        <v>1517</v>
      </c>
      <c r="U40" s="1588">
        <f t="shared" si="13"/>
        <v>100</v>
      </c>
      <c r="V40" s="1587" t="s">
        <v>1517</v>
      </c>
      <c r="W40" s="1588">
        <f t="shared" si="14"/>
        <v>100</v>
      </c>
      <c r="X40" s="1581"/>
      <c r="Y40" s="3702"/>
      <c r="Z40" s="1571" t="str">
        <f t="shared" si="15"/>
        <v>单套建筑面积</v>
      </c>
      <c r="AA40" s="1597">
        <f t="shared" si="3"/>
        <v>1</v>
      </c>
      <c r="AB40" s="1597">
        <f t="shared" si="4"/>
        <v>1</v>
      </c>
      <c r="AC40" s="1597">
        <f t="shared" si="5"/>
        <v>1</v>
      </c>
    </row>
    <row r="41" spans="1:29" s="1373" customFormat="1" ht="15">
      <c r="A41" s="1468"/>
      <c r="B41" s="1566" t="s">
        <v>1599</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698"/>
      <c r="Q41" s="1814" t="str">
        <f t="shared" si="11"/>
        <v>进深比</v>
      </c>
      <c r="R41" s="1589" t="s">
        <v>1517</v>
      </c>
      <c r="S41" s="1590">
        <f t="shared" si="12"/>
        <v>100</v>
      </c>
      <c r="T41" s="1589" t="s">
        <v>1517</v>
      </c>
      <c r="U41" s="1590">
        <f t="shared" si="13"/>
        <v>100</v>
      </c>
      <c r="V41" s="1589" t="s">
        <v>1517</v>
      </c>
      <c r="W41" s="1590">
        <f t="shared" si="14"/>
        <v>100</v>
      </c>
      <c r="X41" s="1591"/>
      <c r="Y41" s="3702"/>
      <c r="Z41" s="1598" t="str">
        <f t="shared" si="15"/>
        <v>进深比</v>
      </c>
      <c r="AA41" s="1597">
        <f t="shared" si="3"/>
        <v>1</v>
      </c>
      <c r="AB41" s="1597">
        <f t="shared" si="4"/>
        <v>1</v>
      </c>
      <c r="AC41" s="1597">
        <f t="shared" si="5"/>
        <v>1</v>
      </c>
    </row>
    <row r="42" spans="1:29" ht="15">
      <c r="A42" s="1463"/>
      <c r="B42" s="1409" t="s">
        <v>1546</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698"/>
      <c r="Q42" s="974" t="str">
        <f t="shared" si="11"/>
        <v>内部装修</v>
      </c>
      <c r="R42" s="1587" t="s">
        <v>1517</v>
      </c>
      <c r="S42" s="1588">
        <f t="shared" si="12"/>
        <v>100</v>
      </c>
      <c r="T42" s="1587" t="s">
        <v>1517</v>
      </c>
      <c r="U42" s="1588">
        <f t="shared" si="13"/>
        <v>100</v>
      </c>
      <c r="V42" s="1587" t="s">
        <v>1517</v>
      </c>
      <c r="W42" s="1588">
        <f t="shared" si="14"/>
        <v>100</v>
      </c>
      <c r="X42" s="1581"/>
      <c r="Y42" s="3702"/>
      <c r="Z42" s="1571" t="str">
        <f t="shared" si="15"/>
        <v>内部装修</v>
      </c>
      <c r="AA42" s="1597">
        <f t="shared" si="3"/>
        <v>1</v>
      </c>
      <c r="AB42" s="1597">
        <f t="shared" si="4"/>
        <v>1</v>
      </c>
      <c r="AC42" s="1597">
        <f t="shared" si="5"/>
        <v>1</v>
      </c>
    </row>
    <row r="43" spans="1:29" ht="15">
      <c r="A43" s="1463"/>
      <c r="B43" s="1409" t="s">
        <v>1547</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698"/>
      <c r="Q43" s="974" t="str">
        <f t="shared" si="11"/>
        <v>内部装修维护情况</v>
      </c>
      <c r="R43" s="1587" t="s">
        <v>1517</v>
      </c>
      <c r="S43" s="1588">
        <f t="shared" si="12"/>
        <v>100</v>
      </c>
      <c r="T43" s="1587" t="s">
        <v>1517</v>
      </c>
      <c r="U43" s="1588">
        <f t="shared" si="13"/>
        <v>100</v>
      </c>
      <c r="V43" s="1587" t="s">
        <v>1517</v>
      </c>
      <c r="W43" s="1588">
        <f t="shared" si="14"/>
        <v>100</v>
      </c>
      <c r="X43" s="1581"/>
      <c r="Y43" s="3702"/>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698"/>
      <c r="Q44" s="1586">
        <f t="shared" si="11"/>
        <v>111</v>
      </c>
      <c r="R44" s="1582" t="s">
        <v>1517</v>
      </c>
      <c r="S44" s="1583">
        <f t="shared" si="12"/>
        <v>100</v>
      </c>
      <c r="T44" s="1582" t="s">
        <v>1517</v>
      </c>
      <c r="U44" s="1583">
        <f t="shared" si="13"/>
        <v>100</v>
      </c>
      <c r="V44" s="1582" t="s">
        <v>1517</v>
      </c>
      <c r="W44" s="1583">
        <f t="shared" si="14"/>
        <v>100</v>
      </c>
      <c r="X44" s="1584"/>
      <c r="Y44" s="3702"/>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698"/>
      <c r="Q45" s="974">
        <f t="shared" si="11"/>
        <v>111</v>
      </c>
      <c r="R45" s="1587" t="s">
        <v>1517</v>
      </c>
      <c r="S45" s="1588">
        <f t="shared" si="12"/>
        <v>100</v>
      </c>
      <c r="T45" s="1587" t="s">
        <v>1517</v>
      </c>
      <c r="U45" s="1588">
        <f t="shared" si="13"/>
        <v>100</v>
      </c>
      <c r="V45" s="1587" t="s">
        <v>1517</v>
      </c>
      <c r="W45" s="1588">
        <f t="shared" si="14"/>
        <v>100</v>
      </c>
      <c r="X45" s="1581"/>
      <c r="Y45" s="3702"/>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699"/>
      <c r="Q46" s="974">
        <f t="shared" si="11"/>
        <v>111</v>
      </c>
      <c r="R46" s="1587" t="s">
        <v>1517</v>
      </c>
      <c r="S46" s="1588">
        <f t="shared" si="12"/>
        <v>100</v>
      </c>
      <c r="T46" s="1587" t="s">
        <v>1517</v>
      </c>
      <c r="U46" s="1588">
        <f t="shared" si="13"/>
        <v>100</v>
      </c>
      <c r="V46" s="1587" t="s">
        <v>1517</v>
      </c>
      <c r="W46" s="1588">
        <f t="shared" si="14"/>
        <v>100</v>
      </c>
      <c r="X46" s="1581"/>
      <c r="Y46" s="3703"/>
      <c r="Z46" s="1571">
        <f t="shared" si="15"/>
        <v>111</v>
      </c>
      <c r="AA46" s="1597">
        <f t="shared" si="3"/>
        <v>1</v>
      </c>
      <c r="AB46" s="1597">
        <f t="shared" si="4"/>
        <v>1</v>
      </c>
      <c r="AC46" s="1597">
        <f t="shared" si="5"/>
        <v>1</v>
      </c>
    </row>
    <row r="47" spans="1:29" ht="15">
      <c r="A47" s="1470" t="s">
        <v>1548</v>
      </c>
      <c r="B47" s="1789"/>
      <c r="C47" s="1790" t="s">
        <v>124</v>
      </c>
      <c r="D47" s="1791"/>
      <c r="E47" s="1792"/>
      <c r="F47" s="1793"/>
      <c r="G47" s="1794"/>
      <c r="H47" s="1795"/>
      <c r="I47" s="1792"/>
      <c r="J47" s="1795"/>
      <c r="K47" s="1562"/>
      <c r="L47" s="1563"/>
      <c r="M47" s="1487"/>
      <c r="N47" s="1539"/>
      <c r="O47" s="1487"/>
      <c r="P47" s="3692" t="str">
        <f>A47</f>
        <v>成交单价（元/平方米）</v>
      </c>
      <c r="Q47" s="3692"/>
      <c r="R47" s="3722">
        <f>E47</f>
        <v>0</v>
      </c>
      <c r="S47" s="3722"/>
      <c r="T47" s="3722">
        <f>G47</f>
        <v>0</v>
      </c>
      <c r="U47" s="3722"/>
      <c r="V47" s="3722">
        <f>I47</f>
        <v>0</v>
      </c>
      <c r="W47" s="3722"/>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1564">
        <f>F48+H48+J48</f>
        <v>0</v>
      </c>
      <c r="L48" s="1563"/>
      <c r="M48" s="1487"/>
      <c r="N48" s="1539"/>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1551</v>
      </c>
      <c r="B49" s="1485"/>
      <c r="C49" s="1799" t="e">
        <f>R49</f>
        <v>#DIV/0!</v>
      </c>
      <c r="D49" s="1799"/>
      <c r="E49" s="1799"/>
      <c r="F49" s="1799"/>
      <c r="G49" s="1799"/>
      <c r="H49" s="1799"/>
      <c r="I49" s="1799"/>
      <c r="J49" s="1799"/>
      <c r="K49" s="1565"/>
      <c r="L49" s="1563"/>
      <c r="M49" s="1487"/>
      <c r="N49" s="1539"/>
      <c r="O49" s="14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1555</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1515</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1556</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1518</v>
      </c>
      <c r="B61" s="1611"/>
      <c r="C61" s="1612" t="s">
        <v>1557</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1558</v>
      </c>
      <c r="B63" s="1617" t="s">
        <v>1521</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1524</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1525</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1526</v>
      </c>
      <c r="B76" s="1617" t="s">
        <v>1527</v>
      </c>
      <c r="C76" s="1638" t="s">
        <v>1559</v>
      </c>
      <c r="D76" s="1638" t="s">
        <v>1560</v>
      </c>
      <c r="E76" s="1638" t="s">
        <v>1561</v>
      </c>
      <c r="F76" s="1638" t="s">
        <v>1562</v>
      </c>
      <c r="G76" s="1638" t="s">
        <v>1563</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1529</v>
      </c>
      <c r="C78" s="1640" t="s">
        <v>1559</v>
      </c>
      <c r="D78" s="1640" t="s">
        <v>1560</v>
      </c>
      <c r="E78" s="1640" t="s">
        <v>1561</v>
      </c>
      <c r="F78" s="1640" t="s">
        <v>1562</v>
      </c>
      <c r="G78" s="1640" t="s">
        <v>1563</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1530</v>
      </c>
      <c r="C80" s="1640" t="s">
        <v>1559</v>
      </c>
      <c r="D80" s="1640" t="s">
        <v>1560</v>
      </c>
      <c r="E80" s="1640" t="s">
        <v>1561</v>
      </c>
      <c r="F80" s="1640" t="s">
        <v>1562</v>
      </c>
      <c r="G80" s="1640" t="s">
        <v>1563</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1531</v>
      </c>
      <c r="C82" s="1645" t="s">
        <v>1564</v>
      </c>
      <c r="D82" s="1645" t="s">
        <v>1565</v>
      </c>
      <c r="E82" s="1645" t="s">
        <v>1566</v>
      </c>
      <c r="F82" s="1645" t="s">
        <v>1567</v>
      </c>
      <c r="G82" s="1645" t="s">
        <v>1568</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1532</v>
      </c>
      <c r="C84" s="1640" t="s">
        <v>1559</v>
      </c>
      <c r="D84" s="1640" t="s">
        <v>1560</v>
      </c>
      <c r="E84" s="1640" t="s">
        <v>1561</v>
      </c>
      <c r="F84" s="1640" t="s">
        <v>1562</v>
      </c>
      <c r="G84" s="1640" t="s">
        <v>1563</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1591</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1535</v>
      </c>
      <c r="B100" s="1617" t="s">
        <v>1595</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1538</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1539</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1541</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1543</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1596</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1597</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1598</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1600</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1546</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1547</v>
      </c>
      <c r="C124" s="1640" t="s">
        <v>1559</v>
      </c>
      <c r="D124" s="1640" t="s">
        <v>1560</v>
      </c>
      <c r="E124" s="1640" t="s">
        <v>1561</v>
      </c>
      <c r="F124" s="1640" t="s">
        <v>1562</v>
      </c>
      <c r="G124" s="1640" t="s">
        <v>1563</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 zoomScaleNormal="70" workbookViewId="0">
      <selection activeCell="I34" sqref="I34"/>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1601</v>
      </c>
      <c r="C1" s="1751" t="s">
        <v>1499</v>
      </c>
      <c r="D1" s="1752" t="s">
        <v>230</v>
      </c>
      <c r="E1" s="1753" t="s">
        <v>1602</v>
      </c>
      <c r="F1" s="1754" t="s">
        <v>1603</v>
      </c>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f>IF(E1="项目模式",IF(C2="——",ROUND(C50*D3/10000,0),ROUND(C50*D3/10000,0)-D2),IF(E1="单套模式",IF(C2="——",ROUND(C50*D3/10000,4),ROUND(C50*D3/10000,4)-D2)))</f>
        <v>1912.9152999999999</v>
      </c>
      <c r="C2" s="1759" t="s">
        <v>124</v>
      </c>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f>IF(C2="——",C50,ROUND(B2*10000/D3,0))</f>
        <v>21753</v>
      </c>
      <c r="C3" s="1762" t="s">
        <v>1501</v>
      </c>
      <c r="D3" s="1763">
        <f>IF(D1="",'数据-汇总表'!E3,SUMIF('数据-汇总表'!$C19:$C33,D1,'数据-汇总表'!$E19:$E33))</f>
        <v>879.38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32" t="s">
        <v>1508</v>
      </c>
      <c r="Q4" s="3733"/>
      <c r="R4" s="3736" t="s">
        <v>1504</v>
      </c>
      <c r="S4" s="3737"/>
      <c r="T4" s="3736" t="s">
        <v>1505</v>
      </c>
      <c r="U4" s="3737"/>
      <c r="V4" s="3738" t="s">
        <v>1506</v>
      </c>
      <c r="W4" s="3738"/>
      <c r="X4" s="1943"/>
      <c r="Y4" s="3736" t="s">
        <v>1508</v>
      </c>
      <c r="Z4" s="3737"/>
      <c r="AA4" s="3728" t="s">
        <v>1504</v>
      </c>
      <c r="AB4" s="3728" t="s">
        <v>1505</v>
      </c>
      <c r="AC4" s="3729" t="s">
        <v>1506</v>
      </c>
    </row>
    <row r="5" spans="1:29" ht="15">
      <c r="A5" s="1392"/>
      <c r="B5" s="1393"/>
      <c r="C5" s="3681" t="s">
        <v>1509</v>
      </c>
      <c r="D5" s="3682"/>
      <c r="E5" s="3723" t="s">
        <v>1604</v>
      </c>
      <c r="F5" s="3684"/>
      <c r="G5" s="3723" t="s">
        <v>1604</v>
      </c>
      <c r="H5" s="3684"/>
      <c r="I5" s="3723" t="s">
        <v>1604</v>
      </c>
      <c r="J5" s="3684"/>
      <c r="K5" s="1537"/>
      <c r="L5" s="1538"/>
      <c r="M5" s="1539"/>
      <c r="N5" s="1539"/>
      <c r="O5" s="1539"/>
      <c r="P5" s="3734"/>
      <c r="Q5" s="3713"/>
      <c r="R5" s="3718"/>
      <c r="S5" s="3719"/>
      <c r="T5" s="3718"/>
      <c r="U5" s="3719"/>
      <c r="V5" s="3722"/>
      <c r="W5" s="3722"/>
      <c r="X5" s="1581"/>
      <c r="Y5" s="3718"/>
      <c r="Z5" s="3719"/>
      <c r="AA5" s="3708"/>
      <c r="AB5" s="3708"/>
      <c r="AC5" s="3730"/>
    </row>
    <row r="6" spans="1:29" ht="15">
      <c r="A6" s="1394"/>
      <c r="B6" s="1395"/>
      <c r="C6" s="3685" t="s">
        <v>1513</v>
      </c>
      <c r="D6" s="3686"/>
      <c r="E6" s="3687" t="s">
        <v>1513</v>
      </c>
      <c r="F6" s="3688"/>
      <c r="G6" s="3685" t="s">
        <v>1513</v>
      </c>
      <c r="H6" s="3686"/>
      <c r="I6" s="3685" t="s">
        <v>1513</v>
      </c>
      <c r="J6" s="3686"/>
      <c r="K6" s="1537" t="s">
        <v>1514</v>
      </c>
      <c r="L6" s="1538"/>
      <c r="M6" s="1539"/>
      <c r="N6" s="1539"/>
      <c r="O6" s="1539"/>
      <c r="P6" s="3735"/>
      <c r="Q6" s="3715"/>
      <c r="R6" s="3718"/>
      <c r="S6" s="3719"/>
      <c r="T6" s="3720"/>
      <c r="U6" s="3721"/>
      <c r="V6" s="3722"/>
      <c r="W6" s="3722"/>
      <c r="X6" s="1581"/>
      <c r="Y6" s="3720"/>
      <c r="Z6" s="3721"/>
      <c r="AA6" s="3709"/>
      <c r="AB6" s="3709"/>
      <c r="AC6" s="3731"/>
    </row>
    <row r="7" spans="1:29" s="1371" customFormat="1" ht="15">
      <c r="A7" s="1396" t="s">
        <v>1515</v>
      </c>
      <c r="B7" s="1397"/>
      <c r="C7" s="1398">
        <f>'数据-取费表'!B2</f>
        <v>45874</v>
      </c>
      <c r="D7" s="1399">
        <v>100</v>
      </c>
      <c r="E7" s="1400">
        <f>C7</f>
        <v>45874</v>
      </c>
      <c r="F7" s="1401">
        <f>SUMIF(59:59,YEAR(E7)&amp;"-"&amp;MONTH(E7),60:60)</f>
        <v>100</v>
      </c>
      <c r="G7" s="1400">
        <f>E7</f>
        <v>45874</v>
      </c>
      <c r="H7" s="1399">
        <f>SUMIF(59:59,YEAR(G7)&amp;"-"&amp;MONTH(G7),60:60)</f>
        <v>100</v>
      </c>
      <c r="I7" s="1400">
        <f>G7</f>
        <v>45874</v>
      </c>
      <c r="J7" s="1399">
        <f>SUMIF(59:59,YEAR(I7)&amp;"-"&amp;MONTH(I7),60:60)</f>
        <v>100</v>
      </c>
      <c r="K7" s="1540"/>
      <c r="L7" s="1541"/>
      <c r="M7" s="1542"/>
      <c r="N7" s="1542"/>
      <c r="O7" s="1542"/>
      <c r="P7" s="3724" t="s">
        <v>1516</v>
      </c>
      <c r="Q7" s="3690"/>
      <c r="R7" s="1582" t="s">
        <v>1517</v>
      </c>
      <c r="S7" s="1583">
        <f t="shared" ref="S7:S15" si="0">F7</f>
        <v>100</v>
      </c>
      <c r="T7" s="1582" t="s">
        <v>1517</v>
      </c>
      <c r="U7" s="1583">
        <f t="shared" ref="U7:U15" si="1">H7</f>
        <v>100</v>
      </c>
      <c r="V7" s="1582" t="s">
        <v>1517</v>
      </c>
      <c r="W7" s="1583">
        <f t="shared" ref="W7:W15" si="2">J7</f>
        <v>100</v>
      </c>
      <c r="X7" s="1584"/>
      <c r="Y7" s="3689" t="s">
        <v>1516</v>
      </c>
      <c r="Z7" s="3691"/>
      <c r="AA7" s="1595">
        <f>D7/F7</f>
        <v>1</v>
      </c>
      <c r="AB7" s="1595">
        <f>D7/H7</f>
        <v>1</v>
      </c>
      <c r="AC7" s="1945">
        <f>D7/J7</f>
        <v>1</v>
      </c>
    </row>
    <row r="8" spans="1:29" s="1371" customFormat="1" ht="15">
      <c r="A8" s="1396" t="s">
        <v>1518</v>
      </c>
      <c r="B8" s="1397"/>
      <c r="C8" s="1403" t="s">
        <v>1605</v>
      </c>
      <c r="D8" s="1399">
        <v>100</v>
      </c>
      <c r="E8" s="1403" t="s">
        <v>1606</v>
      </c>
      <c r="F8" s="1401">
        <f>SUMIF(62:62,E8,63:63)-SUMIF(62:62,C8,63:63)+100</f>
        <v>103</v>
      </c>
      <c r="G8" s="1403" t="s">
        <v>1606</v>
      </c>
      <c r="H8" s="1399">
        <f>SUMIF(62:62,G8,63:63)-SUMIF(62:62,C8,63:63)+100</f>
        <v>103</v>
      </c>
      <c r="I8" s="1403" t="s">
        <v>1606</v>
      </c>
      <c r="J8" s="1399">
        <f>SUMIF(62:62,I8,63:63)-SUMIF(62:62,C8,63:63)+100</f>
        <v>103</v>
      </c>
      <c r="K8" s="1540"/>
      <c r="L8" s="1541"/>
      <c r="M8" s="1542"/>
      <c r="N8" s="1542"/>
      <c r="O8" s="1542"/>
      <c r="P8" s="3724" t="s">
        <v>1519</v>
      </c>
      <c r="Q8" s="3691"/>
      <c r="R8" s="1582" t="s">
        <v>1517</v>
      </c>
      <c r="S8" s="1583">
        <f t="shared" si="0"/>
        <v>103</v>
      </c>
      <c r="T8" s="1582" t="s">
        <v>1517</v>
      </c>
      <c r="U8" s="1583">
        <f t="shared" si="1"/>
        <v>103</v>
      </c>
      <c r="V8" s="1582" t="s">
        <v>1517</v>
      </c>
      <c r="W8" s="1583">
        <f t="shared" si="2"/>
        <v>103</v>
      </c>
      <c r="X8" s="1584"/>
      <c r="Y8" s="3689" t="s">
        <v>1519</v>
      </c>
      <c r="Z8" s="3691"/>
      <c r="AA8" s="1595">
        <f t="shared" ref="AA8:AA47" si="3">D8/F8</f>
        <v>0.970873786407767</v>
      </c>
      <c r="AB8" s="1595">
        <f t="shared" ref="AB8:AB47" si="4">D8/H8</f>
        <v>0.970873786407767</v>
      </c>
      <c r="AC8" s="1945">
        <f t="shared" ref="AC8:AC47" si="5">D8/J8</f>
        <v>0.970873786407767</v>
      </c>
    </row>
    <row r="9" spans="1:29" s="1371" customFormat="1">
      <c r="A9" s="1404" t="s">
        <v>1520</v>
      </c>
      <c r="B9" s="1405" t="s">
        <v>1521</v>
      </c>
      <c r="C9" s="1929" t="s">
        <v>2771</v>
      </c>
      <c r="D9" s="1407">
        <v>100</v>
      </c>
      <c r="E9" s="1765" t="s">
        <v>2770</v>
      </c>
      <c r="F9" s="1407">
        <f>SUMIF(64:64,E9,65:65)-SUMIF(64:64,C9,65:65)+100</f>
        <v>100</v>
      </c>
      <c r="G9" s="1765" t="s">
        <v>2770</v>
      </c>
      <c r="H9" s="1407">
        <f>SUMIF(64:64,G9,65:65)-SUMIF(64:64,C9,65:65)+100</f>
        <v>100</v>
      </c>
      <c r="I9" s="1765" t="s">
        <v>2770</v>
      </c>
      <c r="J9" s="1407">
        <f>SUMIF(64:64,I9,65:65)-SUMIF(64:64,C9,65:65)+100</f>
        <v>100</v>
      </c>
      <c r="K9" s="1540"/>
      <c r="L9" s="1541"/>
      <c r="M9" s="1542"/>
      <c r="N9" s="1542"/>
      <c r="O9" s="1542"/>
      <c r="P9" s="3694"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945">
        <f t="shared" si="5"/>
        <v>1</v>
      </c>
    </row>
    <row r="10" spans="1:29" s="1372" customFormat="1" ht="27" hidden="1">
      <c r="A10" s="1408"/>
      <c r="B10" s="1409" t="s">
        <v>1524</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4"/>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945">
        <f t="shared" si="5"/>
        <v>1</v>
      </c>
    </row>
    <row r="11" spans="1:29" ht="15" hidden="1">
      <c r="A11" s="1412"/>
      <c r="B11" s="1409" t="s">
        <v>1525</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4"/>
      <c r="Q11" s="1586" t="str">
        <f t="shared" si="6"/>
        <v>容积率</v>
      </c>
      <c r="R11" s="1582" t="s">
        <v>1517</v>
      </c>
      <c r="S11" s="1583">
        <f t="shared" si="0"/>
        <v>100</v>
      </c>
      <c r="T11" s="1582" t="s">
        <v>1517</v>
      </c>
      <c r="U11" s="1583">
        <f t="shared" si="1"/>
        <v>100</v>
      </c>
      <c r="V11" s="1582" t="s">
        <v>1517</v>
      </c>
      <c r="W11" s="1583">
        <f t="shared" si="2"/>
        <v>100</v>
      </c>
      <c r="X11" s="1584"/>
      <c r="Y11" s="3647"/>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4"/>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4"/>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4"/>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945">
        <f t="shared" si="5"/>
        <v>1</v>
      </c>
    </row>
    <row r="15" spans="1:29" ht="15">
      <c r="A15" s="1426" t="s">
        <v>1526</v>
      </c>
      <c r="B15" s="1427" t="s">
        <v>1607</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5" t="s">
        <v>1528</v>
      </c>
      <c r="Q15" s="974" t="str">
        <f t="shared" si="6"/>
        <v>办公集聚程度</v>
      </c>
      <c r="R15" s="1587" t="s">
        <v>1517</v>
      </c>
      <c r="S15" s="1588">
        <f t="shared" si="0"/>
        <v>100</v>
      </c>
      <c r="T15" s="1587" t="s">
        <v>1517</v>
      </c>
      <c r="U15" s="1588">
        <f t="shared" si="1"/>
        <v>100</v>
      </c>
      <c r="V15" s="1587" t="s">
        <v>1517</v>
      </c>
      <c r="W15" s="1588">
        <f t="shared" si="2"/>
        <v>100</v>
      </c>
      <c r="X15" s="1581"/>
      <c r="Y15" s="3700" t="s">
        <v>1528</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696"/>
      <c r="Q16" s="974"/>
      <c r="R16" s="1587"/>
      <c r="S16" s="1588"/>
      <c r="T16" s="1587"/>
      <c r="U16" s="1588"/>
      <c r="V16" s="1587"/>
      <c r="W16" s="1588"/>
      <c r="X16" s="1581"/>
      <c r="Y16" s="3701"/>
      <c r="Z16" s="1571"/>
      <c r="AA16" s="1597">
        <v>1</v>
      </c>
      <c r="AB16" s="1597">
        <v>1</v>
      </c>
      <c r="AC16" s="1946">
        <v>1</v>
      </c>
    </row>
    <row r="17" spans="1:29" ht="15">
      <c r="A17" s="1412"/>
      <c r="B17" s="1436" t="s">
        <v>1529</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696"/>
      <c r="Q17" s="974" t="str">
        <f>B17</f>
        <v>交通便捷度</v>
      </c>
      <c r="R17" s="1587" t="s">
        <v>1517</v>
      </c>
      <c r="S17" s="1588">
        <f>F17</f>
        <v>100</v>
      </c>
      <c r="T17" s="1587" t="s">
        <v>1517</v>
      </c>
      <c r="U17" s="1588">
        <f>H17</f>
        <v>100</v>
      </c>
      <c r="V17" s="1587" t="s">
        <v>1517</v>
      </c>
      <c r="W17" s="1588">
        <f>J17</f>
        <v>100</v>
      </c>
      <c r="X17" s="1581"/>
      <c r="Y17" s="3701"/>
      <c r="Z17" s="1571" t="str">
        <f>Q17</f>
        <v>交通便捷度</v>
      </c>
      <c r="AA17" s="1597">
        <f t="shared" si="3"/>
        <v>1</v>
      </c>
      <c r="AB17" s="1597">
        <f t="shared" si="4"/>
        <v>1</v>
      </c>
      <c r="AC17" s="1946">
        <f t="shared" si="5"/>
        <v>1</v>
      </c>
    </row>
    <row r="18" spans="1:29" ht="15">
      <c r="A18" s="1412"/>
      <c r="B18" s="1440"/>
      <c r="C18" s="1933" t="s">
        <v>1608</v>
      </c>
      <c r="D18" s="1435"/>
      <c r="E18" s="1434" t="s">
        <v>1608</v>
      </c>
      <c r="F18" s="1435"/>
      <c r="G18" s="1434" t="s">
        <v>1608</v>
      </c>
      <c r="H18" s="1433"/>
      <c r="I18" s="1434" t="s">
        <v>1608</v>
      </c>
      <c r="J18" s="1433"/>
      <c r="K18" s="1811"/>
      <c r="L18" s="1551"/>
      <c r="M18" s="1539"/>
      <c r="N18" s="1539"/>
      <c r="O18" s="1539"/>
      <c r="P18" s="3696"/>
      <c r="Q18" s="974"/>
      <c r="R18" s="1587"/>
      <c r="S18" s="1588"/>
      <c r="T18" s="1587"/>
      <c r="U18" s="1588"/>
      <c r="V18" s="1587"/>
      <c r="W18" s="1588"/>
      <c r="X18" s="1581"/>
      <c r="Y18" s="3701"/>
      <c r="Z18" s="1571"/>
      <c r="AA18" s="1597">
        <v>1</v>
      </c>
      <c r="AB18" s="1597">
        <v>1</v>
      </c>
      <c r="AC18" s="1946">
        <v>1</v>
      </c>
    </row>
    <row r="19" spans="1:29" ht="15">
      <c r="A19" s="1412"/>
      <c r="B19" s="1436" t="s">
        <v>1530</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696"/>
      <c r="Q19" s="974" t="str">
        <f>B19</f>
        <v>公共配套设施</v>
      </c>
      <c r="R19" s="1587" t="s">
        <v>1517</v>
      </c>
      <c r="S19" s="1588">
        <f>F19</f>
        <v>100</v>
      </c>
      <c r="T19" s="1587" t="s">
        <v>1517</v>
      </c>
      <c r="U19" s="1588">
        <f>H19</f>
        <v>100</v>
      </c>
      <c r="V19" s="1587" t="s">
        <v>1517</v>
      </c>
      <c r="W19" s="1588">
        <f>J19</f>
        <v>100</v>
      </c>
      <c r="X19" s="1581"/>
      <c r="Y19" s="3701"/>
      <c r="Z19" s="1571" t="str">
        <f>Q19</f>
        <v>公共配套设施</v>
      </c>
      <c r="AA19" s="1597">
        <f t="shared" si="3"/>
        <v>1</v>
      </c>
      <c r="AB19" s="1597">
        <f t="shared" si="4"/>
        <v>1</v>
      </c>
      <c r="AC19" s="1946">
        <f t="shared" si="5"/>
        <v>1</v>
      </c>
    </row>
    <row r="20" spans="1:29" ht="15">
      <c r="A20" s="1412"/>
      <c r="B20" s="1440"/>
      <c r="C20" s="1434" t="s">
        <v>1608</v>
      </c>
      <c r="D20" s="1433"/>
      <c r="E20" s="1434" t="s">
        <v>1608</v>
      </c>
      <c r="F20" s="1433"/>
      <c r="G20" s="1434" t="s">
        <v>1608</v>
      </c>
      <c r="H20" s="1433"/>
      <c r="I20" s="1434" t="s">
        <v>1608</v>
      </c>
      <c r="J20" s="1433"/>
      <c r="K20" s="1811"/>
      <c r="L20" s="1551"/>
      <c r="M20" s="1539"/>
      <c r="N20" s="1539"/>
      <c r="O20" s="1539"/>
      <c r="P20" s="3696"/>
      <c r="Q20" s="974"/>
      <c r="R20" s="1587"/>
      <c r="S20" s="1588"/>
      <c r="T20" s="1587"/>
      <c r="U20" s="1588"/>
      <c r="V20" s="1587"/>
      <c r="W20" s="1588"/>
      <c r="X20" s="1581"/>
      <c r="Y20" s="3701"/>
      <c r="Z20" s="1571"/>
      <c r="AA20" s="1597">
        <v>1</v>
      </c>
      <c r="AB20" s="1597">
        <v>1</v>
      </c>
      <c r="AC20" s="1946">
        <v>1</v>
      </c>
    </row>
    <row r="21" spans="1:29" ht="15">
      <c r="A21" s="1412"/>
      <c r="B21" s="1443" t="s">
        <v>1531</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696"/>
      <c r="Q21" s="974" t="str">
        <f>B21</f>
        <v>基础设施水平</v>
      </c>
      <c r="R21" s="1587" t="s">
        <v>1517</v>
      </c>
      <c r="S21" s="1588">
        <f>F21</f>
        <v>100</v>
      </c>
      <c r="T21" s="1587" t="s">
        <v>1517</v>
      </c>
      <c r="U21" s="1588">
        <f>H21</f>
        <v>100</v>
      </c>
      <c r="V21" s="1587" t="s">
        <v>1517</v>
      </c>
      <c r="W21" s="1588">
        <f>J21</f>
        <v>100</v>
      </c>
      <c r="X21" s="1581"/>
      <c r="Y21" s="3701"/>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696"/>
      <c r="Q22" s="974"/>
      <c r="R22" s="1587"/>
      <c r="S22" s="1588"/>
      <c r="T22" s="1587"/>
      <c r="U22" s="1588"/>
      <c r="V22" s="1587"/>
      <c r="W22" s="1588"/>
      <c r="X22" s="1581"/>
      <c r="Y22" s="3701"/>
      <c r="Z22" s="1571"/>
      <c r="AA22" s="1597">
        <v>1</v>
      </c>
      <c r="AB22" s="1597">
        <v>1</v>
      </c>
      <c r="AC22" s="1946">
        <v>1</v>
      </c>
    </row>
    <row r="23" spans="1:29" ht="15">
      <c r="A23" s="1412"/>
      <c r="B23" s="1436" t="s">
        <v>1609</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696"/>
      <c r="Q23" s="974" t="str">
        <f>B23</f>
        <v>环境质量</v>
      </c>
      <c r="R23" s="1587" t="s">
        <v>1517</v>
      </c>
      <c r="S23" s="1588">
        <f>F23</f>
        <v>100</v>
      </c>
      <c r="T23" s="1587" t="s">
        <v>1517</v>
      </c>
      <c r="U23" s="1588">
        <f>H23</f>
        <v>100</v>
      </c>
      <c r="V23" s="1587" t="s">
        <v>1517</v>
      </c>
      <c r="W23" s="1588">
        <f>J23</f>
        <v>100</v>
      </c>
      <c r="X23" s="1581"/>
      <c r="Y23" s="3701"/>
      <c r="Z23" s="1571" t="str">
        <f>Q23</f>
        <v>环境质量</v>
      </c>
      <c r="AA23" s="1597">
        <f t="shared" si="3"/>
        <v>1</v>
      </c>
      <c r="AB23" s="1597">
        <f t="shared" si="4"/>
        <v>1</v>
      </c>
      <c r="AC23" s="1946">
        <f t="shared" si="5"/>
        <v>1</v>
      </c>
    </row>
    <row r="24" spans="1:29" ht="15">
      <c r="A24" s="1412"/>
      <c r="B24" s="1443"/>
      <c r="C24" s="1434" t="s">
        <v>1610</v>
      </c>
      <c r="D24" s="1433"/>
      <c r="E24" s="1434" t="s">
        <v>1610</v>
      </c>
      <c r="F24" s="1433"/>
      <c r="G24" s="1434" t="s">
        <v>1610</v>
      </c>
      <c r="H24" s="1433"/>
      <c r="I24" s="1434" t="s">
        <v>1610</v>
      </c>
      <c r="J24" s="1433"/>
      <c r="K24" s="1811"/>
      <c r="L24" s="1551"/>
      <c r="M24" s="1539"/>
      <c r="N24" s="1539"/>
      <c r="O24" s="1539"/>
      <c r="P24" s="3696"/>
      <c r="Q24" s="974"/>
      <c r="R24" s="1587"/>
      <c r="S24" s="1588"/>
      <c r="T24" s="1587"/>
      <c r="U24" s="1588"/>
      <c r="V24" s="1587"/>
      <c r="W24" s="1588"/>
      <c r="X24" s="1581"/>
      <c r="Y24" s="3701"/>
      <c r="Z24" s="1571"/>
      <c r="AA24" s="1597">
        <v>1</v>
      </c>
      <c r="AB24" s="1597">
        <v>1</v>
      </c>
      <c r="AC24" s="1946">
        <v>1</v>
      </c>
    </row>
    <row r="25" spans="1:29" ht="27" hidden="1">
      <c r="A25" s="1392"/>
      <c r="B25" s="1436" t="s">
        <v>1611</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696"/>
      <c r="Q25" s="974" t="str">
        <f>B25</f>
        <v>毗邻道路的类型与等级</v>
      </c>
      <c r="R25" s="1587" t="s">
        <v>1517</v>
      </c>
      <c r="S25" s="1588">
        <f>F25</f>
        <v>100</v>
      </c>
      <c r="T25" s="1587" t="s">
        <v>1517</v>
      </c>
      <c r="U25" s="1588">
        <f>H25</f>
        <v>100</v>
      </c>
      <c r="V25" s="1587" t="s">
        <v>1517</v>
      </c>
      <c r="W25" s="1588">
        <f>J25</f>
        <v>100</v>
      </c>
      <c r="X25" s="1581"/>
      <c r="Y25" s="3701"/>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696"/>
      <c r="Q26" s="974"/>
      <c r="R26" s="1587"/>
      <c r="S26" s="1588"/>
      <c r="T26" s="1587"/>
      <c r="U26" s="1588"/>
      <c r="V26" s="1587"/>
      <c r="W26" s="1588"/>
      <c r="X26" s="1581"/>
      <c r="Y26" s="3701"/>
      <c r="Z26" s="1571"/>
      <c r="AA26" s="1597">
        <v>1</v>
      </c>
      <c r="AB26" s="1597">
        <v>1</v>
      </c>
      <c r="AC26" s="1946">
        <v>1</v>
      </c>
    </row>
    <row r="27" spans="1:29" ht="15">
      <c r="A27" s="1412"/>
      <c r="B27" s="1440" t="s">
        <v>1594</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696"/>
      <c r="Q27" s="974" t="str">
        <f t="shared" ref="Q27:Q47" si="11">B27</f>
        <v>楼层</v>
      </c>
      <c r="R27" s="1587" t="s">
        <v>1517</v>
      </c>
      <c r="S27" s="1588">
        <f>F27</f>
        <v>100</v>
      </c>
      <c r="T27" s="1587" t="s">
        <v>1517</v>
      </c>
      <c r="U27" s="1588">
        <f>H27</f>
        <v>100</v>
      </c>
      <c r="V27" s="1587" t="s">
        <v>1517</v>
      </c>
      <c r="W27" s="1588">
        <f>J27</f>
        <v>100</v>
      </c>
      <c r="X27" s="1581"/>
      <c r="Y27" s="3701"/>
      <c r="Z27" s="1571" t="str">
        <f>Q27</f>
        <v>楼层</v>
      </c>
      <c r="AA27" s="1597">
        <f t="shared" si="3"/>
        <v>1</v>
      </c>
      <c r="AB27" s="1597">
        <f t="shared" si="4"/>
        <v>1</v>
      </c>
      <c r="AC27" s="1946">
        <f t="shared" si="5"/>
        <v>1</v>
      </c>
    </row>
    <row r="28" spans="1:29" s="1371" customFormat="1" ht="15" hidden="1">
      <c r="A28" s="1415"/>
      <c r="B28" s="1436" t="s">
        <v>1534</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696"/>
      <c r="Q28" s="1586" t="str">
        <f t="shared" si="11"/>
        <v>朝向</v>
      </c>
      <c r="R28" s="1582" t="s">
        <v>1517</v>
      </c>
      <c r="S28" s="1583">
        <f>F28</f>
        <v>100</v>
      </c>
      <c r="T28" s="1582" t="s">
        <v>1517</v>
      </c>
      <c r="U28" s="1583">
        <f>H28</f>
        <v>100</v>
      </c>
      <c r="V28" s="1582" t="s">
        <v>1517</v>
      </c>
      <c r="W28" s="1583">
        <f>J28</f>
        <v>100</v>
      </c>
      <c r="X28" s="1584"/>
      <c r="Y28" s="3701"/>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696"/>
      <c r="Q29" s="974">
        <f t="shared" si="11"/>
        <v>111</v>
      </c>
      <c r="R29" s="1587" t="s">
        <v>1517</v>
      </c>
      <c r="S29" s="1588">
        <f t="shared" ref="S29:S47" si="12">F29</f>
        <v>100</v>
      </c>
      <c r="T29" s="1587" t="s">
        <v>1517</v>
      </c>
      <c r="U29" s="1588">
        <f t="shared" ref="U29:U47" si="13">H29</f>
        <v>100</v>
      </c>
      <c r="V29" s="1587" t="s">
        <v>1517</v>
      </c>
      <c r="W29" s="1588">
        <f t="shared" ref="W29:W47" si="14">J29</f>
        <v>100</v>
      </c>
      <c r="X29" s="1581"/>
      <c r="Y29" s="3701"/>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696"/>
      <c r="Q30" s="974">
        <f t="shared" si="11"/>
        <v>111</v>
      </c>
      <c r="R30" s="1587" t="s">
        <v>1517</v>
      </c>
      <c r="S30" s="1588">
        <f t="shared" si="12"/>
        <v>100</v>
      </c>
      <c r="T30" s="1587" t="s">
        <v>1517</v>
      </c>
      <c r="U30" s="1588">
        <f t="shared" si="13"/>
        <v>100</v>
      </c>
      <c r="V30" s="1587" t="s">
        <v>1517</v>
      </c>
      <c r="W30" s="1588">
        <f t="shared" si="14"/>
        <v>100</v>
      </c>
      <c r="X30" s="1581"/>
      <c r="Y30" s="3701"/>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696"/>
      <c r="Q31" s="974">
        <f t="shared" si="11"/>
        <v>111</v>
      </c>
      <c r="R31" s="1587" t="s">
        <v>1517</v>
      </c>
      <c r="S31" s="1588">
        <f t="shared" si="12"/>
        <v>100</v>
      </c>
      <c r="T31" s="1587" t="s">
        <v>1517</v>
      </c>
      <c r="U31" s="1588">
        <f t="shared" si="13"/>
        <v>100</v>
      </c>
      <c r="V31" s="1587" t="s">
        <v>1517</v>
      </c>
      <c r="W31" s="1588">
        <f t="shared" si="14"/>
        <v>100</v>
      </c>
      <c r="X31" s="1581"/>
      <c r="Y31" s="3701"/>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696"/>
      <c r="Q32" s="974">
        <f t="shared" si="11"/>
        <v>111</v>
      </c>
      <c r="R32" s="1587" t="s">
        <v>1517</v>
      </c>
      <c r="S32" s="1588">
        <f t="shared" si="12"/>
        <v>100</v>
      </c>
      <c r="T32" s="1587" t="s">
        <v>1517</v>
      </c>
      <c r="U32" s="1588">
        <f t="shared" si="13"/>
        <v>100</v>
      </c>
      <c r="V32" s="1587" t="s">
        <v>1517</v>
      </c>
      <c r="W32" s="1588">
        <f t="shared" si="14"/>
        <v>100</v>
      </c>
      <c r="X32" s="1581"/>
      <c r="Y32" s="3701"/>
      <c r="Z32" s="1571">
        <f t="shared" si="15"/>
        <v>111</v>
      </c>
      <c r="AA32" s="1597">
        <f t="shared" si="3"/>
        <v>1</v>
      </c>
      <c r="AB32" s="1597">
        <f t="shared" si="4"/>
        <v>1</v>
      </c>
      <c r="AC32" s="1946">
        <f t="shared" si="5"/>
        <v>1</v>
      </c>
    </row>
    <row r="33" spans="1:29" ht="15">
      <c r="A33" s="1426" t="s">
        <v>1535</v>
      </c>
      <c r="B33" s="1405" t="s">
        <v>1536</v>
      </c>
      <c r="C33" s="1780" t="s">
        <v>1612</v>
      </c>
      <c r="D33" s="1462">
        <v>100</v>
      </c>
      <c r="E33" s="1780" t="s">
        <v>1612</v>
      </c>
      <c r="F33" s="1775">
        <f>SUMIF(101:101,E33,102:102)-SUMIF(101:101,C33,102:102)+100</f>
        <v>100</v>
      </c>
      <c r="G33" s="1780" t="s">
        <v>1612</v>
      </c>
      <c r="H33" s="1421">
        <f>SUMIF(101:101,G33,102:102)-SUMIF(101:101,C33,102:102)+100</f>
        <v>100</v>
      </c>
      <c r="I33" s="1780" t="s">
        <v>1612</v>
      </c>
      <c r="J33" s="1462">
        <f>SUMIF(101:101,I33,102:102)-SUMIF(101:101,C33,102:102)+100</f>
        <v>100</v>
      </c>
      <c r="K33" s="1557">
        <v>0</v>
      </c>
      <c r="L33" s="1551"/>
      <c r="M33" s="1539"/>
      <c r="N33" s="1539"/>
      <c r="O33" s="1539"/>
      <c r="P33" s="3697" t="s">
        <v>1537</v>
      </c>
      <c r="Q33" s="974" t="str">
        <f t="shared" si="11"/>
        <v>建筑类型</v>
      </c>
      <c r="R33" s="1587" t="s">
        <v>1517</v>
      </c>
      <c r="S33" s="1588">
        <f t="shared" si="12"/>
        <v>100</v>
      </c>
      <c r="T33" s="1587" t="s">
        <v>1517</v>
      </c>
      <c r="U33" s="1588">
        <f t="shared" si="13"/>
        <v>100</v>
      </c>
      <c r="V33" s="1587" t="s">
        <v>1517</v>
      </c>
      <c r="W33" s="1588">
        <f t="shared" si="14"/>
        <v>100</v>
      </c>
      <c r="X33" s="1581"/>
      <c r="Y33" s="3702" t="s">
        <v>1537</v>
      </c>
      <c r="Z33" s="1571" t="str">
        <f t="shared" si="15"/>
        <v>建筑类型</v>
      </c>
      <c r="AA33" s="1597">
        <f t="shared" si="3"/>
        <v>1</v>
      </c>
      <c r="AB33" s="1597">
        <f t="shared" si="4"/>
        <v>1</v>
      </c>
      <c r="AC33" s="1946">
        <f t="shared" si="5"/>
        <v>1</v>
      </c>
    </row>
    <row r="34" spans="1:29" s="1373" customFormat="1" ht="15">
      <c r="A34" s="1468"/>
      <c r="B34" s="1409" t="s">
        <v>1538</v>
      </c>
      <c r="C34" s="3810">
        <f>'数据-基础表'!I13</f>
        <v>879.38</v>
      </c>
      <c r="D34" s="1411">
        <v>100</v>
      </c>
      <c r="E34" s="3810">
        <v>2123</v>
      </c>
      <c r="F34" s="1768">
        <f>LOOKUP(E34,104:104,105:105)-LOOKUP(C34,104:104,105:105)+100</f>
        <v>94</v>
      </c>
      <c r="G34" s="3810">
        <v>1200</v>
      </c>
      <c r="H34" s="1411">
        <f>LOOKUP(G34,104:104,105:105)-LOOKUP(C34,104:104,105:105)+100</f>
        <v>98</v>
      </c>
      <c r="I34" s="3810">
        <v>2132</v>
      </c>
      <c r="J34" s="1411">
        <f>LOOKUP(I34,104:104,105:105)-LOOKUP(C34,104:104,105:105)+100</f>
        <v>94</v>
      </c>
      <c r="K34" s="1556"/>
      <c r="L34" s="1549"/>
      <c r="M34" s="1558"/>
      <c r="N34" s="1558"/>
      <c r="O34" s="1558"/>
      <c r="P34" s="3698"/>
      <c r="Q34" s="1814" t="str">
        <f t="shared" si="11"/>
        <v>项目建筑规模</v>
      </c>
      <c r="R34" s="1589" t="s">
        <v>1517</v>
      </c>
      <c r="S34" s="1590">
        <f t="shared" si="12"/>
        <v>94</v>
      </c>
      <c r="T34" s="1589" t="s">
        <v>1517</v>
      </c>
      <c r="U34" s="1590">
        <f t="shared" si="13"/>
        <v>98</v>
      </c>
      <c r="V34" s="1589" t="s">
        <v>1517</v>
      </c>
      <c r="W34" s="1590">
        <f t="shared" si="14"/>
        <v>94</v>
      </c>
      <c r="X34" s="1591"/>
      <c r="Y34" s="3702"/>
      <c r="Z34" s="1598" t="str">
        <f t="shared" si="15"/>
        <v>项目建筑规模</v>
      </c>
      <c r="AA34" s="1597">
        <f t="shared" si="3"/>
        <v>1.0638297872340425</v>
      </c>
      <c r="AB34" s="1597">
        <f t="shared" si="4"/>
        <v>1.0204081632653061</v>
      </c>
      <c r="AC34" s="1946">
        <f t="shared" si="5"/>
        <v>1.0638297872340425</v>
      </c>
    </row>
    <row r="35" spans="1:29" ht="15">
      <c r="A35" s="1463"/>
      <c r="B35" s="1409" t="s">
        <v>1539</v>
      </c>
      <c r="C35" s="1785" t="s">
        <v>1613</v>
      </c>
      <c r="D35" s="1421">
        <v>100</v>
      </c>
      <c r="E35" s="1785" t="s">
        <v>1613</v>
      </c>
      <c r="F35" s="1775">
        <f>SUMIF(106:106,E35,107:107)-SUMIF(106:106,C35,107:107)+100</f>
        <v>100</v>
      </c>
      <c r="G35" s="1785" t="s">
        <v>1613</v>
      </c>
      <c r="H35" s="1421">
        <f>SUMIF(106:106,G35,107:107)-SUMIF(106:106,C35,107:107)+100</f>
        <v>100</v>
      </c>
      <c r="I35" s="1785" t="s">
        <v>1613</v>
      </c>
      <c r="J35" s="1421">
        <f>SUMIF(106:106,I35,107:107)-SUMIF(106:106,C35,107:107)+100</f>
        <v>100</v>
      </c>
      <c r="K35" s="1557"/>
      <c r="L35" s="1551"/>
      <c r="M35" s="1539"/>
      <c r="N35" s="1539"/>
      <c r="O35" s="1539"/>
      <c r="P35" s="3698"/>
      <c r="Q35" s="974" t="str">
        <f t="shared" si="11"/>
        <v>建筑结构</v>
      </c>
      <c r="R35" s="1587" t="s">
        <v>1517</v>
      </c>
      <c r="S35" s="1588">
        <f t="shared" si="12"/>
        <v>100</v>
      </c>
      <c r="T35" s="1587" t="s">
        <v>1517</v>
      </c>
      <c r="U35" s="1588">
        <f t="shared" si="13"/>
        <v>100</v>
      </c>
      <c r="V35" s="1587" t="s">
        <v>1517</v>
      </c>
      <c r="W35" s="1588">
        <f t="shared" si="14"/>
        <v>100</v>
      </c>
      <c r="X35" s="1581"/>
      <c r="Y35" s="3702"/>
      <c r="Z35" s="1571" t="str">
        <f t="shared" si="15"/>
        <v>建筑结构</v>
      </c>
      <c r="AA35" s="1597">
        <f t="shared" si="3"/>
        <v>1</v>
      </c>
      <c r="AB35" s="1597">
        <f t="shared" si="4"/>
        <v>1</v>
      </c>
      <c r="AC35" s="1946">
        <f t="shared" si="5"/>
        <v>1</v>
      </c>
    </row>
    <row r="36" spans="1:29" ht="15">
      <c r="A36" s="1463"/>
      <c r="B36" s="1409" t="s">
        <v>1541</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698"/>
      <c r="Q36" s="974" t="str">
        <f t="shared" si="11"/>
        <v>公共部分装修</v>
      </c>
      <c r="R36" s="1587" t="s">
        <v>1517</v>
      </c>
      <c r="S36" s="1588">
        <f t="shared" si="12"/>
        <v>100</v>
      </c>
      <c r="T36" s="1587" t="s">
        <v>1517</v>
      </c>
      <c r="U36" s="1588">
        <f t="shared" si="13"/>
        <v>100</v>
      </c>
      <c r="V36" s="1587" t="s">
        <v>1517</v>
      </c>
      <c r="W36" s="1588">
        <f t="shared" si="14"/>
        <v>100</v>
      </c>
      <c r="X36" s="1581"/>
      <c r="Y36" s="3702"/>
      <c r="Z36" s="1571" t="str">
        <f t="shared" si="15"/>
        <v>公共部分装修</v>
      </c>
      <c r="AA36" s="1597">
        <f t="shared" si="3"/>
        <v>1</v>
      </c>
      <c r="AB36" s="1597">
        <f t="shared" si="4"/>
        <v>1</v>
      </c>
      <c r="AC36" s="1946">
        <f t="shared" si="5"/>
        <v>1</v>
      </c>
    </row>
    <row r="37" spans="1:29" ht="15">
      <c r="A37" s="1463"/>
      <c r="B37" s="1409" t="s">
        <v>684</v>
      </c>
      <c r="C37" s="1782">
        <f>'数据-取费表'!N6</f>
        <v>0.83</v>
      </c>
      <c r="D37" s="1421">
        <v>100</v>
      </c>
      <c r="E37" s="1782">
        <f>C37</f>
        <v>0.83</v>
      </c>
      <c r="F37" s="1775">
        <f>LOOKUP(E37,111:111,112:112)-LOOKUP(C37,111:111,112:112)+100</f>
        <v>100</v>
      </c>
      <c r="G37" s="1782">
        <f>C37</f>
        <v>0.83</v>
      </c>
      <c r="H37" s="1775">
        <f>LOOKUP(G37,111:111,112:112)-LOOKUP(C37,111:111,112:112)+100</f>
        <v>100</v>
      </c>
      <c r="I37" s="1782">
        <f>C37</f>
        <v>0.83</v>
      </c>
      <c r="J37" s="1421">
        <f>LOOKUP(I37,111:111,112:112)-LOOKUP(C37,111:111,112:112)+100</f>
        <v>100</v>
      </c>
      <c r="K37" s="1557"/>
      <c r="L37" s="1551"/>
      <c r="M37" s="1539"/>
      <c r="N37" s="1539"/>
      <c r="O37" s="1539"/>
      <c r="P37" s="3698"/>
      <c r="Q37" s="974" t="str">
        <f t="shared" si="11"/>
        <v>成新度</v>
      </c>
      <c r="R37" s="1587" t="s">
        <v>1517</v>
      </c>
      <c r="S37" s="1588">
        <f t="shared" si="12"/>
        <v>100</v>
      </c>
      <c r="T37" s="1587" t="s">
        <v>1517</v>
      </c>
      <c r="U37" s="1588">
        <f t="shared" si="13"/>
        <v>100</v>
      </c>
      <c r="V37" s="1587" t="s">
        <v>1517</v>
      </c>
      <c r="W37" s="1588">
        <f t="shared" si="14"/>
        <v>100</v>
      </c>
      <c r="X37" s="1581"/>
      <c r="Y37" s="3702"/>
      <c r="Z37" s="1571" t="str">
        <f t="shared" si="15"/>
        <v>成新度</v>
      </c>
      <c r="AA37" s="1597">
        <f t="shared" si="3"/>
        <v>1</v>
      </c>
      <c r="AB37" s="1597">
        <f t="shared" si="4"/>
        <v>1</v>
      </c>
      <c r="AC37" s="1946">
        <f t="shared" si="5"/>
        <v>1</v>
      </c>
    </row>
    <row r="38" spans="1:29" s="1371" customFormat="1" ht="15" hidden="1">
      <c r="A38" s="1465"/>
      <c r="B38" s="1409" t="s">
        <v>1614</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698"/>
      <c r="Q38" s="1586" t="str">
        <f t="shared" si="11"/>
        <v>写字楼等级</v>
      </c>
      <c r="R38" s="1582" t="s">
        <v>1517</v>
      </c>
      <c r="S38" s="1583">
        <f t="shared" si="12"/>
        <v>100</v>
      </c>
      <c r="T38" s="1582" t="s">
        <v>1517</v>
      </c>
      <c r="U38" s="1583">
        <f t="shared" si="13"/>
        <v>100</v>
      </c>
      <c r="V38" s="1582" t="s">
        <v>1517</v>
      </c>
      <c r="W38" s="1583">
        <f t="shared" si="14"/>
        <v>100</v>
      </c>
      <c r="X38" s="1584"/>
      <c r="Y38" s="3702"/>
      <c r="Z38" s="1596" t="str">
        <f t="shared" si="15"/>
        <v>写字楼等级</v>
      </c>
      <c r="AA38" s="1595">
        <f t="shared" si="3"/>
        <v>1</v>
      </c>
      <c r="AB38" s="1595">
        <f t="shared" si="4"/>
        <v>1</v>
      </c>
      <c r="AC38" s="1945">
        <f t="shared" si="5"/>
        <v>1</v>
      </c>
    </row>
    <row r="39" spans="1:29" ht="15">
      <c r="A39" s="1463"/>
      <c r="B39" s="1409" t="s">
        <v>1542</v>
      </c>
      <c r="C39" s="1785" t="s">
        <v>1615</v>
      </c>
      <c r="D39" s="1421">
        <v>100</v>
      </c>
      <c r="E39" s="1785" t="s">
        <v>1615</v>
      </c>
      <c r="F39" s="1775">
        <f>SUMIF(115:115,E39,116:116)-SUMIF(115:115,C39,116:116)+100</f>
        <v>100</v>
      </c>
      <c r="G39" s="1785" t="s">
        <v>1615</v>
      </c>
      <c r="H39" s="1421">
        <f>SUMIF(115:115,G39,116:116)-SUMIF(115:115,C39,116:116)+100</f>
        <v>100</v>
      </c>
      <c r="I39" s="1785" t="s">
        <v>1615</v>
      </c>
      <c r="J39" s="1421">
        <f>SUMIF(115:115,I39,116:116)-SUMIF(115:115,C39,116:116)+100</f>
        <v>100</v>
      </c>
      <c r="K39" s="1557"/>
      <c r="L39" s="1551"/>
      <c r="M39" s="1539"/>
      <c r="N39" s="1539"/>
      <c r="O39" s="1539"/>
      <c r="P39" s="3698" t="s">
        <v>1537</v>
      </c>
      <c r="Q39" s="974" t="str">
        <f t="shared" si="11"/>
        <v>物业管理</v>
      </c>
      <c r="R39" s="1587" t="s">
        <v>1517</v>
      </c>
      <c r="S39" s="1588">
        <f t="shared" si="12"/>
        <v>100</v>
      </c>
      <c r="T39" s="1587" t="s">
        <v>1517</v>
      </c>
      <c r="U39" s="1588">
        <f t="shared" si="13"/>
        <v>100</v>
      </c>
      <c r="V39" s="1587" t="s">
        <v>1517</v>
      </c>
      <c r="W39" s="1588">
        <f t="shared" si="14"/>
        <v>100</v>
      </c>
      <c r="X39" s="1581"/>
      <c r="Y39" s="3702" t="s">
        <v>1537</v>
      </c>
      <c r="Z39" s="1571" t="str">
        <f t="shared" si="15"/>
        <v>物业管理</v>
      </c>
      <c r="AA39" s="1597">
        <f t="shared" si="3"/>
        <v>1</v>
      </c>
      <c r="AB39" s="1597">
        <f t="shared" si="4"/>
        <v>1</v>
      </c>
      <c r="AC39" s="1946">
        <f t="shared" si="5"/>
        <v>1</v>
      </c>
    </row>
    <row r="40" spans="1:29" ht="15">
      <c r="A40" s="1463"/>
      <c r="B40" s="1409" t="s">
        <v>1543</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698"/>
      <c r="Q40" s="974" t="str">
        <f t="shared" si="11"/>
        <v>市政基础设施</v>
      </c>
      <c r="R40" s="1587" t="s">
        <v>1517</v>
      </c>
      <c r="S40" s="1588">
        <f t="shared" si="12"/>
        <v>100</v>
      </c>
      <c r="T40" s="1587" t="s">
        <v>1517</v>
      </c>
      <c r="U40" s="1588">
        <f t="shared" si="13"/>
        <v>100</v>
      </c>
      <c r="V40" s="1587" t="s">
        <v>1517</v>
      </c>
      <c r="W40" s="1588">
        <f t="shared" si="14"/>
        <v>100</v>
      </c>
      <c r="X40" s="1581"/>
      <c r="Y40" s="3702"/>
      <c r="Z40" s="1571" t="str">
        <f t="shared" si="15"/>
        <v>市政基础设施</v>
      </c>
      <c r="AA40" s="1597">
        <f t="shared" si="3"/>
        <v>1</v>
      </c>
      <c r="AB40" s="1597">
        <f t="shared" si="4"/>
        <v>1</v>
      </c>
      <c r="AC40" s="1946">
        <f t="shared" si="5"/>
        <v>1</v>
      </c>
    </row>
    <row r="41" spans="1:29" ht="15" hidden="1">
      <c r="A41" s="1463"/>
      <c r="B41" s="1409" t="s">
        <v>1597</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698"/>
      <c r="Q41" s="974" t="str">
        <f t="shared" si="11"/>
        <v>层高</v>
      </c>
      <c r="R41" s="1587" t="s">
        <v>1517</v>
      </c>
      <c r="S41" s="1588">
        <f t="shared" si="12"/>
        <v>100</v>
      </c>
      <c r="T41" s="1587" t="s">
        <v>1517</v>
      </c>
      <c r="U41" s="1588">
        <f t="shared" si="13"/>
        <v>100</v>
      </c>
      <c r="V41" s="1587" t="s">
        <v>1517</v>
      </c>
      <c r="W41" s="1588">
        <f t="shared" si="14"/>
        <v>100</v>
      </c>
      <c r="X41" s="1581"/>
      <c r="Y41" s="3702"/>
      <c r="Z41" s="1571" t="str">
        <f t="shared" si="15"/>
        <v>层高</v>
      </c>
      <c r="AA41" s="1597">
        <f t="shared" si="3"/>
        <v>1</v>
      </c>
      <c r="AB41" s="1597">
        <f t="shared" si="4"/>
        <v>1</v>
      </c>
      <c r="AC41" s="1946">
        <f t="shared" si="5"/>
        <v>1</v>
      </c>
    </row>
    <row r="42" spans="1:29" s="1373" customFormat="1" ht="15" hidden="1">
      <c r="A42" s="1468"/>
      <c r="B42" s="1566" t="s">
        <v>1616</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698"/>
      <c r="Q42" s="1814" t="str">
        <f t="shared" si="11"/>
        <v>单套建筑面积</v>
      </c>
      <c r="R42" s="1589" t="s">
        <v>1517</v>
      </c>
      <c r="S42" s="1590">
        <f t="shared" si="12"/>
        <v>100</v>
      </c>
      <c r="T42" s="1589" t="s">
        <v>1517</v>
      </c>
      <c r="U42" s="1590">
        <f t="shared" si="13"/>
        <v>100</v>
      </c>
      <c r="V42" s="1589" t="s">
        <v>1517</v>
      </c>
      <c r="W42" s="1590">
        <f t="shared" si="14"/>
        <v>100</v>
      </c>
      <c r="X42" s="1591"/>
      <c r="Y42" s="3702"/>
      <c r="Z42" s="1598" t="str">
        <f t="shared" si="15"/>
        <v>单套建筑面积</v>
      </c>
      <c r="AA42" s="1597">
        <f t="shared" si="3"/>
        <v>1</v>
      </c>
      <c r="AB42" s="1597">
        <f t="shared" si="4"/>
        <v>1</v>
      </c>
      <c r="AC42" s="1946">
        <f t="shared" si="5"/>
        <v>1</v>
      </c>
    </row>
    <row r="43" spans="1:29" ht="15">
      <c r="A43" s="1463"/>
      <c r="B43" s="1409" t="s">
        <v>1546</v>
      </c>
      <c r="C43" s="1785" t="s">
        <v>1617</v>
      </c>
      <c r="D43" s="1421">
        <v>100</v>
      </c>
      <c r="E43" s="1785" t="s">
        <v>1617</v>
      </c>
      <c r="F43" s="1775">
        <f>SUMIF(123:123,E43,124:124)-SUMIF(123:123,C43,124:124)+100</f>
        <v>100</v>
      </c>
      <c r="G43" s="1785" t="s">
        <v>1617</v>
      </c>
      <c r="H43" s="1421">
        <f>SUMIF(123:123,G43,124:124)-SUMIF(123:123,C43,124:124)+100</f>
        <v>100</v>
      </c>
      <c r="I43" s="1785" t="s">
        <v>1617</v>
      </c>
      <c r="J43" s="1421">
        <f>SUMIF(123:123,I43,124:124)-SUMIF(123:123,C43,124:124)+100</f>
        <v>100</v>
      </c>
      <c r="K43" s="1557">
        <v>1</v>
      </c>
      <c r="L43" s="1551"/>
      <c r="M43" s="1539"/>
      <c r="N43" s="1539"/>
      <c r="O43" s="1539"/>
      <c r="P43" s="3698"/>
      <c r="Q43" s="974" t="str">
        <f t="shared" si="11"/>
        <v>内部装修</v>
      </c>
      <c r="R43" s="1587" t="s">
        <v>1517</v>
      </c>
      <c r="S43" s="1588">
        <f t="shared" si="12"/>
        <v>100</v>
      </c>
      <c r="T43" s="1587" t="s">
        <v>1517</v>
      </c>
      <c r="U43" s="1588">
        <f t="shared" si="13"/>
        <v>100</v>
      </c>
      <c r="V43" s="1587" t="s">
        <v>1517</v>
      </c>
      <c r="W43" s="1588">
        <f t="shared" si="14"/>
        <v>100</v>
      </c>
      <c r="X43" s="1581"/>
      <c r="Y43" s="3702"/>
      <c r="Z43" s="1571" t="str">
        <f t="shared" si="15"/>
        <v>内部装修</v>
      </c>
      <c r="AA43" s="1597">
        <f t="shared" si="3"/>
        <v>1</v>
      </c>
      <c r="AB43" s="1597">
        <f t="shared" si="4"/>
        <v>1</v>
      </c>
      <c r="AC43" s="1946">
        <f t="shared" si="5"/>
        <v>1</v>
      </c>
    </row>
    <row r="44" spans="1:29" ht="15">
      <c r="A44" s="1463"/>
      <c r="B44" s="1409" t="s">
        <v>1547</v>
      </c>
      <c r="C44" s="1785" t="s">
        <v>1610</v>
      </c>
      <c r="D44" s="1421">
        <v>100</v>
      </c>
      <c r="E44" s="1785" t="s">
        <v>1610</v>
      </c>
      <c r="F44" s="1775">
        <f>SUMIF(125:125,E44,126:126)-SUMIF(125:125,C44,126:126)+100</f>
        <v>100</v>
      </c>
      <c r="G44" s="1785" t="s">
        <v>1610</v>
      </c>
      <c r="H44" s="1421">
        <f>SUMIF(125:125,G44,126:126)-SUMIF(125:125,C44,126:126)+100</f>
        <v>100</v>
      </c>
      <c r="I44" s="1785" t="s">
        <v>1610</v>
      </c>
      <c r="J44" s="1421">
        <f>SUMIF(125:125,I44,126:126)-SUMIF(125:125,C44,126:126)+100</f>
        <v>100</v>
      </c>
      <c r="K44" s="1557">
        <v>2</v>
      </c>
      <c r="L44" s="1551"/>
      <c r="M44" s="1539"/>
      <c r="N44" s="1539"/>
      <c r="O44" s="1539"/>
      <c r="P44" s="3698"/>
      <c r="Q44" s="974" t="str">
        <f t="shared" si="11"/>
        <v>内部装修维护情况</v>
      </c>
      <c r="R44" s="1587" t="s">
        <v>1517</v>
      </c>
      <c r="S44" s="1588">
        <f t="shared" si="12"/>
        <v>100</v>
      </c>
      <c r="T44" s="1587" t="s">
        <v>1517</v>
      </c>
      <c r="U44" s="1588">
        <f t="shared" si="13"/>
        <v>100</v>
      </c>
      <c r="V44" s="1587" t="s">
        <v>1517</v>
      </c>
      <c r="W44" s="1588">
        <f t="shared" si="14"/>
        <v>100</v>
      </c>
      <c r="X44" s="1581"/>
      <c r="Y44" s="3702"/>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698"/>
      <c r="Q45" s="1586">
        <f t="shared" si="11"/>
        <v>0</v>
      </c>
      <c r="R45" s="1582" t="s">
        <v>1517</v>
      </c>
      <c r="S45" s="1583">
        <f t="shared" si="12"/>
        <v>100</v>
      </c>
      <c r="T45" s="1582" t="s">
        <v>1517</v>
      </c>
      <c r="U45" s="1583">
        <f t="shared" si="13"/>
        <v>100</v>
      </c>
      <c r="V45" s="1582" t="s">
        <v>1517</v>
      </c>
      <c r="W45" s="1583">
        <f t="shared" si="14"/>
        <v>100</v>
      </c>
      <c r="X45" s="1584"/>
      <c r="Y45" s="3702"/>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698"/>
      <c r="Q46" s="974">
        <f t="shared" si="11"/>
        <v>111</v>
      </c>
      <c r="R46" s="1587" t="s">
        <v>1517</v>
      </c>
      <c r="S46" s="1588">
        <f t="shared" si="12"/>
        <v>100</v>
      </c>
      <c r="T46" s="1587" t="s">
        <v>1517</v>
      </c>
      <c r="U46" s="1588">
        <f t="shared" si="13"/>
        <v>100</v>
      </c>
      <c r="V46" s="1587" t="s">
        <v>1517</v>
      </c>
      <c r="W46" s="1588">
        <f t="shared" si="14"/>
        <v>100</v>
      </c>
      <c r="X46" s="1581"/>
      <c r="Y46" s="3702"/>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699"/>
      <c r="Q47" s="974">
        <f t="shared" si="11"/>
        <v>111</v>
      </c>
      <c r="R47" s="1587" t="s">
        <v>1517</v>
      </c>
      <c r="S47" s="1588">
        <f t="shared" si="12"/>
        <v>100</v>
      </c>
      <c r="T47" s="1587" t="s">
        <v>1517</v>
      </c>
      <c r="U47" s="1588">
        <f t="shared" si="13"/>
        <v>100</v>
      </c>
      <c r="V47" s="1587" t="s">
        <v>1517</v>
      </c>
      <c r="W47" s="1588">
        <f t="shared" si="14"/>
        <v>100</v>
      </c>
      <c r="X47" s="1581"/>
      <c r="Y47" s="3703"/>
      <c r="Z47" s="1571">
        <f t="shared" si="15"/>
        <v>111</v>
      </c>
      <c r="AA47" s="1597">
        <f t="shared" si="3"/>
        <v>1</v>
      </c>
      <c r="AB47" s="1597">
        <f t="shared" si="4"/>
        <v>1</v>
      </c>
      <c r="AC47" s="1946">
        <f t="shared" si="5"/>
        <v>1</v>
      </c>
    </row>
    <row r="48" spans="1:29" ht="15">
      <c r="A48" s="1470" t="s">
        <v>1548</v>
      </c>
      <c r="B48" s="1789"/>
      <c r="C48" s="1790" t="s">
        <v>124</v>
      </c>
      <c r="D48" s="1791"/>
      <c r="E48" s="1792">
        <v>23000</v>
      </c>
      <c r="F48" s="1793"/>
      <c r="G48" s="1794">
        <v>20000</v>
      </c>
      <c r="H48" s="1795"/>
      <c r="I48" s="1792">
        <v>21000</v>
      </c>
      <c r="J48" s="1477"/>
      <c r="K48" s="1562"/>
      <c r="L48" s="1563"/>
      <c r="M48" s="1539"/>
      <c r="N48" s="1539"/>
      <c r="O48" s="1539"/>
      <c r="P48" s="3694" t="str">
        <f>A48</f>
        <v>成交单价（元/平方米）</v>
      </c>
      <c r="Q48" s="3692"/>
      <c r="R48" s="3693">
        <f>E48</f>
        <v>23000</v>
      </c>
      <c r="S48" s="3693"/>
      <c r="T48" s="3693">
        <f>G48</f>
        <v>20000</v>
      </c>
      <c r="U48" s="3693"/>
      <c r="V48" s="3693">
        <f>I48</f>
        <v>21000</v>
      </c>
      <c r="W48" s="3693"/>
      <c r="X48" s="1720"/>
      <c r="Y48" s="1599"/>
      <c r="Z48" s="1720"/>
      <c r="AA48" s="1720"/>
      <c r="AB48" s="1720"/>
      <c r="AC48" s="1431"/>
    </row>
    <row r="49" spans="1:29" ht="15">
      <c r="A49" s="1478" t="s">
        <v>1549</v>
      </c>
      <c r="B49" s="1796"/>
      <c r="C49" s="1797">
        <f>R50</f>
        <v>21753</v>
      </c>
      <c r="D49" s="1481" t="s">
        <v>1550</v>
      </c>
      <c r="E49" s="1798">
        <f>R49</f>
        <v>23755</v>
      </c>
      <c r="F49" s="1482"/>
      <c r="G49" s="1797">
        <f>T49</f>
        <v>19814</v>
      </c>
      <c r="H49" s="1482"/>
      <c r="I49" s="1798">
        <f>V49</f>
        <v>21690</v>
      </c>
      <c r="J49" s="1482"/>
      <c r="K49" s="1564">
        <f>F49+H49+J49</f>
        <v>0</v>
      </c>
      <c r="L49" s="1563"/>
      <c r="M49" s="1539"/>
      <c r="N49" s="1539"/>
      <c r="O49" s="1539"/>
      <c r="P49" s="3694" t="str">
        <f>A49</f>
        <v>比较价值（元/平方米）</v>
      </c>
      <c r="Q49" s="3692"/>
      <c r="R49" s="3693">
        <f>IF(F1="售价",ROUND(PRODUCT(R48,AA7:AA47),0),ROUND(PRODUCT(R48,AA7:AA47),1))</f>
        <v>23755</v>
      </c>
      <c r="S49" s="3693"/>
      <c r="T49" s="3693">
        <f>IF(F1="售价",ROUND(PRODUCT(T48,AB7:AB47),0),ROUND(PRODUCT(T48,AB7:AB47),1))</f>
        <v>19814</v>
      </c>
      <c r="U49" s="3693"/>
      <c r="V49" s="3693">
        <f>IF(F1="售价",ROUND(PRODUCT(V48,AC7:AC47),0),ROUND(PRODUCT(V48,AC7:AC47),1))</f>
        <v>21690</v>
      </c>
      <c r="W49" s="3693"/>
      <c r="X49" s="1720"/>
      <c r="Y49" s="1720"/>
      <c r="Z49" s="1720"/>
      <c r="AA49" s="1720"/>
      <c r="AB49" s="1720"/>
      <c r="AC49" s="1431"/>
    </row>
    <row r="50" spans="1:29" ht="15">
      <c r="A50" s="1484" t="s">
        <v>1551</v>
      </c>
      <c r="B50" s="1485"/>
      <c r="C50" s="1799">
        <f>R50</f>
        <v>21753</v>
      </c>
      <c r="D50" s="1799"/>
      <c r="E50" s="1799"/>
      <c r="F50" s="1799"/>
      <c r="G50" s="1799"/>
      <c r="H50" s="1799"/>
      <c r="I50" s="1799"/>
      <c r="J50" s="1486"/>
      <c r="K50" s="1565"/>
      <c r="L50" s="1563"/>
      <c r="M50" s="1539"/>
      <c r="N50" s="1539"/>
      <c r="O50" s="1539"/>
      <c r="P50" s="3725" t="str">
        <f>A50</f>
        <v>估价对象XX用房的比较价值（楼面单价，元/平方米）</v>
      </c>
      <c r="Q50" s="3726"/>
      <c r="R50" s="3727">
        <f>IF(F1="售价",ROUND(IF(D49="简单平均",AVERAGE(R49:V49),R49*F49+T49*H49+V49*J49),0),ROUND(IF(D49="简单平均",AVERAGE(R49:V49),R49*F49+T49*H49+V49*J49),1))</f>
        <v>21753</v>
      </c>
      <c r="S50" s="3727"/>
      <c r="T50" s="3727"/>
      <c r="U50" s="3727"/>
      <c r="V50" s="3727"/>
      <c r="W50" s="3727"/>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1552</v>
      </c>
      <c r="D53" s="1018"/>
      <c r="E53" s="1490">
        <f>IF(E48&lt;E49,E49/E48-1,E48/E49-1)</f>
        <v>3.2826086956521783E-2</v>
      </c>
      <c r="F53" s="1491" t="str">
        <f>IF(OR(E53&gt;=0.3,E53&lt;=-0.3),"超过30%","")</f>
        <v/>
      </c>
      <c r="G53" s="1490">
        <f>IF(G48&lt;G49,G49/G48-1,G48/G49-1)</f>
        <v>9.3873019077419517E-3</v>
      </c>
      <c r="H53" s="1491" t="str">
        <f>IF(OR(G53&gt;=0.3,G53&lt;=-0.3),"超过30%","")</f>
        <v/>
      </c>
      <c r="I53" s="1490">
        <f>IF(I48&lt;I49,I49/I48-1,I48/I49-1)</f>
        <v>3.2857142857142918E-2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1553</v>
      </c>
      <c r="D54" s="1017"/>
      <c r="E54" s="1490">
        <f>IF(E49&lt;G49,G49/E49-1,E49/G49-1)</f>
        <v>0.19889976784092056</v>
      </c>
      <c r="F54" s="1491" t="str">
        <f>IF(OR(E54&gt;=0.2,E54&lt;=-0.2),"超过20%","")</f>
        <v/>
      </c>
      <c r="G54" s="1490">
        <f>IF(G49&lt;I49,I49/G49-1,G49/I49-1)</f>
        <v>9.4680528918946294E-2</v>
      </c>
      <c r="H54" s="1491" t="str">
        <f>IF(OR(G54&gt;=0.2,G54&lt;=-0.2),"超过20%","")</f>
        <v/>
      </c>
      <c r="I54" s="1490">
        <f>IF(I49&lt;E49,E49/I49-1,I49/E49-1)</f>
        <v>9.5205163669894066E-2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1554</v>
      </c>
      <c r="D55" s="1017"/>
      <c r="E55" s="1490">
        <f>IF(E48&lt;G48,G48/E48-1,E48/G48-1)</f>
        <v>0.15</v>
      </c>
      <c r="F55" s="1491" t="str">
        <f>IF(OR(E55&gt;=0.3,E55&lt;=-0.3),"超过30%","")</f>
        <v/>
      </c>
      <c r="G55" s="1490">
        <f>IF(G48&lt;I48,I48/G48-1,G48/I48-1)</f>
        <v>0.05</v>
      </c>
      <c r="H55" s="1491" t="str">
        <f>IF(OR(G55&gt;=0.3,G55&lt;=-0.3),"超过30%","")</f>
        <v/>
      </c>
      <c r="I55" s="1490">
        <f>IF(I48&lt;E48,E48/I48-1,I48/E48-1)</f>
        <v>9.5238095238095302E-2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1555</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1515</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1556</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1518</v>
      </c>
      <c r="B62" s="1611"/>
      <c r="C62" s="1612" t="s">
        <v>1557</v>
      </c>
      <c r="D62" s="1941" t="s">
        <v>1606</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103</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1558</v>
      </c>
      <c r="B64" s="1617" t="s">
        <v>1521</v>
      </c>
      <c r="C64" s="1639" t="str">
        <f>C9</f>
        <v>研发</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1524</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1525</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1526</v>
      </c>
      <c r="B77" s="1617" t="s">
        <v>1607</v>
      </c>
      <c r="C77" s="1638" t="s">
        <v>1559</v>
      </c>
      <c r="D77" s="1638" t="s">
        <v>1560</v>
      </c>
      <c r="E77" s="1638" t="s">
        <v>1561</v>
      </c>
      <c r="F77" s="1638" t="s">
        <v>1562</v>
      </c>
      <c r="G77" s="1638" t="s">
        <v>1563</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1529</v>
      </c>
      <c r="C79" s="1640" t="s">
        <v>1559</v>
      </c>
      <c r="D79" s="1640" t="s">
        <v>1560</v>
      </c>
      <c r="E79" s="1640" t="s">
        <v>1561</v>
      </c>
      <c r="F79" s="1640" t="s">
        <v>1562</v>
      </c>
      <c r="G79" s="1640" t="s">
        <v>1563</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1530</v>
      </c>
      <c r="C81" s="1640" t="s">
        <v>1559</v>
      </c>
      <c r="D81" s="1640" t="s">
        <v>1560</v>
      </c>
      <c r="E81" s="1640" t="s">
        <v>1561</v>
      </c>
      <c r="F81" s="1640" t="s">
        <v>1562</v>
      </c>
      <c r="G81" s="1640" t="s">
        <v>1563</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1531</v>
      </c>
      <c r="C83" s="1645" t="s">
        <v>1564</v>
      </c>
      <c r="D83" s="1645" t="s">
        <v>1565</v>
      </c>
      <c r="E83" s="1645" t="s">
        <v>1566</v>
      </c>
      <c r="F83" s="1645" t="s">
        <v>1567</v>
      </c>
      <c r="G83" s="1645" t="s">
        <v>1568</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1609</v>
      </c>
      <c r="C85" s="1640" t="s">
        <v>1559</v>
      </c>
      <c r="D85" s="1640" t="s">
        <v>1560</v>
      </c>
      <c r="E85" s="1640" t="s">
        <v>1561</v>
      </c>
      <c r="F85" s="1640" t="s">
        <v>1562</v>
      </c>
      <c r="G85" s="1640" t="s">
        <v>1563</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1611</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1535</v>
      </c>
      <c r="B101" s="1617" t="s">
        <v>1536</v>
      </c>
      <c r="C101" s="1949" t="s">
        <v>1612</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1538</v>
      </c>
      <c r="C103" s="1640" t="str">
        <f>C104&amp;"(含)"&amp;"-"&amp;D104</f>
        <v>0(含)-500</v>
      </c>
      <c r="D103" s="1640" t="str">
        <f t="shared" ref="D103:L103" si="23">D104&amp;"(含)"&amp;"-"&amp;E104</f>
        <v>500(含)-1000</v>
      </c>
      <c r="E103" s="1640" t="str">
        <f t="shared" si="23"/>
        <v>1000(含)-1500</v>
      </c>
      <c r="F103" s="1640" t="str">
        <f t="shared" si="23"/>
        <v>1500(含)-2000</v>
      </c>
      <c r="G103" s="1640" t="str">
        <f t="shared" si="23"/>
        <v>2000(含)-2500</v>
      </c>
      <c r="H103" s="1640" t="str">
        <f t="shared" si="23"/>
        <v>2500(含)-3000</v>
      </c>
      <c r="I103" s="1640" t="str">
        <f t="shared" si="23"/>
        <v>3000(含)-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3807">
        <v>0</v>
      </c>
      <c r="D104" s="3807">
        <v>500</v>
      </c>
      <c r="E104" s="3807">
        <v>1000</v>
      </c>
      <c r="F104" s="3807">
        <v>1500</v>
      </c>
      <c r="G104" s="3807">
        <v>2000</v>
      </c>
      <c r="H104" s="3807">
        <v>2500</v>
      </c>
      <c r="I104" s="3807">
        <v>3000</v>
      </c>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3808">
        <v>105</v>
      </c>
      <c r="D105" s="3809">
        <v>100</v>
      </c>
      <c r="E105" s="3809">
        <v>98</v>
      </c>
      <c r="F105" s="3809">
        <v>96</v>
      </c>
      <c r="G105" s="3809">
        <v>94</v>
      </c>
      <c r="H105" s="3809">
        <v>92</v>
      </c>
      <c r="I105" s="3809">
        <v>90</v>
      </c>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1539</v>
      </c>
      <c r="C106" s="1950" t="s">
        <v>1613</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1541</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1614</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1542</v>
      </c>
      <c r="C115" s="1950" t="s">
        <v>1615</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1543</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1618</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1598</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1546</v>
      </c>
      <c r="C123" s="1950" t="s">
        <v>1619</v>
      </c>
      <c r="D123" s="1950" t="s">
        <v>1620</v>
      </c>
      <c r="E123" s="1950" t="s">
        <v>1617</v>
      </c>
      <c r="F123" s="1951" t="s">
        <v>1621</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1547</v>
      </c>
      <c r="C125" s="1640" t="s">
        <v>1559</v>
      </c>
      <c r="D125" s="1640" t="s">
        <v>1560</v>
      </c>
      <c r="E125" s="1640" t="s">
        <v>1561</v>
      </c>
      <c r="F125" s="1640" t="s">
        <v>1562</v>
      </c>
      <c r="G125" s="1640" t="s">
        <v>1563</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1622</v>
      </c>
      <c r="D127" s="1952" t="s">
        <v>1623</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1624</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1035</v>
      </c>
      <c r="B3" s="1388">
        <f>IF(C2="——",C43,ROUND(B2*10000/D3,0))</f>
        <v>0</v>
      </c>
      <c r="C3" s="1762" t="s">
        <v>1501</v>
      </c>
      <c r="D3" s="1763">
        <f>IF(D1="",'数据-汇总表'!E3,SUMIF('数据-汇总表'!$C19:$C33,D1,'数据-汇总表'!$E19:$E33))</f>
        <v>879.38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891"/>
      <c r="M4" s="1892"/>
      <c r="N4" s="1892"/>
      <c r="O4" s="1892"/>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891"/>
      <c r="M5" s="1892"/>
      <c r="N5" s="1892"/>
      <c r="O5" s="1892"/>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891"/>
      <c r="M6" s="1892"/>
      <c r="N6" s="1892"/>
      <c r="O6" s="1892"/>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40" si="3">D8/F8</f>
        <v>1</v>
      </c>
      <c r="AB8" s="1595">
        <f t="shared" ref="AB8:AB40" si="4">D8/H8</f>
        <v>1</v>
      </c>
      <c r="AC8" s="1595">
        <f t="shared" ref="AC8:AC40" si="5">D8/J8</f>
        <v>1</v>
      </c>
    </row>
    <row r="9" spans="1:29" s="1371" customFormat="1">
      <c r="A9" s="1404" t="s">
        <v>1520</v>
      </c>
      <c r="B9" s="1405" t="s">
        <v>1521</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2"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2"/>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595">
        <f t="shared" si="5"/>
        <v>1</v>
      </c>
    </row>
    <row r="11" spans="1:29" ht="15">
      <c r="A11" s="1412"/>
      <c r="B11" s="1409" t="s">
        <v>1525</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2"/>
      <c r="Q11" s="1586" t="str">
        <f t="shared" si="6"/>
        <v>容积率</v>
      </c>
      <c r="R11" s="1582" t="s">
        <v>1517</v>
      </c>
      <c r="S11" s="1583">
        <f t="shared" si="0"/>
        <v>100</v>
      </c>
      <c r="T11" s="1582" t="s">
        <v>1517</v>
      </c>
      <c r="U11" s="1583">
        <f t="shared" si="1"/>
        <v>100</v>
      </c>
      <c r="V11" s="1582" t="s">
        <v>1517</v>
      </c>
      <c r="W11" s="1583">
        <f t="shared" si="2"/>
        <v>100</v>
      </c>
      <c r="X11" s="1584"/>
      <c r="Y11" s="3647"/>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2"/>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2"/>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2"/>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595">
        <f t="shared" si="5"/>
        <v>1</v>
      </c>
    </row>
    <row r="15" spans="1:29" ht="57">
      <c r="A15" s="1426" t="s">
        <v>1526</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0" t="s">
        <v>1528</v>
      </c>
      <c r="Q15" s="974" t="str">
        <f t="shared" si="6"/>
        <v>产业集聚程度</v>
      </c>
      <c r="R15" s="1587" t="s">
        <v>1517</v>
      </c>
      <c r="S15" s="1588">
        <f t="shared" si="0"/>
        <v>100</v>
      </c>
      <c r="T15" s="1587" t="s">
        <v>1517</v>
      </c>
      <c r="U15" s="1588">
        <f t="shared" si="1"/>
        <v>100</v>
      </c>
      <c r="V15" s="1587" t="s">
        <v>1517</v>
      </c>
      <c r="W15" s="1588">
        <f t="shared" si="2"/>
        <v>100</v>
      </c>
      <c r="X15" s="1581"/>
      <c r="Y15" s="3700" t="s">
        <v>1528</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1"/>
      <c r="Q16" s="974"/>
      <c r="R16" s="1587"/>
      <c r="S16" s="1588"/>
      <c r="T16" s="1587"/>
      <c r="U16" s="1588"/>
      <c r="V16" s="1587"/>
      <c r="W16" s="1588"/>
      <c r="X16" s="1581"/>
      <c r="Y16" s="3701"/>
      <c r="Z16" s="1571"/>
      <c r="AA16" s="1597">
        <v>1</v>
      </c>
      <c r="AB16" s="1597">
        <v>1</v>
      </c>
      <c r="AC16" s="1597">
        <v>1</v>
      </c>
    </row>
    <row r="17" spans="1:29" ht="85.5">
      <c r="A17" s="1412"/>
      <c r="B17" s="1721" t="s">
        <v>1529</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1"/>
      <c r="Q17" s="974" t="str">
        <f>B17</f>
        <v>交通便捷度</v>
      </c>
      <c r="R17" s="1587" t="s">
        <v>1517</v>
      </c>
      <c r="S17" s="1588">
        <f>F17</f>
        <v>100</v>
      </c>
      <c r="T17" s="1587" t="s">
        <v>1517</v>
      </c>
      <c r="U17" s="1588">
        <f>H17</f>
        <v>100</v>
      </c>
      <c r="V17" s="1587" t="s">
        <v>1517</v>
      </c>
      <c r="W17" s="1588">
        <f>J17</f>
        <v>100</v>
      </c>
      <c r="X17" s="1581"/>
      <c r="Y17" s="3701"/>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1"/>
      <c r="Q18" s="974"/>
      <c r="R18" s="1587"/>
      <c r="S18" s="1588"/>
      <c r="T18" s="1587"/>
      <c r="U18" s="1588"/>
      <c r="V18" s="1587"/>
      <c r="W18" s="1588"/>
      <c r="X18" s="1581"/>
      <c r="Y18" s="3701"/>
      <c r="Z18" s="1571"/>
      <c r="AA18" s="1597">
        <v>1</v>
      </c>
      <c r="AB18" s="1597">
        <v>1</v>
      </c>
      <c r="AC18" s="1597">
        <v>1</v>
      </c>
    </row>
    <row r="19" spans="1:29" ht="42.75">
      <c r="A19" s="1412"/>
      <c r="B19" s="1721" t="s">
        <v>1530</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1"/>
      <c r="Q19" s="974" t="str">
        <f>B19</f>
        <v>公共配套设施</v>
      </c>
      <c r="R19" s="1587" t="s">
        <v>1517</v>
      </c>
      <c r="S19" s="1588">
        <f>F19</f>
        <v>100</v>
      </c>
      <c r="T19" s="1587" t="s">
        <v>1517</v>
      </c>
      <c r="U19" s="1588">
        <f>H19</f>
        <v>100</v>
      </c>
      <c r="V19" s="1587" t="s">
        <v>1517</v>
      </c>
      <c r="W19" s="1588">
        <f>J19</f>
        <v>100</v>
      </c>
      <c r="X19" s="1581"/>
      <c r="Y19" s="3701"/>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1"/>
      <c r="Q20" s="974"/>
      <c r="R20" s="1587"/>
      <c r="S20" s="1588"/>
      <c r="T20" s="1587"/>
      <c r="U20" s="1588"/>
      <c r="V20" s="1587"/>
      <c r="W20" s="1588"/>
      <c r="X20" s="1581"/>
      <c r="Y20" s="3701"/>
      <c r="Z20" s="1571"/>
      <c r="AA20" s="1597">
        <v>1</v>
      </c>
      <c r="AB20" s="1597">
        <v>1</v>
      </c>
      <c r="AC20" s="1597">
        <v>1</v>
      </c>
    </row>
    <row r="21" spans="1:29" ht="28.5">
      <c r="A21" s="1412"/>
      <c r="B21" s="1725" t="s">
        <v>1531</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1"/>
      <c r="Q21" s="974" t="str">
        <f>B21</f>
        <v>基础设施水平</v>
      </c>
      <c r="R21" s="1587" t="s">
        <v>1517</v>
      </c>
      <c r="S21" s="1588">
        <f>F21</f>
        <v>100</v>
      </c>
      <c r="T21" s="1587" t="s">
        <v>1517</v>
      </c>
      <c r="U21" s="1588">
        <f>H21</f>
        <v>100</v>
      </c>
      <c r="V21" s="1587" t="s">
        <v>1517</v>
      </c>
      <c r="W21" s="1588">
        <f>J21</f>
        <v>100</v>
      </c>
      <c r="X21" s="1581"/>
      <c r="Y21" s="3701"/>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1"/>
      <c r="Q22" s="974"/>
      <c r="R22" s="1587"/>
      <c r="S22" s="1588"/>
      <c r="T22" s="1587"/>
      <c r="U22" s="1588"/>
      <c r="V22" s="1587"/>
      <c r="W22" s="1588"/>
      <c r="X22" s="1581"/>
      <c r="Y22" s="3701"/>
      <c r="Z22" s="1571"/>
      <c r="AA22" s="1597">
        <v>1</v>
      </c>
      <c r="AB22" s="1597">
        <v>1</v>
      </c>
      <c r="AC22" s="1597">
        <v>1</v>
      </c>
    </row>
    <row r="23" spans="1:29" ht="71.25">
      <c r="A23" s="1412"/>
      <c r="B23" s="1721" t="s">
        <v>1609</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1"/>
      <c r="Q23" s="974" t="str">
        <f>B23</f>
        <v>环境质量</v>
      </c>
      <c r="R23" s="1587" t="s">
        <v>1517</v>
      </c>
      <c r="S23" s="1588">
        <f>F23</f>
        <v>100</v>
      </c>
      <c r="T23" s="1587" t="s">
        <v>1517</v>
      </c>
      <c r="U23" s="1588">
        <f>H23</f>
        <v>100</v>
      </c>
      <c r="V23" s="1587" t="s">
        <v>1517</v>
      </c>
      <c r="W23" s="1588">
        <f>J23</f>
        <v>100</v>
      </c>
      <c r="X23" s="1581"/>
      <c r="Y23" s="3701"/>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1"/>
      <c r="Q24" s="974"/>
      <c r="R24" s="1587"/>
      <c r="S24" s="1588"/>
      <c r="T24" s="1587"/>
      <c r="U24" s="1588"/>
      <c r="V24" s="1587"/>
      <c r="W24" s="1588"/>
      <c r="X24" s="1581"/>
      <c r="Y24" s="3701"/>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1"/>
      <c r="Q25" s="974">
        <f>B25</f>
        <v>111</v>
      </c>
      <c r="R25" s="1587" t="s">
        <v>1517</v>
      </c>
      <c r="S25" s="1588">
        <f>F25</f>
        <v>100</v>
      </c>
      <c r="T25" s="1587" t="s">
        <v>1517</v>
      </c>
      <c r="U25" s="1588">
        <f>H25</f>
        <v>100</v>
      </c>
      <c r="V25" s="1587" t="s">
        <v>1517</v>
      </c>
      <c r="W25" s="1588">
        <f>J25</f>
        <v>100</v>
      </c>
      <c r="X25" s="1581"/>
      <c r="Y25" s="3701"/>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1"/>
      <c r="Q26" s="974">
        <f t="shared" ref="Q26:Q40" si="11">B26</f>
        <v>111</v>
      </c>
      <c r="R26" s="1587" t="s">
        <v>1517</v>
      </c>
      <c r="S26" s="1588">
        <f>F26</f>
        <v>100</v>
      </c>
      <c r="T26" s="1587" t="s">
        <v>1517</v>
      </c>
      <c r="U26" s="1588">
        <f>H26</f>
        <v>100</v>
      </c>
      <c r="V26" s="1587" t="s">
        <v>1517</v>
      </c>
      <c r="W26" s="1588">
        <f>J26</f>
        <v>100</v>
      </c>
      <c r="X26" s="1581"/>
      <c r="Y26" s="3701"/>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1"/>
      <c r="Q27" s="1586">
        <f t="shared" si="11"/>
        <v>111</v>
      </c>
      <c r="R27" s="1582" t="s">
        <v>1517</v>
      </c>
      <c r="S27" s="1583">
        <f>F27</f>
        <v>100</v>
      </c>
      <c r="T27" s="1582" t="s">
        <v>1517</v>
      </c>
      <c r="U27" s="1583">
        <f>H27</f>
        <v>100</v>
      </c>
      <c r="V27" s="1582" t="s">
        <v>1517</v>
      </c>
      <c r="W27" s="1583">
        <f>J27</f>
        <v>100</v>
      </c>
      <c r="X27" s="1584"/>
      <c r="Y27" s="3701"/>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1"/>
      <c r="Q28" s="974">
        <f t="shared" si="11"/>
        <v>111</v>
      </c>
      <c r="R28" s="1587" t="s">
        <v>1517</v>
      </c>
      <c r="S28" s="1588">
        <f t="shared" ref="S28:S40" si="12">F28</f>
        <v>100</v>
      </c>
      <c r="T28" s="1587" t="s">
        <v>1517</v>
      </c>
      <c r="U28" s="1588">
        <f t="shared" ref="U28:U40" si="13">H28</f>
        <v>100</v>
      </c>
      <c r="V28" s="1587" t="s">
        <v>1517</v>
      </c>
      <c r="W28" s="1588">
        <f t="shared" ref="W28:W40" si="14">J28</f>
        <v>100</v>
      </c>
      <c r="X28" s="1581"/>
      <c r="Y28" s="3701"/>
      <c r="Z28" s="1571">
        <f t="shared" ref="Z28:Z40" si="15">Q28</f>
        <v>111</v>
      </c>
      <c r="AA28" s="1597">
        <f t="shared" si="3"/>
        <v>1</v>
      </c>
      <c r="AB28" s="1597">
        <f t="shared" si="4"/>
        <v>1</v>
      </c>
      <c r="AC28" s="1597">
        <f t="shared" si="5"/>
        <v>1</v>
      </c>
    </row>
    <row r="29" spans="1:29" ht="28.5">
      <c r="A29" s="1779" t="s">
        <v>1535</v>
      </c>
      <c r="B29" s="1405" t="s">
        <v>1536</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39" t="s">
        <v>1537</v>
      </c>
      <c r="Q29" s="974" t="str">
        <f t="shared" si="11"/>
        <v>建筑类型</v>
      </c>
      <c r="R29" s="1587" t="s">
        <v>1517</v>
      </c>
      <c r="S29" s="1588">
        <f t="shared" si="12"/>
        <v>100</v>
      </c>
      <c r="T29" s="1587" t="s">
        <v>1517</v>
      </c>
      <c r="U29" s="1588">
        <f t="shared" si="13"/>
        <v>100</v>
      </c>
      <c r="V29" s="1587" t="s">
        <v>1517</v>
      </c>
      <c r="W29" s="1588">
        <f t="shared" si="14"/>
        <v>100</v>
      </c>
      <c r="X29" s="1581"/>
      <c r="Y29" s="3702" t="s">
        <v>1537</v>
      </c>
      <c r="Z29" s="1571" t="str">
        <f t="shared" si="15"/>
        <v>建筑类型</v>
      </c>
      <c r="AA29" s="1597">
        <f t="shared" si="3"/>
        <v>1</v>
      </c>
      <c r="AB29" s="1597">
        <f t="shared" si="4"/>
        <v>1</v>
      </c>
      <c r="AC29" s="1597">
        <f t="shared" si="5"/>
        <v>1</v>
      </c>
    </row>
    <row r="30" spans="1:29" s="1373" customFormat="1" ht="15">
      <c r="A30" s="1468"/>
      <c r="B30" s="1409" t="s">
        <v>1538</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2"/>
      <c r="Q30" s="1814" t="str">
        <f t="shared" si="11"/>
        <v>项目建筑规模</v>
      </c>
      <c r="R30" s="1589" t="s">
        <v>1517</v>
      </c>
      <c r="S30" s="1590" t="e">
        <f t="shared" si="12"/>
        <v>#N/A</v>
      </c>
      <c r="T30" s="1589" t="s">
        <v>1517</v>
      </c>
      <c r="U30" s="1590" t="e">
        <f t="shared" si="13"/>
        <v>#N/A</v>
      </c>
      <c r="V30" s="1589" t="s">
        <v>1517</v>
      </c>
      <c r="W30" s="1590" t="e">
        <f t="shared" si="14"/>
        <v>#N/A</v>
      </c>
      <c r="X30" s="1591"/>
      <c r="Y30" s="3702"/>
      <c r="Z30" s="1598" t="str">
        <f t="shared" si="15"/>
        <v>项目建筑规模</v>
      </c>
      <c r="AA30" s="1597" t="e">
        <f t="shared" si="3"/>
        <v>#N/A</v>
      </c>
      <c r="AB30" s="1597" t="e">
        <f t="shared" si="4"/>
        <v>#N/A</v>
      </c>
      <c r="AC30" s="1597" t="e">
        <f t="shared" si="5"/>
        <v>#N/A</v>
      </c>
    </row>
    <row r="31" spans="1:29" ht="15">
      <c r="A31" s="1463"/>
      <c r="B31" s="1409" t="s">
        <v>1539</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2"/>
      <c r="Q31" s="974" t="str">
        <f t="shared" si="11"/>
        <v>建筑结构</v>
      </c>
      <c r="R31" s="1587" t="s">
        <v>1517</v>
      </c>
      <c r="S31" s="1588">
        <f t="shared" si="12"/>
        <v>100</v>
      </c>
      <c r="T31" s="1587" t="s">
        <v>1517</v>
      </c>
      <c r="U31" s="1588">
        <f t="shared" si="13"/>
        <v>100</v>
      </c>
      <c r="V31" s="1587" t="s">
        <v>1517</v>
      </c>
      <c r="W31" s="1588">
        <f t="shared" si="14"/>
        <v>100</v>
      </c>
      <c r="X31" s="1581"/>
      <c r="Y31" s="3702"/>
      <c r="Z31" s="1571" t="str">
        <f t="shared" si="15"/>
        <v>建筑结构</v>
      </c>
      <c r="AA31" s="1597">
        <f t="shared" si="3"/>
        <v>1</v>
      </c>
      <c r="AB31" s="1597">
        <f t="shared" si="4"/>
        <v>1</v>
      </c>
      <c r="AC31" s="1597">
        <f t="shared" si="5"/>
        <v>1</v>
      </c>
    </row>
    <row r="32" spans="1:29" ht="15">
      <c r="A32" s="1463"/>
      <c r="B32" s="1409" t="s">
        <v>1541</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2"/>
      <c r="Q32" s="974" t="str">
        <f t="shared" si="11"/>
        <v>公共部分装修</v>
      </c>
      <c r="R32" s="1587" t="s">
        <v>1517</v>
      </c>
      <c r="S32" s="1588">
        <f t="shared" si="12"/>
        <v>100</v>
      </c>
      <c r="T32" s="1587" t="s">
        <v>1517</v>
      </c>
      <c r="U32" s="1588">
        <f t="shared" si="13"/>
        <v>100</v>
      </c>
      <c r="V32" s="1587" t="s">
        <v>1517</v>
      </c>
      <c r="W32" s="1588">
        <f t="shared" si="14"/>
        <v>100</v>
      </c>
      <c r="X32" s="1581"/>
      <c r="Y32" s="3702"/>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2"/>
      <c r="Q33" s="974" t="str">
        <f t="shared" si="11"/>
        <v>成新度</v>
      </c>
      <c r="R33" s="1587" t="s">
        <v>1517</v>
      </c>
      <c r="S33" s="1588" t="e">
        <f t="shared" si="12"/>
        <v>#N/A</v>
      </c>
      <c r="T33" s="1587" t="s">
        <v>1517</v>
      </c>
      <c r="U33" s="1588" t="e">
        <f t="shared" si="13"/>
        <v>#N/A</v>
      </c>
      <c r="V33" s="1587" t="s">
        <v>1517</v>
      </c>
      <c r="W33" s="1588" t="e">
        <f t="shared" si="14"/>
        <v>#N/A</v>
      </c>
      <c r="X33" s="1581"/>
      <c r="Y33" s="3702"/>
      <c r="Z33" s="1571" t="str">
        <f t="shared" si="15"/>
        <v>成新度</v>
      </c>
      <c r="AA33" s="1597" t="e">
        <f t="shared" si="3"/>
        <v>#N/A</v>
      </c>
      <c r="AB33" s="1597" t="e">
        <f t="shared" si="4"/>
        <v>#N/A</v>
      </c>
      <c r="AC33" s="1597" t="e">
        <f t="shared" si="5"/>
        <v>#N/A</v>
      </c>
    </row>
    <row r="34" spans="1:29" s="1371" customFormat="1" ht="15">
      <c r="A34" s="1465"/>
      <c r="B34" s="1409" t="s">
        <v>1542</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2"/>
      <c r="Q34" s="1586" t="str">
        <f t="shared" si="11"/>
        <v>物业管理</v>
      </c>
      <c r="R34" s="1582" t="s">
        <v>1517</v>
      </c>
      <c r="S34" s="1583">
        <f t="shared" si="12"/>
        <v>100</v>
      </c>
      <c r="T34" s="1582" t="s">
        <v>1517</v>
      </c>
      <c r="U34" s="1583">
        <f t="shared" si="13"/>
        <v>100</v>
      </c>
      <c r="V34" s="1582" t="s">
        <v>1517</v>
      </c>
      <c r="W34" s="1583">
        <f t="shared" si="14"/>
        <v>100</v>
      </c>
      <c r="X34" s="1584"/>
      <c r="Y34" s="3702"/>
      <c r="Z34" s="1596" t="str">
        <f t="shared" si="15"/>
        <v>物业管理</v>
      </c>
      <c r="AA34" s="1595">
        <f t="shared" si="3"/>
        <v>1</v>
      </c>
      <c r="AB34" s="1595">
        <f t="shared" si="4"/>
        <v>1</v>
      </c>
      <c r="AC34" s="1595">
        <f t="shared" si="5"/>
        <v>1</v>
      </c>
    </row>
    <row r="35" spans="1:29" ht="15">
      <c r="A35" s="1463"/>
      <c r="B35" s="1409" t="s">
        <v>1543</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2" t="s">
        <v>1537</v>
      </c>
      <c r="Q35" s="974" t="str">
        <f t="shared" si="11"/>
        <v>市政基础设施</v>
      </c>
      <c r="R35" s="1587" t="s">
        <v>1517</v>
      </c>
      <c r="S35" s="1588">
        <f t="shared" si="12"/>
        <v>100</v>
      </c>
      <c r="T35" s="1587" t="s">
        <v>1517</v>
      </c>
      <c r="U35" s="1588">
        <f t="shared" si="13"/>
        <v>100</v>
      </c>
      <c r="V35" s="1587" t="s">
        <v>1517</v>
      </c>
      <c r="W35" s="1588">
        <f t="shared" si="14"/>
        <v>100</v>
      </c>
      <c r="X35" s="1581"/>
      <c r="Y35" s="3702" t="s">
        <v>1537</v>
      </c>
      <c r="Z35" s="1571" t="str">
        <f t="shared" si="15"/>
        <v>市政基础设施</v>
      </c>
      <c r="AA35" s="1597">
        <f t="shared" si="3"/>
        <v>1</v>
      </c>
      <c r="AB35" s="1597">
        <f t="shared" si="4"/>
        <v>1</v>
      </c>
      <c r="AC35" s="1597">
        <f t="shared" si="5"/>
        <v>1</v>
      </c>
    </row>
    <row r="36" spans="1:29" ht="15">
      <c r="A36" s="1463"/>
      <c r="B36" s="1409" t="s">
        <v>1546</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2"/>
      <c r="Q36" s="974" t="str">
        <f t="shared" si="11"/>
        <v>内部装修</v>
      </c>
      <c r="R36" s="1587" t="s">
        <v>1517</v>
      </c>
      <c r="S36" s="1588">
        <f t="shared" si="12"/>
        <v>100</v>
      </c>
      <c r="T36" s="1587" t="s">
        <v>1517</v>
      </c>
      <c r="U36" s="1588">
        <f t="shared" si="13"/>
        <v>100</v>
      </c>
      <c r="V36" s="1587" t="s">
        <v>1517</v>
      </c>
      <c r="W36" s="1588">
        <f t="shared" si="14"/>
        <v>100</v>
      </c>
      <c r="X36" s="1581"/>
      <c r="Y36" s="3702"/>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2"/>
      <c r="Q37" s="974" t="str">
        <f t="shared" si="11"/>
        <v>内部装修状况</v>
      </c>
      <c r="R37" s="1587" t="s">
        <v>1517</v>
      </c>
      <c r="S37" s="1588">
        <f t="shared" si="12"/>
        <v>100</v>
      </c>
      <c r="T37" s="1587" t="s">
        <v>1517</v>
      </c>
      <c r="U37" s="1588">
        <f t="shared" si="13"/>
        <v>100</v>
      </c>
      <c r="V37" s="1587" t="s">
        <v>1517</v>
      </c>
      <c r="W37" s="1588">
        <f t="shared" si="14"/>
        <v>100</v>
      </c>
      <c r="X37" s="1581"/>
      <c r="Y37" s="3702"/>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2"/>
      <c r="Q38" s="1814">
        <f t="shared" si="11"/>
        <v>111</v>
      </c>
      <c r="R38" s="1589" t="s">
        <v>1517</v>
      </c>
      <c r="S38" s="1590">
        <f t="shared" si="12"/>
        <v>100</v>
      </c>
      <c r="T38" s="1589" t="s">
        <v>1517</v>
      </c>
      <c r="U38" s="1590">
        <f t="shared" si="13"/>
        <v>100</v>
      </c>
      <c r="V38" s="1589" t="s">
        <v>1517</v>
      </c>
      <c r="W38" s="1590">
        <f t="shared" si="14"/>
        <v>100</v>
      </c>
      <c r="X38" s="1591"/>
      <c r="Y38" s="3702"/>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2"/>
      <c r="Q39" s="974">
        <f t="shared" si="11"/>
        <v>111</v>
      </c>
      <c r="R39" s="1587" t="s">
        <v>1517</v>
      </c>
      <c r="S39" s="1588">
        <f t="shared" si="12"/>
        <v>100</v>
      </c>
      <c r="T39" s="1587" t="s">
        <v>1517</v>
      </c>
      <c r="U39" s="1588">
        <f t="shared" si="13"/>
        <v>100</v>
      </c>
      <c r="V39" s="1587" t="s">
        <v>1517</v>
      </c>
      <c r="W39" s="1588">
        <f t="shared" si="14"/>
        <v>100</v>
      </c>
      <c r="X39" s="1581"/>
      <c r="Y39" s="3702"/>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3"/>
      <c r="Q40" s="974">
        <f t="shared" si="11"/>
        <v>111</v>
      </c>
      <c r="R40" s="1587" t="s">
        <v>1517</v>
      </c>
      <c r="S40" s="1588">
        <f t="shared" si="12"/>
        <v>100</v>
      </c>
      <c r="T40" s="1587" t="s">
        <v>1517</v>
      </c>
      <c r="U40" s="1588">
        <f t="shared" si="13"/>
        <v>100</v>
      </c>
      <c r="V40" s="1587" t="s">
        <v>1517</v>
      </c>
      <c r="W40" s="1588">
        <f t="shared" si="14"/>
        <v>100</v>
      </c>
      <c r="X40" s="1581"/>
      <c r="Y40" s="3703"/>
      <c r="Z40" s="1571">
        <f t="shared" si="15"/>
        <v>111</v>
      </c>
      <c r="AA40" s="1597">
        <f t="shared" si="3"/>
        <v>1</v>
      </c>
      <c r="AB40" s="1597">
        <f t="shared" si="4"/>
        <v>1</v>
      </c>
      <c r="AC40" s="1597">
        <f t="shared" si="5"/>
        <v>1</v>
      </c>
    </row>
    <row r="41" spans="1:29" ht="15">
      <c r="A41" s="1470" t="s">
        <v>1548</v>
      </c>
      <c r="B41" s="1789"/>
      <c r="C41" s="1790" t="s">
        <v>124</v>
      </c>
      <c r="D41" s="1791"/>
      <c r="E41" s="1792"/>
      <c r="F41" s="1793"/>
      <c r="G41" s="1794"/>
      <c r="H41" s="1795"/>
      <c r="I41" s="1792"/>
      <c r="J41" s="1795"/>
      <c r="K41" s="1562"/>
      <c r="L41" s="1904"/>
      <c r="M41" s="1522"/>
      <c r="N41" s="1892"/>
      <c r="O41" s="1522"/>
      <c r="P41" s="3692" t="str">
        <f>A41</f>
        <v>成交单价（元/平方米）</v>
      </c>
      <c r="Q41" s="3692"/>
      <c r="R41" s="3693">
        <f>E41</f>
        <v>0</v>
      </c>
      <c r="S41" s="3693"/>
      <c r="T41" s="3693">
        <f>G41</f>
        <v>0</v>
      </c>
      <c r="U41" s="3693"/>
      <c r="V41" s="3693">
        <f>I41</f>
        <v>0</v>
      </c>
      <c r="W41" s="3693"/>
      <c r="X41" s="1527"/>
      <c r="Y41" s="1599"/>
      <c r="Z41" s="1527"/>
      <c r="AA41" s="1527"/>
      <c r="AB41" s="1527"/>
      <c r="AC41" s="1527"/>
    </row>
    <row r="42" spans="1:29" ht="15">
      <c r="A42" s="1478" t="s">
        <v>1549</v>
      </c>
      <c r="B42" s="1796"/>
      <c r="C42" s="1797" t="e">
        <f>R43</f>
        <v>#DIV/0!</v>
      </c>
      <c r="D42" s="1481" t="s">
        <v>1550</v>
      </c>
      <c r="E42" s="1798" t="e">
        <f>R42</f>
        <v>#DIV/0!</v>
      </c>
      <c r="F42" s="1482"/>
      <c r="G42" s="1797" t="e">
        <f>T42</f>
        <v>#DIV/0!</v>
      </c>
      <c r="H42" s="1482"/>
      <c r="I42" s="1798" t="e">
        <f>V42</f>
        <v>#DIV/0!</v>
      </c>
      <c r="J42" s="1482"/>
      <c r="K42" s="1564">
        <f>F42+H42+J42</f>
        <v>0</v>
      </c>
      <c r="L42" s="1904"/>
      <c r="M42" s="1522"/>
      <c r="N42" s="1892"/>
      <c r="O42" s="152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27"/>
      <c r="Y42" s="1527"/>
      <c r="Z42" s="1527"/>
      <c r="AA42" s="1527"/>
      <c r="AB42" s="1527"/>
      <c r="AC42" s="1527"/>
    </row>
    <row r="43" spans="1:29" ht="15">
      <c r="A43" s="1484" t="s">
        <v>1551</v>
      </c>
      <c r="B43" s="1485"/>
      <c r="C43" s="1799" t="e">
        <f>R43</f>
        <v>#DIV/0!</v>
      </c>
      <c r="D43" s="1799"/>
      <c r="E43" s="1799"/>
      <c r="F43" s="1799"/>
      <c r="G43" s="1799"/>
      <c r="H43" s="1799"/>
      <c r="I43" s="1799"/>
      <c r="J43" s="1799"/>
      <c r="K43" s="1565"/>
      <c r="L43" s="1904"/>
      <c r="M43" s="1522"/>
      <c r="N43" s="1522"/>
      <c r="O43" s="1522"/>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1555</v>
      </c>
      <c r="B51" s="1527"/>
      <c r="C51" s="1528"/>
      <c r="D51" s="1528"/>
      <c r="E51" s="1528"/>
      <c r="F51" s="1529"/>
      <c r="G51" s="1529"/>
      <c r="H51" s="1528"/>
      <c r="I51" s="1528"/>
      <c r="J51" s="1528"/>
      <c r="K51" s="1744"/>
      <c r="L51" s="1745"/>
      <c r="M51" s="1579"/>
      <c r="N51" s="1579"/>
      <c r="O51" s="1579"/>
      <c r="P51" s="1907"/>
      <c r="Q51" s="1909"/>
    </row>
    <row r="52" spans="1:17" s="1376" customFormat="1" ht="15">
      <c r="A52" s="1801" t="s">
        <v>1515</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1556</v>
      </c>
      <c r="B54" s="1607"/>
      <c r="C54" s="1608"/>
      <c r="D54" s="1609"/>
      <c r="E54" s="1609"/>
      <c r="F54" s="1609"/>
      <c r="G54" s="1609"/>
      <c r="H54" s="1609"/>
      <c r="I54" s="1609"/>
      <c r="J54" s="1609"/>
      <c r="K54" s="1609"/>
      <c r="L54" s="1609"/>
      <c r="M54" s="1657"/>
      <c r="N54" s="1910"/>
      <c r="O54" s="1911"/>
      <c r="P54" s="1909"/>
      <c r="Q54" s="1909"/>
    </row>
    <row r="55" spans="1:17" s="1371" customFormat="1" ht="15">
      <c r="A55" s="1610" t="s">
        <v>1518</v>
      </c>
      <c r="B55" s="1611"/>
      <c r="C55" s="1612" t="s">
        <v>1557</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1558</v>
      </c>
      <c r="B57" s="1617" t="s">
        <v>1521</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1524</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1525</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1526</v>
      </c>
      <c r="B70" s="1617" t="s">
        <v>1625</v>
      </c>
      <c r="C70" s="1638" t="s">
        <v>1559</v>
      </c>
      <c r="D70" s="1638" t="s">
        <v>1560</v>
      </c>
      <c r="E70" s="1638" t="s">
        <v>1561</v>
      </c>
      <c r="F70" s="1638" t="s">
        <v>1562</v>
      </c>
      <c r="G70" s="1638" t="s">
        <v>1563</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1529</v>
      </c>
      <c r="C72" s="1640" t="s">
        <v>1559</v>
      </c>
      <c r="D72" s="1640" t="s">
        <v>1560</v>
      </c>
      <c r="E72" s="1640" t="s">
        <v>1561</v>
      </c>
      <c r="F72" s="1640" t="s">
        <v>1562</v>
      </c>
      <c r="G72" s="1640" t="s">
        <v>1563</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1530</v>
      </c>
      <c r="C74" s="1640" t="s">
        <v>1559</v>
      </c>
      <c r="D74" s="1640" t="s">
        <v>1560</v>
      </c>
      <c r="E74" s="1640" t="s">
        <v>1561</v>
      </c>
      <c r="F74" s="1640" t="s">
        <v>1562</v>
      </c>
      <c r="G74" s="1640" t="s">
        <v>1563</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1531</v>
      </c>
      <c r="C76" s="1645" t="s">
        <v>1564</v>
      </c>
      <c r="D76" s="1645" t="s">
        <v>1565</v>
      </c>
      <c r="E76" s="1645" t="s">
        <v>1566</v>
      </c>
      <c r="F76" s="1645" t="s">
        <v>1567</v>
      </c>
      <c r="G76" s="1645" t="s">
        <v>1568</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1609</v>
      </c>
      <c r="C78" s="1640" t="s">
        <v>1559</v>
      </c>
      <c r="D78" s="1640" t="s">
        <v>1560</v>
      </c>
      <c r="E78" s="1640" t="s">
        <v>1561</v>
      </c>
      <c r="F78" s="1640" t="s">
        <v>1562</v>
      </c>
      <c r="G78" s="1640" t="s">
        <v>1563</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1535</v>
      </c>
      <c r="B88" s="1617" t="s">
        <v>1536</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1538</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1539</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1541</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1542</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1543</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1546</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1559</v>
      </c>
      <c r="D106" s="1640" t="s">
        <v>1560</v>
      </c>
      <c r="E106" s="1640" t="s">
        <v>1561</v>
      </c>
      <c r="F106" s="1640" t="s">
        <v>1562</v>
      </c>
      <c r="G106" s="1640" t="s">
        <v>1563</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1499</v>
      </c>
      <c r="D1" s="1752"/>
      <c r="E1" s="1753"/>
      <c r="F1" s="1754"/>
      <c r="G1" s="1829" t="s">
        <v>1500</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1035</v>
      </c>
      <c r="B3" s="1388" t="e">
        <f>IF(AND(C2="——",B37="元/平方米"),C39,ROUND(B2*10000/D3,0))</f>
        <v>#DIV/0!</v>
      </c>
      <c r="C3" s="1762" t="s">
        <v>1501</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89" t="s">
        <v>1516</v>
      </c>
      <c r="Q7" s="3690"/>
      <c r="R7" s="1582" t="s">
        <v>1517</v>
      </c>
      <c r="S7" s="1583">
        <f t="shared" ref="S7:S14" si="0">F7</f>
        <v>0</v>
      </c>
      <c r="T7" s="1582" t="s">
        <v>1517</v>
      </c>
      <c r="U7" s="1583">
        <f t="shared" ref="U7:U14" si="1">H7</f>
        <v>0</v>
      </c>
      <c r="V7" s="1582" t="s">
        <v>1517</v>
      </c>
      <c r="W7" s="1583">
        <f t="shared" ref="W7:W14"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36" si="3">D8/F8</f>
        <v>1</v>
      </c>
      <c r="AB8" s="1595">
        <f t="shared" ref="AB8:AB36" si="4">D8/H8</f>
        <v>1</v>
      </c>
      <c r="AC8" s="1595">
        <f t="shared" ref="AC8:AC36" si="5">D8/J8</f>
        <v>1</v>
      </c>
    </row>
    <row r="9" spans="1:29" s="1371" customFormat="1">
      <c r="A9" s="1831" t="s">
        <v>1520</v>
      </c>
      <c r="B9" s="1832" t="s">
        <v>1521</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2" t="s">
        <v>1522</v>
      </c>
      <c r="Q9" s="1586" t="str">
        <f t="shared" ref="Q9:Q14" si="6">B9</f>
        <v>用途</v>
      </c>
      <c r="R9" s="1582" t="s">
        <v>1517</v>
      </c>
      <c r="S9" s="1583">
        <f t="shared" si="0"/>
        <v>100</v>
      </c>
      <c r="T9" s="1582" t="s">
        <v>1517</v>
      </c>
      <c r="U9" s="1583">
        <f t="shared" si="1"/>
        <v>100</v>
      </c>
      <c r="V9" s="1582" t="s">
        <v>1517</v>
      </c>
      <c r="W9" s="1583">
        <f t="shared" si="2"/>
        <v>100</v>
      </c>
      <c r="X9" s="1584"/>
      <c r="Y9" s="3647" t="s">
        <v>1523</v>
      </c>
      <c r="Z9" s="1596" t="str">
        <f t="shared" ref="Z9:Z14" si="7">Q9</f>
        <v>用途</v>
      </c>
      <c r="AA9" s="1595">
        <f t="shared" si="3"/>
        <v>1</v>
      </c>
      <c r="AB9" s="1595">
        <f t="shared" si="4"/>
        <v>1</v>
      </c>
      <c r="AC9" s="1595">
        <f t="shared" si="5"/>
        <v>1</v>
      </c>
    </row>
    <row r="10" spans="1:29" s="1372" customFormat="1" ht="27">
      <c r="A10" s="1834"/>
      <c r="B10" s="1835" t="s">
        <v>1524</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2"/>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2"/>
      <c r="Q11" s="1586">
        <f t="shared" si="6"/>
        <v>111</v>
      </c>
      <c r="R11" s="1582" t="s">
        <v>1517</v>
      </c>
      <c r="S11" s="1583">
        <f t="shared" si="0"/>
        <v>100</v>
      </c>
      <c r="T11" s="1582" t="s">
        <v>1517</v>
      </c>
      <c r="U11" s="1583">
        <f t="shared" si="1"/>
        <v>100</v>
      </c>
      <c r="V11" s="1582" t="s">
        <v>1517</v>
      </c>
      <c r="W11" s="1583">
        <f t="shared" si="2"/>
        <v>100</v>
      </c>
      <c r="X11" s="1584"/>
      <c r="Y11" s="3647"/>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2"/>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2"/>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390" t="s">
        <v>1526</v>
      </c>
      <c r="B14" s="1427" t="s">
        <v>1529</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0" t="s">
        <v>1528</v>
      </c>
      <c r="Q14" s="974" t="str">
        <f t="shared" si="6"/>
        <v>交通便捷度</v>
      </c>
      <c r="R14" s="1587" t="s">
        <v>1517</v>
      </c>
      <c r="S14" s="1588">
        <f t="shared" si="0"/>
        <v>100</v>
      </c>
      <c r="T14" s="1587" t="s">
        <v>1517</v>
      </c>
      <c r="U14" s="1588">
        <f t="shared" si="1"/>
        <v>100</v>
      </c>
      <c r="V14" s="1587" t="s">
        <v>1517</v>
      </c>
      <c r="W14" s="1588">
        <f t="shared" si="2"/>
        <v>100</v>
      </c>
      <c r="X14" s="1581"/>
      <c r="Y14" s="3700" t="s">
        <v>1528</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1"/>
      <c r="Q15" s="974"/>
      <c r="R15" s="1587"/>
      <c r="S15" s="1588"/>
      <c r="T15" s="1587"/>
      <c r="U15" s="1588"/>
      <c r="V15" s="1587"/>
      <c r="W15" s="1588"/>
      <c r="X15" s="1581"/>
      <c r="Y15" s="3701"/>
      <c r="Z15" s="1571"/>
      <c r="AA15" s="1597">
        <v>1</v>
      </c>
      <c r="AB15" s="1597">
        <v>1</v>
      </c>
      <c r="AC15" s="1597">
        <v>1</v>
      </c>
    </row>
    <row r="16" spans="1:29" ht="15">
      <c r="A16" s="1392"/>
      <c r="B16" s="1436" t="s">
        <v>1530</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1"/>
      <c r="Q16" s="974" t="str">
        <f>B16</f>
        <v>公共配套设施</v>
      </c>
      <c r="R16" s="1587" t="s">
        <v>1517</v>
      </c>
      <c r="S16" s="1588">
        <f>F16</f>
        <v>100</v>
      </c>
      <c r="T16" s="1587" t="s">
        <v>1517</v>
      </c>
      <c r="U16" s="1588">
        <f>H16</f>
        <v>100</v>
      </c>
      <c r="V16" s="1587" t="s">
        <v>1517</v>
      </c>
      <c r="W16" s="1588">
        <f>J16</f>
        <v>100</v>
      </c>
      <c r="X16" s="1581"/>
      <c r="Y16" s="3701"/>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1"/>
      <c r="Q17" s="974"/>
      <c r="R17" s="1587"/>
      <c r="S17" s="1588"/>
      <c r="T17" s="1587"/>
      <c r="U17" s="1588"/>
      <c r="V17" s="1587"/>
      <c r="W17" s="1588"/>
      <c r="X17" s="1581"/>
      <c r="Y17" s="3701"/>
      <c r="Z17" s="1571"/>
      <c r="AA17" s="1597">
        <v>1</v>
      </c>
      <c r="AB17" s="1597">
        <v>1</v>
      </c>
      <c r="AC17" s="1597">
        <v>1</v>
      </c>
    </row>
    <row r="18" spans="1:29" ht="15">
      <c r="A18" s="1392"/>
      <c r="B18" s="1443" t="s">
        <v>1531</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1"/>
      <c r="Q18" s="974" t="str">
        <f>B18</f>
        <v>基础设施水平</v>
      </c>
      <c r="R18" s="1587" t="s">
        <v>1517</v>
      </c>
      <c r="S18" s="1588">
        <f>F18</f>
        <v>100</v>
      </c>
      <c r="T18" s="1587" t="s">
        <v>1517</v>
      </c>
      <c r="U18" s="1588">
        <f>H18</f>
        <v>100</v>
      </c>
      <c r="V18" s="1587" t="s">
        <v>1517</v>
      </c>
      <c r="W18" s="1588">
        <f>J18</f>
        <v>100</v>
      </c>
      <c r="X18" s="1581"/>
      <c r="Y18" s="3701"/>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1"/>
      <c r="Q19" s="974"/>
      <c r="R19" s="1587"/>
      <c r="S19" s="1588"/>
      <c r="T19" s="1587"/>
      <c r="U19" s="1588"/>
      <c r="V19" s="1587"/>
      <c r="W19" s="1588"/>
      <c r="X19" s="1581"/>
      <c r="Y19" s="3701"/>
      <c r="Z19" s="1571"/>
      <c r="AA19" s="1597">
        <v>1</v>
      </c>
      <c r="AB19" s="1597">
        <v>1</v>
      </c>
      <c r="AC19" s="1597">
        <v>1</v>
      </c>
    </row>
    <row r="20" spans="1:29" ht="15">
      <c r="A20" s="1392"/>
      <c r="B20" s="1436" t="s">
        <v>1532</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1"/>
      <c r="Q20" s="974" t="str">
        <f>B20</f>
        <v>自然及人文环境</v>
      </c>
      <c r="R20" s="1587" t="s">
        <v>1517</v>
      </c>
      <c r="S20" s="1588">
        <f>F20</f>
        <v>100</v>
      </c>
      <c r="T20" s="1587" t="s">
        <v>1517</v>
      </c>
      <c r="U20" s="1588">
        <f>H20</f>
        <v>100</v>
      </c>
      <c r="V20" s="1587" t="s">
        <v>1517</v>
      </c>
      <c r="W20" s="1588">
        <f>J20</f>
        <v>100</v>
      </c>
      <c r="X20" s="1581"/>
      <c r="Y20" s="3701"/>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1"/>
      <c r="Q21" s="974"/>
      <c r="R21" s="1587"/>
      <c r="S21" s="1588"/>
      <c r="T21" s="1587"/>
      <c r="U21" s="1588"/>
      <c r="V21" s="1587"/>
      <c r="W21" s="1588"/>
      <c r="X21" s="1581"/>
      <c r="Y21" s="3701"/>
      <c r="Z21" s="1571"/>
      <c r="AA21" s="1597">
        <v>1</v>
      </c>
      <c r="AB21" s="1597">
        <v>1</v>
      </c>
      <c r="AC21" s="1597">
        <v>1</v>
      </c>
    </row>
    <row r="22" spans="1:29" ht="15">
      <c r="A22" s="1392"/>
      <c r="B22" s="1436" t="s">
        <v>1594</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1"/>
      <c r="Q22" s="974" t="str">
        <f>B22</f>
        <v>楼层</v>
      </c>
      <c r="R22" s="1587" t="s">
        <v>1517</v>
      </c>
      <c r="S22" s="1588">
        <f>F22</f>
        <v>100</v>
      </c>
      <c r="T22" s="1587" t="s">
        <v>1517</v>
      </c>
      <c r="U22" s="1588">
        <f>H22</f>
        <v>100</v>
      </c>
      <c r="V22" s="1587" t="s">
        <v>1517</v>
      </c>
      <c r="W22" s="1588">
        <f>J22</f>
        <v>100</v>
      </c>
      <c r="X22" s="1581"/>
      <c r="Y22" s="3701"/>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1"/>
      <c r="Q23" s="974">
        <f>B23</f>
        <v>111</v>
      </c>
      <c r="R23" s="1587" t="s">
        <v>1517</v>
      </c>
      <c r="S23" s="1588">
        <f>F23</f>
        <v>100</v>
      </c>
      <c r="T23" s="1587" t="s">
        <v>1517</v>
      </c>
      <c r="U23" s="1588">
        <f>H23</f>
        <v>100</v>
      </c>
      <c r="V23" s="1587" t="s">
        <v>1517</v>
      </c>
      <c r="W23" s="1588">
        <f>J23</f>
        <v>100</v>
      </c>
      <c r="X23" s="1581"/>
      <c r="Y23" s="3701"/>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1"/>
      <c r="Q24" s="974">
        <f t="shared" ref="Q24:Q36" si="11">B24</f>
        <v>111</v>
      </c>
      <c r="R24" s="1587" t="s">
        <v>1517</v>
      </c>
      <c r="S24" s="1588">
        <f>F24</f>
        <v>100</v>
      </c>
      <c r="T24" s="1587" t="s">
        <v>1517</v>
      </c>
      <c r="U24" s="1588">
        <f>H24</f>
        <v>100</v>
      </c>
      <c r="V24" s="1587" t="s">
        <v>1517</v>
      </c>
      <c r="W24" s="1588">
        <f>J24</f>
        <v>100</v>
      </c>
      <c r="X24" s="1581"/>
      <c r="Y24" s="3701"/>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1"/>
      <c r="Q25" s="1586">
        <f t="shared" si="11"/>
        <v>111</v>
      </c>
      <c r="R25" s="1582" t="s">
        <v>1517</v>
      </c>
      <c r="S25" s="1583">
        <f>F25</f>
        <v>100</v>
      </c>
      <c r="T25" s="1582" t="s">
        <v>1517</v>
      </c>
      <c r="U25" s="1583">
        <f>H25</f>
        <v>100</v>
      </c>
      <c r="V25" s="1582" t="s">
        <v>1517</v>
      </c>
      <c r="W25" s="1583">
        <f>J25</f>
        <v>100</v>
      </c>
      <c r="X25" s="1584"/>
      <c r="Y25" s="3701"/>
      <c r="Z25" s="1596">
        <f>Q25</f>
        <v>111</v>
      </c>
      <c r="AA25" s="1597">
        <f t="shared" si="3"/>
        <v>1</v>
      </c>
      <c r="AB25" s="1597">
        <f t="shared" si="4"/>
        <v>1</v>
      </c>
      <c r="AC25" s="1597">
        <f t="shared" si="5"/>
        <v>1</v>
      </c>
    </row>
    <row r="26" spans="1:29" ht="28.5">
      <c r="A26" s="1847" t="s">
        <v>1535</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39" t="s">
        <v>1537</v>
      </c>
      <c r="Q26" s="974" t="str">
        <f t="shared" si="11"/>
        <v>配套类型</v>
      </c>
      <c r="R26" s="1587" t="s">
        <v>1517</v>
      </c>
      <c r="S26" s="1588">
        <f t="shared" ref="S26:S36" si="12">F26</f>
        <v>0</v>
      </c>
      <c r="T26" s="1587" t="s">
        <v>1517</v>
      </c>
      <c r="U26" s="1588">
        <f t="shared" ref="U26:U36" si="13">H26</f>
        <v>0</v>
      </c>
      <c r="V26" s="1587" t="s">
        <v>1517</v>
      </c>
      <c r="W26" s="1588">
        <f t="shared" ref="W26:W36" si="14">J26</f>
        <v>0</v>
      </c>
      <c r="X26" s="1581"/>
      <c r="Y26" s="3702" t="s">
        <v>1537</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2"/>
      <c r="Q27" s="1814" t="str">
        <f t="shared" si="11"/>
        <v>项目停车位配比</v>
      </c>
      <c r="R27" s="1589" t="s">
        <v>1517</v>
      </c>
      <c r="S27" s="1590">
        <f t="shared" si="12"/>
        <v>100</v>
      </c>
      <c r="T27" s="1589" t="s">
        <v>1517</v>
      </c>
      <c r="U27" s="1590">
        <f t="shared" si="13"/>
        <v>100</v>
      </c>
      <c r="V27" s="1589" t="s">
        <v>1517</v>
      </c>
      <c r="W27" s="1590">
        <f t="shared" si="14"/>
        <v>100</v>
      </c>
      <c r="X27" s="1591"/>
      <c r="Y27" s="3702"/>
      <c r="Z27" s="1598" t="str">
        <f t="shared" si="15"/>
        <v>项目停车位配比</v>
      </c>
      <c r="AA27" s="1597">
        <f t="shared" si="3"/>
        <v>1</v>
      </c>
      <c r="AB27" s="1597">
        <f t="shared" si="4"/>
        <v>1</v>
      </c>
      <c r="AC27" s="1597">
        <f t="shared" si="5"/>
        <v>1</v>
      </c>
    </row>
    <row r="28" spans="1:29" ht="15">
      <c r="A28" s="1852"/>
      <c r="B28" s="1449" t="s">
        <v>1541</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2"/>
      <c r="Q28" s="974" t="str">
        <f t="shared" si="11"/>
        <v>公共部分装修</v>
      </c>
      <c r="R28" s="1587" t="s">
        <v>1517</v>
      </c>
      <c r="S28" s="1588">
        <f t="shared" si="12"/>
        <v>100</v>
      </c>
      <c r="T28" s="1587" t="s">
        <v>1517</v>
      </c>
      <c r="U28" s="1588">
        <f t="shared" si="13"/>
        <v>100</v>
      </c>
      <c r="V28" s="1587" t="s">
        <v>1517</v>
      </c>
      <c r="W28" s="1588">
        <f t="shared" si="14"/>
        <v>100</v>
      </c>
      <c r="X28" s="1581"/>
      <c r="Y28" s="3702"/>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2"/>
      <c r="Q29" s="974" t="str">
        <f t="shared" si="11"/>
        <v>成新率</v>
      </c>
      <c r="R29" s="1587" t="s">
        <v>1517</v>
      </c>
      <c r="S29" s="1588" t="e">
        <f t="shared" si="12"/>
        <v>#N/A</v>
      </c>
      <c r="T29" s="1587" t="s">
        <v>1517</v>
      </c>
      <c r="U29" s="1588" t="e">
        <f t="shared" si="13"/>
        <v>#N/A</v>
      </c>
      <c r="V29" s="1587" t="s">
        <v>1517</v>
      </c>
      <c r="W29" s="1588" t="e">
        <f t="shared" si="14"/>
        <v>#N/A</v>
      </c>
      <c r="X29" s="1581"/>
      <c r="Y29" s="3702"/>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2"/>
      <c r="Q30" s="974" t="str">
        <f t="shared" si="11"/>
        <v>物业等级</v>
      </c>
      <c r="R30" s="1587" t="s">
        <v>1517</v>
      </c>
      <c r="S30" s="1588">
        <f t="shared" si="12"/>
        <v>100</v>
      </c>
      <c r="T30" s="1587" t="s">
        <v>1517</v>
      </c>
      <c r="U30" s="1588">
        <f t="shared" si="13"/>
        <v>100</v>
      </c>
      <c r="V30" s="1587" t="s">
        <v>1517</v>
      </c>
      <c r="W30" s="1588">
        <f t="shared" si="14"/>
        <v>100</v>
      </c>
      <c r="X30" s="1581"/>
      <c r="Y30" s="3702"/>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2"/>
      <c r="Q31" s="1586" t="str">
        <f t="shared" si="11"/>
        <v>停车位面积</v>
      </c>
      <c r="R31" s="1582" t="s">
        <v>1517</v>
      </c>
      <c r="S31" s="1583" t="e">
        <f t="shared" si="12"/>
        <v>#N/A</v>
      </c>
      <c r="T31" s="1582" t="s">
        <v>1517</v>
      </c>
      <c r="U31" s="1583" t="e">
        <f t="shared" si="13"/>
        <v>#N/A</v>
      </c>
      <c r="V31" s="1582" t="s">
        <v>1517</v>
      </c>
      <c r="W31" s="1583" t="e">
        <f t="shared" si="14"/>
        <v>#N/A</v>
      </c>
      <c r="X31" s="1584"/>
      <c r="Y31" s="3702"/>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2" t="s">
        <v>1537</v>
      </c>
      <c r="Q32" s="974" t="str">
        <f t="shared" si="11"/>
        <v>车位类型</v>
      </c>
      <c r="R32" s="1587" t="s">
        <v>1517</v>
      </c>
      <c r="S32" s="1588">
        <f t="shared" si="12"/>
        <v>100</v>
      </c>
      <c r="T32" s="1587" t="s">
        <v>1517</v>
      </c>
      <c r="U32" s="1588">
        <f t="shared" si="13"/>
        <v>100</v>
      </c>
      <c r="V32" s="1587" t="s">
        <v>1517</v>
      </c>
      <c r="W32" s="1588">
        <f t="shared" si="14"/>
        <v>100</v>
      </c>
      <c r="X32" s="1581"/>
      <c r="Y32" s="3702" t="s">
        <v>1537</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2"/>
      <c r="Q33" s="974" t="str">
        <f t="shared" si="11"/>
        <v>是否直接入户</v>
      </c>
      <c r="R33" s="1587" t="s">
        <v>1517</v>
      </c>
      <c r="S33" s="1588">
        <f t="shared" si="12"/>
        <v>100</v>
      </c>
      <c r="T33" s="1587" t="s">
        <v>1517</v>
      </c>
      <c r="U33" s="1588">
        <f t="shared" si="13"/>
        <v>100</v>
      </c>
      <c r="V33" s="1587" t="s">
        <v>1517</v>
      </c>
      <c r="W33" s="1588">
        <f t="shared" si="14"/>
        <v>100</v>
      </c>
      <c r="X33" s="1581"/>
      <c r="Y33" s="3702"/>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2"/>
      <c r="Q34" s="974">
        <f t="shared" si="11"/>
        <v>111</v>
      </c>
      <c r="R34" s="1587" t="s">
        <v>1517</v>
      </c>
      <c r="S34" s="1588">
        <f t="shared" si="12"/>
        <v>100</v>
      </c>
      <c r="T34" s="1587" t="s">
        <v>1517</v>
      </c>
      <c r="U34" s="1588">
        <f t="shared" si="13"/>
        <v>100</v>
      </c>
      <c r="V34" s="1587" t="s">
        <v>1517</v>
      </c>
      <c r="W34" s="1588">
        <f t="shared" si="14"/>
        <v>100</v>
      </c>
      <c r="X34" s="1581"/>
      <c r="Y34" s="3702"/>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2"/>
      <c r="Q35" s="1814">
        <f t="shared" si="11"/>
        <v>111</v>
      </c>
      <c r="R35" s="1589" t="s">
        <v>1517</v>
      </c>
      <c r="S35" s="1590">
        <f t="shared" si="12"/>
        <v>100</v>
      </c>
      <c r="T35" s="1589" t="s">
        <v>1517</v>
      </c>
      <c r="U35" s="1590">
        <f t="shared" si="13"/>
        <v>100</v>
      </c>
      <c r="V35" s="1589" t="s">
        <v>1517</v>
      </c>
      <c r="W35" s="1590">
        <f t="shared" si="14"/>
        <v>100</v>
      </c>
      <c r="X35" s="1591"/>
      <c r="Y35" s="3702"/>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2"/>
      <c r="Q36" s="974">
        <f t="shared" si="11"/>
        <v>111</v>
      </c>
      <c r="R36" s="1587" t="s">
        <v>1517</v>
      </c>
      <c r="S36" s="1588">
        <f t="shared" si="12"/>
        <v>100</v>
      </c>
      <c r="T36" s="1587" t="s">
        <v>1517</v>
      </c>
      <c r="U36" s="1588">
        <f t="shared" si="13"/>
        <v>100</v>
      </c>
      <c r="V36" s="1587" t="s">
        <v>1517</v>
      </c>
      <c r="W36" s="1588">
        <f t="shared" si="14"/>
        <v>100</v>
      </c>
      <c r="X36" s="1581"/>
      <c r="Y36" s="3702"/>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2" t="str">
        <f>A37</f>
        <v>成交单价</v>
      </c>
      <c r="Q37" s="3692"/>
      <c r="R37" s="3693">
        <f>E37</f>
        <v>0</v>
      </c>
      <c r="S37" s="3693"/>
      <c r="T37" s="3693">
        <f>G37</f>
        <v>0</v>
      </c>
      <c r="U37" s="3693"/>
      <c r="V37" s="3693">
        <f>I37</f>
        <v>0</v>
      </c>
      <c r="W37" s="3693"/>
      <c r="X37" s="1527"/>
      <c r="Y37" s="1599"/>
      <c r="Z37" s="1527"/>
      <c r="AA37" s="1527"/>
      <c r="AB37" s="1527"/>
      <c r="AC37" s="1527"/>
    </row>
    <row r="38" spans="1:29" ht="15">
      <c r="A38" s="1478" t="s">
        <v>1549</v>
      </c>
      <c r="B38" s="1796" t="str">
        <f>B37</f>
        <v>元/平方米</v>
      </c>
      <c r="C38" s="1797" t="e">
        <f>R39</f>
        <v>#DIV/0!</v>
      </c>
      <c r="D38" s="1481" t="s">
        <v>1550</v>
      </c>
      <c r="E38" s="1798" t="e">
        <f>R38</f>
        <v>#DIV/0!</v>
      </c>
      <c r="F38" s="1482"/>
      <c r="G38" s="1797" t="e">
        <f>T38</f>
        <v>#DIV/0!</v>
      </c>
      <c r="H38" s="1482"/>
      <c r="I38" s="1798" t="e">
        <f>V38</f>
        <v>#DIV/0!</v>
      </c>
      <c r="J38" s="1482"/>
      <c r="K38" s="1564">
        <f>F38+H38+J38</f>
        <v>0</v>
      </c>
      <c r="L38" s="1563"/>
      <c r="M38" s="1487"/>
      <c r="N38" s="1487"/>
      <c r="O38" s="148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704" t="str">
        <f>A39</f>
        <v>估价对象XX用房的比较价值（楼面单价，元/平方米）</v>
      </c>
      <c r="Q39" s="3705"/>
      <c r="R39" s="3740" t="e">
        <f>IF(F1="售价",ROUND(IF(D38="简单平均",AVERAGE(R38:W38),R38*F38+T38*H38+V38*J38),0),ROUND(IF(D38="简单平均",AVERAGE(R38:V38),R38*F38+T38*H38+V38*J38),1))</f>
        <v>#DIV/0!</v>
      </c>
      <c r="S39" s="3740"/>
      <c r="T39" s="3740"/>
      <c r="U39" s="3740"/>
      <c r="V39" s="3740"/>
      <c r="W39" s="3740"/>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1552</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1553</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1554</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1555</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1515</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1556</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1518</v>
      </c>
      <c r="B51" s="1611"/>
      <c r="C51" s="1612" t="s">
        <v>1557</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1558</v>
      </c>
      <c r="B53" s="1617" t="s">
        <v>1521</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1524</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1526</v>
      </c>
      <c r="B63" s="1617" t="s">
        <v>1529</v>
      </c>
      <c r="C63" s="1638" t="s">
        <v>1559</v>
      </c>
      <c r="D63" s="1638" t="s">
        <v>1560</v>
      </c>
      <c r="E63" s="1638" t="s">
        <v>1561</v>
      </c>
      <c r="F63" s="1638" t="s">
        <v>1562</v>
      </c>
      <c r="G63" s="1638" t="s">
        <v>1563</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1530</v>
      </c>
      <c r="C65" s="1640" t="s">
        <v>1559</v>
      </c>
      <c r="D65" s="1640" t="s">
        <v>1560</v>
      </c>
      <c r="E65" s="1640" t="s">
        <v>1561</v>
      </c>
      <c r="F65" s="1640" t="s">
        <v>1562</v>
      </c>
      <c r="G65" s="1640" t="s">
        <v>1563</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1531</v>
      </c>
      <c r="C67" s="1645" t="s">
        <v>1564</v>
      </c>
      <c r="D67" s="1645" t="s">
        <v>1565</v>
      </c>
      <c r="E67" s="1645" t="s">
        <v>1566</v>
      </c>
      <c r="F67" s="1645" t="s">
        <v>1567</v>
      </c>
      <c r="G67" s="1645" t="s">
        <v>1568</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1532</v>
      </c>
      <c r="C69" s="1640" t="s">
        <v>1559</v>
      </c>
      <c r="D69" s="1640" t="s">
        <v>1560</v>
      </c>
      <c r="E69" s="1640" t="s">
        <v>1561</v>
      </c>
      <c r="F69" s="1640" t="s">
        <v>1562</v>
      </c>
      <c r="G69" s="1640" t="s">
        <v>1563</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1594</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1535</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1541</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估价对象为北京市房地产，为所有。根据《国有土地使用证》[]，估价对象（分摊）出让国有建设用地使用权面积为0平方米，建筑面积为879.38平方米。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估价对象为北京市房地产,属开发建设的办公项目，该项目尚在开发建设中。根据《国有土地使用证》[]，估价对象（分摊）出让国有建设用地使用权面积为0平方米，规划建筑面积为879.38平方米。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IF(C2="——",C37,ROUND(B2*10000/D3,0))</f>
        <v>#DIV/0!</v>
      </c>
      <c r="C3" s="1762" t="s">
        <v>1501</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89" t="s">
        <v>1516</v>
      </c>
      <c r="Q7" s="3690"/>
      <c r="R7" s="1582" t="s">
        <v>1517</v>
      </c>
      <c r="S7" s="1583">
        <f t="shared" ref="S7:S14" si="0">F7</f>
        <v>0</v>
      </c>
      <c r="T7" s="1582" t="s">
        <v>1517</v>
      </c>
      <c r="U7" s="1583">
        <f t="shared" ref="U7:U14" si="1">H7</f>
        <v>0</v>
      </c>
      <c r="V7" s="1582" t="s">
        <v>1517</v>
      </c>
      <c r="W7" s="1583">
        <f t="shared" ref="W7:W14" si="2">J7</f>
        <v>0</v>
      </c>
      <c r="X7" s="1584"/>
      <c r="Y7" s="3689" t="s">
        <v>1516</v>
      </c>
      <c r="Z7" s="3691"/>
      <c r="AA7" s="1595" t="e">
        <f>D7/F7</f>
        <v>#DIV/0!</v>
      </c>
      <c r="AB7" s="1595" t="e">
        <f>D7/H7</f>
        <v>#DIV/0!</v>
      </c>
      <c r="AC7" s="1595" t="e">
        <f>D7/J7</f>
        <v>#DIV/0!</v>
      </c>
    </row>
    <row r="8" spans="1:29" s="1371" customFormat="1" ht="15">
      <c r="A8" s="1396" t="s">
        <v>1518</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89" t="s">
        <v>1519</v>
      </c>
      <c r="Q8" s="3691"/>
      <c r="R8" s="1582" t="s">
        <v>1517</v>
      </c>
      <c r="S8" s="1583">
        <f t="shared" si="0"/>
        <v>100</v>
      </c>
      <c r="T8" s="1582" t="s">
        <v>1517</v>
      </c>
      <c r="U8" s="1583">
        <f t="shared" si="1"/>
        <v>100</v>
      </c>
      <c r="V8" s="1582" t="s">
        <v>1517</v>
      </c>
      <c r="W8" s="1583">
        <f t="shared" si="2"/>
        <v>100</v>
      </c>
      <c r="X8" s="1584"/>
      <c r="Y8" s="3689" t="s">
        <v>1519</v>
      </c>
      <c r="Z8" s="3691"/>
      <c r="AA8" s="1595">
        <f t="shared" ref="AA8:AA34" si="3">D8/F8</f>
        <v>1</v>
      </c>
      <c r="AB8" s="1595">
        <f t="shared" ref="AB8:AB34" si="4">D8/H8</f>
        <v>1</v>
      </c>
      <c r="AC8" s="1595">
        <f t="shared" ref="AC8:AC34" si="5">D8/J8</f>
        <v>1</v>
      </c>
    </row>
    <row r="9" spans="1:29" s="1371" customFormat="1">
      <c r="A9" s="1404" t="s">
        <v>1520</v>
      </c>
      <c r="B9" s="1405" t="s">
        <v>1521</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2" t="s">
        <v>1522</v>
      </c>
      <c r="Q9" s="1586" t="str">
        <f t="shared" ref="Q9:Q14" si="6">B9</f>
        <v>用途</v>
      </c>
      <c r="R9" s="1582" t="s">
        <v>1517</v>
      </c>
      <c r="S9" s="1583">
        <f t="shared" si="0"/>
        <v>100</v>
      </c>
      <c r="T9" s="1582" t="s">
        <v>1517</v>
      </c>
      <c r="U9" s="1583">
        <f t="shared" si="1"/>
        <v>100</v>
      </c>
      <c r="V9" s="1582" t="s">
        <v>1517</v>
      </c>
      <c r="W9" s="1583">
        <f t="shared" si="2"/>
        <v>100</v>
      </c>
      <c r="X9" s="1584"/>
      <c r="Y9" s="3647" t="s">
        <v>1523</v>
      </c>
      <c r="Z9" s="1596" t="str">
        <f t="shared" ref="Z9:Z14" si="7">Q9</f>
        <v>用途</v>
      </c>
      <c r="AA9" s="1595">
        <f t="shared" si="3"/>
        <v>1</v>
      </c>
      <c r="AB9" s="1595">
        <f t="shared" si="4"/>
        <v>1</v>
      </c>
      <c r="AC9" s="1595">
        <f t="shared" si="5"/>
        <v>1</v>
      </c>
    </row>
    <row r="10" spans="1:29" s="1372" customFormat="1" ht="27">
      <c r="A10" s="1408"/>
      <c r="B10" s="1409" t="s">
        <v>1524</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2"/>
      <c r="Q10" s="1586" t="str">
        <f t="shared" si="6"/>
        <v>土地使用年限（年）</v>
      </c>
      <c r="R10" s="1582" t="s">
        <v>1517</v>
      </c>
      <c r="S10" s="1583">
        <f t="shared" si="0"/>
        <v>100</v>
      </c>
      <c r="T10" s="1582" t="s">
        <v>1517</v>
      </c>
      <c r="U10" s="1583">
        <f t="shared" si="1"/>
        <v>100</v>
      </c>
      <c r="V10" s="1582" t="s">
        <v>1517</v>
      </c>
      <c r="W10" s="1583">
        <f t="shared" si="2"/>
        <v>100</v>
      </c>
      <c r="X10" s="1584"/>
      <c r="Y10" s="3647"/>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2"/>
      <c r="Q11" s="1586">
        <f t="shared" si="6"/>
        <v>111</v>
      </c>
      <c r="R11" s="1582" t="s">
        <v>1517</v>
      </c>
      <c r="S11" s="1583">
        <f t="shared" si="0"/>
        <v>100</v>
      </c>
      <c r="T11" s="1582" t="s">
        <v>1517</v>
      </c>
      <c r="U11" s="1583">
        <f t="shared" si="1"/>
        <v>100</v>
      </c>
      <c r="V11" s="1582" t="s">
        <v>1517</v>
      </c>
      <c r="W11" s="1583">
        <f t="shared" si="2"/>
        <v>100</v>
      </c>
      <c r="X11" s="1584"/>
      <c r="Y11" s="3647"/>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2"/>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426" t="s">
        <v>1526</v>
      </c>
      <c r="B14" s="1718" t="s">
        <v>1529</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0" t="s">
        <v>1528</v>
      </c>
      <c r="Q14" s="974" t="str">
        <f t="shared" si="6"/>
        <v>交通便捷度</v>
      </c>
      <c r="R14" s="1587" t="s">
        <v>1517</v>
      </c>
      <c r="S14" s="1588">
        <f t="shared" si="0"/>
        <v>100</v>
      </c>
      <c r="T14" s="1587" t="s">
        <v>1517</v>
      </c>
      <c r="U14" s="1588">
        <f t="shared" si="1"/>
        <v>100</v>
      </c>
      <c r="V14" s="1587" t="s">
        <v>1517</v>
      </c>
      <c r="W14" s="1588">
        <f t="shared" si="2"/>
        <v>100</v>
      </c>
      <c r="X14" s="1581"/>
      <c r="Y14" s="3700" t="s">
        <v>1528</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1"/>
      <c r="Q15" s="974"/>
      <c r="R15" s="1587"/>
      <c r="S15" s="1588"/>
      <c r="T15" s="1587"/>
      <c r="U15" s="1588"/>
      <c r="V15" s="1587"/>
      <c r="W15" s="1588"/>
      <c r="X15" s="1581"/>
      <c r="Y15" s="3701"/>
      <c r="Z15" s="1571"/>
      <c r="AA15" s="1597">
        <v>1</v>
      </c>
      <c r="AB15" s="1597">
        <v>1</v>
      </c>
      <c r="AC15" s="1597">
        <v>1</v>
      </c>
    </row>
    <row r="16" spans="1:29" ht="15">
      <c r="A16" s="1412"/>
      <c r="B16" s="1721" t="s">
        <v>1530</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1"/>
      <c r="Q16" s="974" t="str">
        <f>B16</f>
        <v>公共配套设施</v>
      </c>
      <c r="R16" s="1587" t="s">
        <v>1517</v>
      </c>
      <c r="S16" s="1588">
        <f>F16</f>
        <v>100</v>
      </c>
      <c r="T16" s="1587" t="s">
        <v>1517</v>
      </c>
      <c r="U16" s="1588">
        <f>H16</f>
        <v>100</v>
      </c>
      <c r="V16" s="1587" t="s">
        <v>1517</v>
      </c>
      <c r="W16" s="1588">
        <f>J16</f>
        <v>100</v>
      </c>
      <c r="X16" s="1581"/>
      <c r="Y16" s="3701"/>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1"/>
      <c r="Q17" s="974"/>
      <c r="R17" s="1587"/>
      <c r="S17" s="1588"/>
      <c r="T17" s="1587"/>
      <c r="U17" s="1588"/>
      <c r="V17" s="1587"/>
      <c r="W17" s="1588"/>
      <c r="X17" s="1581"/>
      <c r="Y17" s="3701"/>
      <c r="Z17" s="1571"/>
      <c r="AA17" s="1597">
        <v>1</v>
      </c>
      <c r="AB17" s="1597">
        <v>1</v>
      </c>
      <c r="AC17" s="1597">
        <v>1</v>
      </c>
    </row>
    <row r="18" spans="1:29" ht="15">
      <c r="A18" s="1412"/>
      <c r="B18" s="1725" t="s">
        <v>1531</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1"/>
      <c r="Q18" s="974" t="str">
        <f>B18</f>
        <v>基础设施水平</v>
      </c>
      <c r="R18" s="1587" t="s">
        <v>1517</v>
      </c>
      <c r="S18" s="1588">
        <f>F18</f>
        <v>100</v>
      </c>
      <c r="T18" s="1587" t="s">
        <v>1517</v>
      </c>
      <c r="U18" s="1588">
        <f>H18</f>
        <v>100</v>
      </c>
      <c r="V18" s="1587" t="s">
        <v>1517</v>
      </c>
      <c r="W18" s="1588">
        <f>J18</f>
        <v>100</v>
      </c>
      <c r="X18" s="1581"/>
      <c r="Y18" s="3701"/>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1"/>
      <c r="Q19" s="974"/>
      <c r="R19" s="1587"/>
      <c r="S19" s="1588"/>
      <c r="T19" s="1587"/>
      <c r="U19" s="1588"/>
      <c r="V19" s="1587"/>
      <c r="W19" s="1588"/>
      <c r="X19" s="1581"/>
      <c r="Y19" s="3701"/>
      <c r="Z19" s="1571"/>
      <c r="AA19" s="1597">
        <v>1</v>
      </c>
      <c r="AB19" s="1597">
        <v>1</v>
      </c>
      <c r="AC19" s="1597">
        <v>1</v>
      </c>
    </row>
    <row r="20" spans="1:29" ht="15">
      <c r="A20" s="1412"/>
      <c r="B20" s="1721" t="s">
        <v>1532</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1"/>
      <c r="Q20" s="974" t="str">
        <f>B20</f>
        <v>自然及人文环境</v>
      </c>
      <c r="R20" s="1587" t="s">
        <v>1517</v>
      </c>
      <c r="S20" s="1588">
        <f>F20</f>
        <v>100</v>
      </c>
      <c r="T20" s="1587" t="s">
        <v>1517</v>
      </c>
      <c r="U20" s="1588">
        <f>H20</f>
        <v>100</v>
      </c>
      <c r="V20" s="1587" t="s">
        <v>1517</v>
      </c>
      <c r="W20" s="1588">
        <f>J20</f>
        <v>100</v>
      </c>
      <c r="X20" s="1581"/>
      <c r="Y20" s="3701"/>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1"/>
      <c r="Q21" s="974"/>
      <c r="R21" s="1587"/>
      <c r="S21" s="1588"/>
      <c r="T21" s="1587"/>
      <c r="U21" s="1588"/>
      <c r="V21" s="1587"/>
      <c r="W21" s="1588"/>
      <c r="X21" s="1581"/>
      <c r="Y21" s="3701"/>
      <c r="Z21" s="1571"/>
      <c r="AA21" s="1597">
        <v>1</v>
      </c>
      <c r="AB21" s="1597">
        <v>1</v>
      </c>
      <c r="AC21" s="1597">
        <v>1</v>
      </c>
    </row>
    <row r="22" spans="1:29" ht="15">
      <c r="A22" s="1412"/>
      <c r="B22" s="1721" t="s">
        <v>1594</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1"/>
      <c r="Q22" s="974" t="str">
        <f>B22</f>
        <v>楼层</v>
      </c>
      <c r="R22" s="1587" t="s">
        <v>1517</v>
      </c>
      <c r="S22" s="1588">
        <f>F22</f>
        <v>100</v>
      </c>
      <c r="T22" s="1587" t="s">
        <v>1517</v>
      </c>
      <c r="U22" s="1588">
        <f>H22</f>
        <v>100</v>
      </c>
      <c r="V22" s="1587" t="s">
        <v>1517</v>
      </c>
      <c r="W22" s="1588">
        <f>J22</f>
        <v>100</v>
      </c>
      <c r="X22" s="1581"/>
      <c r="Y22" s="3701"/>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1"/>
      <c r="Q23" s="974">
        <f>B23</f>
        <v>111</v>
      </c>
      <c r="R23" s="1587" t="s">
        <v>1517</v>
      </c>
      <c r="S23" s="1588">
        <f>F23</f>
        <v>100</v>
      </c>
      <c r="T23" s="1587" t="s">
        <v>1517</v>
      </c>
      <c r="U23" s="1588">
        <f>H23</f>
        <v>100</v>
      </c>
      <c r="V23" s="1587" t="s">
        <v>1517</v>
      </c>
      <c r="W23" s="1588">
        <f>J23</f>
        <v>100</v>
      </c>
      <c r="X23" s="1581"/>
      <c r="Y23" s="3701"/>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1"/>
      <c r="Q24" s="974">
        <f t="shared" ref="Q24:Q34" si="11">B24</f>
        <v>111</v>
      </c>
      <c r="R24" s="1587" t="s">
        <v>1517</v>
      </c>
      <c r="S24" s="1588">
        <f>F24</f>
        <v>100</v>
      </c>
      <c r="T24" s="1587" t="s">
        <v>1517</v>
      </c>
      <c r="U24" s="1588">
        <f>H24</f>
        <v>100</v>
      </c>
      <c r="V24" s="1587" t="s">
        <v>1517</v>
      </c>
      <c r="W24" s="1588">
        <f>J24</f>
        <v>100</v>
      </c>
      <c r="X24" s="1581"/>
      <c r="Y24" s="3701"/>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1"/>
      <c r="Q25" s="1586">
        <f t="shared" si="11"/>
        <v>111</v>
      </c>
      <c r="R25" s="1582" t="s">
        <v>1517</v>
      </c>
      <c r="S25" s="1583">
        <f>F25</f>
        <v>100</v>
      </c>
      <c r="T25" s="1582" t="s">
        <v>1517</v>
      </c>
      <c r="U25" s="1583">
        <f>H25</f>
        <v>100</v>
      </c>
      <c r="V25" s="1582" t="s">
        <v>1517</v>
      </c>
      <c r="W25" s="1583">
        <f>J25</f>
        <v>100</v>
      </c>
      <c r="X25" s="1584"/>
      <c r="Y25" s="3701"/>
      <c r="Z25" s="1596">
        <f>Q25</f>
        <v>111</v>
      </c>
      <c r="AA25" s="1597">
        <f t="shared" si="3"/>
        <v>1</v>
      </c>
      <c r="AB25" s="1597">
        <f t="shared" si="4"/>
        <v>1</v>
      </c>
      <c r="AC25" s="1597">
        <f t="shared" si="5"/>
        <v>1</v>
      </c>
    </row>
    <row r="26" spans="1:29" ht="28.5">
      <c r="A26" s="1779" t="s">
        <v>1535</v>
      </c>
      <c r="B26" s="1405" t="s">
        <v>1541</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39" t="s">
        <v>1537</v>
      </c>
      <c r="Q26" s="974" t="str">
        <f t="shared" si="11"/>
        <v>公共部分装修</v>
      </c>
      <c r="R26" s="1587" t="s">
        <v>1517</v>
      </c>
      <c r="S26" s="1588">
        <f t="shared" ref="S26:S34" si="12">F26</f>
        <v>100</v>
      </c>
      <c r="T26" s="1587" t="s">
        <v>1517</v>
      </c>
      <c r="U26" s="1588">
        <f t="shared" ref="U26:U34" si="13">H26</f>
        <v>100</v>
      </c>
      <c r="V26" s="1587" t="s">
        <v>1517</v>
      </c>
      <c r="W26" s="1588">
        <f t="shared" ref="W26:W34" si="14">J26</f>
        <v>100</v>
      </c>
      <c r="X26" s="1581"/>
      <c r="Y26" s="3702" t="s">
        <v>1537</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2"/>
      <c r="Q27" s="1814" t="str">
        <f t="shared" si="11"/>
        <v>成新率</v>
      </c>
      <c r="R27" s="1589" t="s">
        <v>1517</v>
      </c>
      <c r="S27" s="1590" t="e">
        <f t="shared" si="12"/>
        <v>#N/A</v>
      </c>
      <c r="T27" s="1589" t="s">
        <v>1517</v>
      </c>
      <c r="U27" s="1590" t="e">
        <f t="shared" si="13"/>
        <v>#N/A</v>
      </c>
      <c r="V27" s="1589" t="s">
        <v>1517</v>
      </c>
      <c r="W27" s="1590" t="e">
        <f t="shared" si="14"/>
        <v>#N/A</v>
      </c>
      <c r="X27" s="1591"/>
      <c r="Y27" s="3702"/>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2"/>
      <c r="Q28" s="974" t="str">
        <f t="shared" si="11"/>
        <v>物业等级</v>
      </c>
      <c r="R28" s="1587" t="s">
        <v>1517</v>
      </c>
      <c r="S28" s="1588">
        <f t="shared" si="12"/>
        <v>100</v>
      </c>
      <c r="T28" s="1587" t="s">
        <v>1517</v>
      </c>
      <c r="U28" s="1588">
        <f t="shared" si="13"/>
        <v>100</v>
      </c>
      <c r="V28" s="1587" t="s">
        <v>1517</v>
      </c>
      <c r="W28" s="1588">
        <f t="shared" si="14"/>
        <v>100</v>
      </c>
      <c r="X28" s="1581"/>
      <c r="Y28" s="3702"/>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2"/>
      <c r="Q29" s="974" t="str">
        <f t="shared" si="11"/>
        <v>有无电梯</v>
      </c>
      <c r="R29" s="1587" t="s">
        <v>1517</v>
      </c>
      <c r="S29" s="1588">
        <f t="shared" si="12"/>
        <v>100</v>
      </c>
      <c r="T29" s="1587" t="s">
        <v>1517</v>
      </c>
      <c r="U29" s="1588">
        <f t="shared" si="13"/>
        <v>100</v>
      </c>
      <c r="V29" s="1587" t="s">
        <v>1517</v>
      </c>
      <c r="W29" s="1588">
        <f t="shared" si="14"/>
        <v>100</v>
      </c>
      <c r="X29" s="1581"/>
      <c r="Y29" s="3702"/>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2"/>
      <c r="Q30" s="974" t="str">
        <f t="shared" si="11"/>
        <v>建筑面积</v>
      </c>
      <c r="R30" s="1587" t="s">
        <v>1517</v>
      </c>
      <c r="S30" s="1588" t="e">
        <f t="shared" si="12"/>
        <v>#N/A</v>
      </c>
      <c r="T30" s="1587" t="s">
        <v>1517</v>
      </c>
      <c r="U30" s="1588" t="e">
        <f t="shared" si="13"/>
        <v>#N/A</v>
      </c>
      <c r="V30" s="1587" t="s">
        <v>1517</v>
      </c>
      <c r="W30" s="1588" t="e">
        <f t="shared" si="14"/>
        <v>#N/A</v>
      </c>
      <c r="X30" s="1581"/>
      <c r="Y30" s="3702"/>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2"/>
      <c r="Q31" s="1586" t="str">
        <f t="shared" si="11"/>
        <v>是否封闭</v>
      </c>
      <c r="R31" s="1582" t="s">
        <v>1517</v>
      </c>
      <c r="S31" s="1583">
        <f t="shared" si="12"/>
        <v>100</v>
      </c>
      <c r="T31" s="1582" t="s">
        <v>1517</v>
      </c>
      <c r="U31" s="1583">
        <f t="shared" si="13"/>
        <v>100</v>
      </c>
      <c r="V31" s="1582" t="s">
        <v>1517</v>
      </c>
      <c r="W31" s="1583">
        <f t="shared" si="14"/>
        <v>100</v>
      </c>
      <c r="X31" s="1584"/>
      <c r="Y31" s="3702"/>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2" t="s">
        <v>1537</v>
      </c>
      <c r="Q32" s="974">
        <f t="shared" si="11"/>
        <v>111</v>
      </c>
      <c r="R32" s="1587" t="s">
        <v>1517</v>
      </c>
      <c r="S32" s="1588">
        <f t="shared" si="12"/>
        <v>100</v>
      </c>
      <c r="T32" s="1587" t="s">
        <v>1517</v>
      </c>
      <c r="U32" s="1588">
        <f t="shared" si="13"/>
        <v>100</v>
      </c>
      <c r="V32" s="1587" t="s">
        <v>1517</v>
      </c>
      <c r="W32" s="1588">
        <f t="shared" si="14"/>
        <v>100</v>
      </c>
      <c r="X32" s="1581"/>
      <c r="Y32" s="3702" t="s">
        <v>1537</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2"/>
      <c r="Q33" s="974">
        <f t="shared" si="11"/>
        <v>111</v>
      </c>
      <c r="R33" s="1587" t="s">
        <v>1517</v>
      </c>
      <c r="S33" s="1588">
        <f t="shared" si="12"/>
        <v>100</v>
      </c>
      <c r="T33" s="1587" t="s">
        <v>1517</v>
      </c>
      <c r="U33" s="1588">
        <f t="shared" si="13"/>
        <v>100</v>
      </c>
      <c r="V33" s="1587" t="s">
        <v>1517</v>
      </c>
      <c r="W33" s="1588">
        <f t="shared" si="14"/>
        <v>100</v>
      </c>
      <c r="X33" s="1581"/>
      <c r="Y33" s="3702"/>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2"/>
      <c r="Q34" s="974">
        <f t="shared" si="11"/>
        <v>111</v>
      </c>
      <c r="R34" s="1587" t="s">
        <v>1517</v>
      </c>
      <c r="S34" s="1588">
        <f t="shared" si="12"/>
        <v>100</v>
      </c>
      <c r="T34" s="1587" t="s">
        <v>1517</v>
      </c>
      <c r="U34" s="1588">
        <f t="shared" si="13"/>
        <v>100</v>
      </c>
      <c r="V34" s="1587" t="s">
        <v>1517</v>
      </c>
      <c r="W34" s="1588">
        <f t="shared" si="14"/>
        <v>100</v>
      </c>
      <c r="X34" s="1581"/>
      <c r="Y34" s="3702"/>
      <c r="Z34" s="1571">
        <f t="shared" si="15"/>
        <v>111</v>
      </c>
      <c r="AA34" s="1597">
        <f t="shared" si="3"/>
        <v>1</v>
      </c>
      <c r="AB34" s="1597">
        <f t="shared" si="4"/>
        <v>1</v>
      </c>
      <c r="AC34" s="1597">
        <f t="shared" si="5"/>
        <v>1</v>
      </c>
    </row>
    <row r="35" spans="1:30" ht="15">
      <c r="A35" s="1470" t="s">
        <v>1548</v>
      </c>
      <c r="B35" s="1789"/>
      <c r="C35" s="1790" t="s">
        <v>124</v>
      </c>
      <c r="D35" s="1791"/>
      <c r="E35" s="1792"/>
      <c r="F35" s="1793"/>
      <c r="G35" s="1794"/>
      <c r="H35" s="1795"/>
      <c r="I35" s="1792"/>
      <c r="J35" s="1795"/>
      <c r="K35" s="1562"/>
      <c r="L35" s="1563"/>
      <c r="M35" s="1487"/>
      <c r="N35" s="1539"/>
      <c r="O35" s="1487"/>
      <c r="P35" s="3692" t="str">
        <f>A35</f>
        <v>成交单价（元/平方米）</v>
      </c>
      <c r="Q35" s="3692"/>
      <c r="R35" s="3693">
        <f>E35</f>
        <v>0</v>
      </c>
      <c r="S35" s="3693"/>
      <c r="T35" s="3693">
        <f>G35</f>
        <v>0</v>
      </c>
      <c r="U35" s="3693"/>
      <c r="V35" s="3693">
        <f>I35</f>
        <v>0</v>
      </c>
      <c r="W35" s="3693"/>
      <c r="X35" s="1527"/>
      <c r="Y35" s="1599"/>
      <c r="Z35" s="1527"/>
      <c r="AA35" s="1527"/>
      <c r="AB35" s="1527"/>
      <c r="AC35" s="1527"/>
    </row>
    <row r="36" spans="1:30" ht="15">
      <c r="A36" s="1478" t="s">
        <v>1549</v>
      </c>
      <c r="B36" s="1796"/>
      <c r="C36" s="1797" t="e">
        <f>R37</f>
        <v>#DIV/0!</v>
      </c>
      <c r="D36" s="1481" t="s">
        <v>1550</v>
      </c>
      <c r="E36" s="1798" t="e">
        <f>R36</f>
        <v>#DIV/0!</v>
      </c>
      <c r="F36" s="1482"/>
      <c r="G36" s="1797" t="e">
        <f>T36</f>
        <v>#DIV/0!</v>
      </c>
      <c r="H36" s="1482"/>
      <c r="I36" s="1798" t="e">
        <f>V36</f>
        <v>#DIV/0!</v>
      </c>
      <c r="J36" s="1482"/>
      <c r="K36" s="1564">
        <f>F36+H36+J36</f>
        <v>0</v>
      </c>
      <c r="L36" s="1563"/>
      <c r="M36" s="1487"/>
      <c r="N36" s="1539"/>
      <c r="O36" s="148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27"/>
      <c r="Y36" s="1527"/>
      <c r="Z36" s="1527"/>
      <c r="AA36" s="1527"/>
      <c r="AB36" s="1527"/>
      <c r="AC36" s="1527"/>
    </row>
    <row r="37" spans="1:30" ht="15">
      <c r="A37" s="1484" t="s">
        <v>1551</v>
      </c>
      <c r="B37" s="1485"/>
      <c r="C37" s="1799" t="e">
        <f>R37</f>
        <v>#DIV/0!</v>
      </c>
      <c r="D37" s="1799"/>
      <c r="E37" s="1799"/>
      <c r="F37" s="1799"/>
      <c r="G37" s="1799"/>
      <c r="H37" s="1799"/>
      <c r="I37" s="1799"/>
      <c r="J37" s="1799"/>
      <c r="K37" s="1565"/>
      <c r="L37" s="1563"/>
      <c r="M37" s="1487"/>
      <c r="N37" s="1487"/>
      <c r="O37" s="1487"/>
      <c r="P37" s="3704" t="str">
        <f>A37</f>
        <v>估价对象XX用房的比较价值（楼面单价，元/平方米）</v>
      </c>
      <c r="Q37" s="3705"/>
      <c r="R37" s="3740" t="e">
        <f>IF(F1="售价",ROUND(IF(D36="简单平均",AVERAGE(R36:W36),R36*F36+T36*H36+V36*J36),0),ROUND(IF(D36="简单平均",AVERAGE(R36:V36),R36*F36+T36*H36+V36*J36),1))</f>
        <v>#DIV/0!</v>
      </c>
      <c r="S37" s="3740"/>
      <c r="T37" s="3740"/>
      <c r="U37" s="3740"/>
      <c r="V37" s="3740"/>
      <c r="W37" s="3740"/>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1552</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1553</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1554</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1555</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1515</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1556</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1518</v>
      </c>
      <c r="B49" s="1611"/>
      <c r="C49" s="1612" t="s">
        <v>1557</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1558</v>
      </c>
      <c r="B51" s="1617" t="s">
        <v>1521</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1524</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1526</v>
      </c>
      <c r="B61" s="1617" t="s">
        <v>1529</v>
      </c>
      <c r="C61" s="1638" t="s">
        <v>1559</v>
      </c>
      <c r="D61" s="1638" t="s">
        <v>1560</v>
      </c>
      <c r="E61" s="1638" t="s">
        <v>1561</v>
      </c>
      <c r="F61" s="1638" t="s">
        <v>1562</v>
      </c>
      <c r="G61" s="1638" t="s">
        <v>1563</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1559</v>
      </c>
      <c r="D63" s="1640" t="s">
        <v>1560</v>
      </c>
      <c r="E63" s="1640" t="s">
        <v>1561</v>
      </c>
      <c r="F63" s="1640" t="s">
        <v>1562</v>
      </c>
      <c r="G63" s="1640" t="s">
        <v>1563</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1531</v>
      </c>
      <c r="C65" s="1645" t="s">
        <v>1564</v>
      </c>
      <c r="D65" s="1645" t="s">
        <v>1565</v>
      </c>
      <c r="E65" s="1645" t="s">
        <v>1566</v>
      </c>
      <c r="F65" s="1645" t="s">
        <v>1567</v>
      </c>
      <c r="G65" s="1645" t="s">
        <v>1568</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1532</v>
      </c>
      <c r="C67" s="1640" t="s">
        <v>1559</v>
      </c>
      <c r="D67" s="1640" t="s">
        <v>1560</v>
      </c>
      <c r="E67" s="1640" t="s">
        <v>1561</v>
      </c>
      <c r="F67" s="1640" t="s">
        <v>1562</v>
      </c>
      <c r="G67" s="1640" t="s">
        <v>1563</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1594</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1535</v>
      </c>
      <c r="B77" s="1617" t="s">
        <v>1541</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1033</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30"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30" ht="15">
      <c r="A6" s="1394"/>
      <c r="B6" s="1395"/>
      <c r="C6" s="3685" t="s">
        <v>1513</v>
      </c>
      <c r="D6" s="3686"/>
      <c r="E6" s="3687" t="s">
        <v>1513</v>
      </c>
      <c r="F6" s="3688"/>
      <c r="G6" s="3685" t="s">
        <v>1513</v>
      </c>
      <c r="H6" s="3686"/>
      <c r="I6" s="3685" t="s">
        <v>1513</v>
      </c>
      <c r="J6" s="3686"/>
      <c r="K6" s="1537" t="s">
        <v>1514</v>
      </c>
      <c r="L6" s="1538"/>
      <c r="M6" s="1539"/>
      <c r="N6" s="1539"/>
      <c r="O6" s="1539"/>
      <c r="P6" s="3714"/>
      <c r="Q6" s="3715"/>
      <c r="R6" s="3718"/>
      <c r="S6" s="3719"/>
      <c r="T6" s="3720"/>
      <c r="U6" s="3721"/>
      <c r="V6" s="3722"/>
      <c r="W6" s="3722"/>
      <c r="X6" s="1581"/>
      <c r="Y6" s="3720"/>
      <c r="Z6" s="3721"/>
      <c r="AA6" s="3709"/>
      <c r="AB6" s="3709"/>
      <c r="AC6" s="3709"/>
    </row>
    <row r="7" spans="1:30" s="1371" customFormat="1" ht="15">
      <c r="A7" s="1396" t="s">
        <v>1515</v>
      </c>
      <c r="B7" s="1397"/>
      <c r="C7" s="1398">
        <f>'数据-取费表'!B2</f>
        <v>45874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30" s="1371" customFormat="1" ht="15">
      <c r="A8" s="1396" t="s">
        <v>1518</v>
      </c>
      <c r="B8" s="1397"/>
      <c r="C8" s="1403" t="s">
        <v>1557</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89" t="s">
        <v>1519</v>
      </c>
      <c r="Q8" s="3691"/>
      <c r="R8" s="1582" t="s">
        <v>1517</v>
      </c>
      <c r="S8" s="1583">
        <f t="shared" si="0"/>
        <v>0</v>
      </c>
      <c r="T8" s="1582" t="s">
        <v>1517</v>
      </c>
      <c r="U8" s="1583">
        <f t="shared" si="1"/>
        <v>0</v>
      </c>
      <c r="V8" s="1582" t="s">
        <v>1517</v>
      </c>
      <c r="W8" s="1583">
        <f t="shared" si="2"/>
        <v>0</v>
      </c>
      <c r="X8" s="1584"/>
      <c r="Y8" s="3689" t="s">
        <v>1519</v>
      </c>
      <c r="Z8" s="3691"/>
      <c r="AA8" s="1595" t="e">
        <f t="shared" ref="AA8:AA45" si="3">D8/F8</f>
        <v>#DIV/0!</v>
      </c>
      <c r="AB8" s="1595" t="e">
        <f t="shared" ref="AB8:AB45" si="4">D8/H8</f>
        <v>#DIV/0!</v>
      </c>
      <c r="AC8" s="1595" t="e">
        <f t="shared" ref="AC8:AC45" si="5">D8/J8</f>
        <v>#DIV/0!</v>
      </c>
    </row>
    <row r="9" spans="1:30" s="1371" customFormat="1">
      <c r="A9" s="1404" t="s">
        <v>1520</v>
      </c>
      <c r="B9" s="1405" t="s">
        <v>1521</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2"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595">
        <f t="shared" si="5"/>
        <v>1</v>
      </c>
    </row>
    <row r="10" spans="1:30" s="1372" customFormat="1" ht="27">
      <c r="A10" s="1408"/>
      <c r="B10" s="1409" t="s">
        <v>1524</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2"/>
      <c r="Q10" s="1586" t="str">
        <f t="shared" si="6"/>
        <v>土地使用年限（年）</v>
      </c>
      <c r="R10" s="1582" t="s">
        <v>1517</v>
      </c>
      <c r="S10" s="1583">
        <f t="shared" si="0"/>
        <v>112</v>
      </c>
      <c r="T10" s="1582" t="s">
        <v>1517</v>
      </c>
      <c r="U10" s="1583">
        <f t="shared" si="1"/>
        <v>112</v>
      </c>
      <c r="V10" s="1582" t="s">
        <v>1517</v>
      </c>
      <c r="W10" s="1583">
        <f t="shared" si="2"/>
        <v>112</v>
      </c>
      <c r="X10" s="1584"/>
      <c r="Y10" s="3647"/>
      <c r="Z10" s="1596" t="str">
        <f t="shared" si="7"/>
        <v>土地使用年限（年）</v>
      </c>
      <c r="AA10" s="1595">
        <f t="shared" si="3"/>
        <v>0.89285714285714302</v>
      </c>
      <c r="AB10" s="1595">
        <f t="shared" si="4"/>
        <v>0.89285714285714302</v>
      </c>
      <c r="AC10" s="1595">
        <f t="shared" si="5"/>
        <v>0.89285714285714302</v>
      </c>
    </row>
    <row r="11" spans="1:30" ht="15">
      <c r="A11" s="1412"/>
      <c r="B11" s="1409" t="s">
        <v>1525</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2"/>
      <c r="Q11" s="1586" t="str">
        <f t="shared" si="6"/>
        <v>容积率</v>
      </c>
      <c r="R11" s="1582" t="s">
        <v>1517</v>
      </c>
      <c r="S11" s="1583" t="e">
        <f t="shared" si="0"/>
        <v>#N/A</v>
      </c>
      <c r="T11" s="1582" t="s">
        <v>1517</v>
      </c>
      <c r="U11" s="1583" t="e">
        <f t="shared" si="1"/>
        <v>#N/A</v>
      </c>
      <c r="V11" s="1582" t="s">
        <v>1517</v>
      </c>
      <c r="W11" s="1583" t="e">
        <f t="shared" si="2"/>
        <v>#N/A</v>
      </c>
      <c r="X11" s="1584"/>
      <c r="Y11" s="3647"/>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2"/>
      <c r="Q12" s="1586" t="str">
        <f t="shared" si="6"/>
        <v>配建</v>
      </c>
      <c r="R12" s="1582" t="s">
        <v>1517</v>
      </c>
      <c r="S12" s="1583">
        <f t="shared" si="0"/>
        <v>100</v>
      </c>
      <c r="T12" s="1582" t="s">
        <v>1517</v>
      </c>
      <c r="U12" s="1583">
        <f t="shared" si="1"/>
        <v>100</v>
      </c>
      <c r="V12" s="1582" t="s">
        <v>1517</v>
      </c>
      <c r="W12" s="1583">
        <f t="shared" si="2"/>
        <v>100</v>
      </c>
      <c r="X12" s="1584"/>
      <c r="Y12" s="3647"/>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2"/>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595">
        <f t="shared" si="5"/>
        <v>1</v>
      </c>
    </row>
    <row r="15" spans="1:30" ht="15">
      <c r="A15" s="1426" t="s">
        <v>1526</v>
      </c>
      <c r="B15" s="1718" t="s">
        <v>1527</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0" t="s">
        <v>1528</v>
      </c>
      <c r="Q15" s="974" t="str">
        <f t="shared" si="6"/>
        <v>居住社区成熟度</v>
      </c>
      <c r="R15" s="1587" t="s">
        <v>1517</v>
      </c>
      <c r="S15" s="1588">
        <f t="shared" si="0"/>
        <v>100</v>
      </c>
      <c r="T15" s="1587" t="s">
        <v>1517</v>
      </c>
      <c r="U15" s="1588">
        <f t="shared" si="1"/>
        <v>100</v>
      </c>
      <c r="V15" s="1587" t="s">
        <v>1517</v>
      </c>
      <c r="W15" s="1588">
        <f t="shared" si="2"/>
        <v>100</v>
      </c>
      <c r="X15" s="1581"/>
      <c r="Y15" s="3700" t="s">
        <v>1528</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1"/>
      <c r="Q16" s="974"/>
      <c r="R16" s="1587"/>
      <c r="S16" s="1588"/>
      <c r="T16" s="1587"/>
      <c r="U16" s="1588"/>
      <c r="V16" s="1587"/>
      <c r="W16" s="1588"/>
      <c r="X16" s="1581"/>
      <c r="Y16" s="3701"/>
      <c r="Z16" s="1571"/>
      <c r="AA16" s="1597">
        <v>1</v>
      </c>
      <c r="AB16" s="1597">
        <v>1</v>
      </c>
      <c r="AC16" s="1597">
        <v>1</v>
      </c>
    </row>
    <row r="17" spans="1:29" ht="15">
      <c r="A17" s="1412"/>
      <c r="B17" s="1721" t="s">
        <v>1590</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1"/>
      <c r="Q17" s="974" t="str">
        <f>B17</f>
        <v>商业繁华度</v>
      </c>
      <c r="R17" s="1587" t="s">
        <v>1517</v>
      </c>
      <c r="S17" s="1588">
        <f>F17</f>
        <v>100</v>
      </c>
      <c r="T17" s="1587" t="s">
        <v>1517</v>
      </c>
      <c r="U17" s="1588">
        <f>H17</f>
        <v>100</v>
      </c>
      <c r="V17" s="1587" t="s">
        <v>1517</v>
      </c>
      <c r="W17" s="1588">
        <f>J17</f>
        <v>100</v>
      </c>
      <c r="X17" s="1581"/>
      <c r="Y17" s="3701"/>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1"/>
      <c r="Q18" s="974"/>
      <c r="R18" s="1587"/>
      <c r="S18" s="1588"/>
      <c r="T18" s="1587"/>
      <c r="U18" s="1588"/>
      <c r="V18" s="1587"/>
      <c r="W18" s="1588"/>
      <c r="X18" s="1581"/>
      <c r="Y18" s="3701"/>
      <c r="Z18" s="1571"/>
      <c r="AA18" s="1597">
        <v>1</v>
      </c>
      <c r="AB18" s="1597">
        <v>1</v>
      </c>
      <c r="AC18" s="1597">
        <v>1</v>
      </c>
    </row>
    <row r="19" spans="1:29" ht="15">
      <c r="A19" s="1412"/>
      <c r="B19" s="1721" t="s">
        <v>1607</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1"/>
      <c r="Q19" s="974" t="str">
        <f>B19</f>
        <v>办公集聚程度</v>
      </c>
      <c r="R19" s="1587" t="s">
        <v>1517</v>
      </c>
      <c r="S19" s="1588">
        <f>F19</f>
        <v>100</v>
      </c>
      <c r="T19" s="1587" t="s">
        <v>1517</v>
      </c>
      <c r="U19" s="1588">
        <f>H19</f>
        <v>100</v>
      </c>
      <c r="V19" s="1587" t="s">
        <v>1517</v>
      </c>
      <c r="W19" s="1588">
        <f>J19</f>
        <v>100</v>
      </c>
      <c r="X19" s="1581"/>
      <c r="Y19" s="3701"/>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1"/>
      <c r="Q20" s="974"/>
      <c r="R20" s="1587"/>
      <c r="S20" s="1588"/>
      <c r="T20" s="1587"/>
      <c r="U20" s="1588"/>
      <c r="V20" s="1587"/>
      <c r="W20" s="1588"/>
      <c r="X20" s="1581"/>
      <c r="Y20" s="3701"/>
      <c r="Z20" s="1571"/>
      <c r="AA20" s="1597">
        <v>1</v>
      </c>
      <c r="AB20" s="1597">
        <v>1</v>
      </c>
      <c r="AC20" s="1597">
        <v>1</v>
      </c>
    </row>
    <row r="21" spans="1:29" ht="15">
      <c r="A21" s="1412"/>
      <c r="B21" s="1721" t="s">
        <v>1529</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1"/>
      <c r="Q21" s="974" t="str">
        <f>B21</f>
        <v>交通便捷度</v>
      </c>
      <c r="R21" s="1587" t="s">
        <v>1517</v>
      </c>
      <c r="S21" s="1588">
        <f>F21</f>
        <v>100</v>
      </c>
      <c r="T21" s="1587" t="s">
        <v>1517</v>
      </c>
      <c r="U21" s="1588">
        <f>H21</f>
        <v>100</v>
      </c>
      <c r="V21" s="1587" t="s">
        <v>1517</v>
      </c>
      <c r="W21" s="1588">
        <f>J21</f>
        <v>100</v>
      </c>
      <c r="X21" s="1581"/>
      <c r="Y21" s="3701"/>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1"/>
      <c r="Q22" s="974"/>
      <c r="R22" s="1587"/>
      <c r="S22" s="1588"/>
      <c r="T22" s="1587"/>
      <c r="U22" s="1588"/>
      <c r="V22" s="1587"/>
      <c r="W22" s="1588"/>
      <c r="X22" s="1581"/>
      <c r="Y22" s="3701"/>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1"/>
      <c r="Q23" s="974" t="str">
        <f t="shared" ref="Q23:Q38" si="8">B23</f>
        <v>区域土地利用方向</v>
      </c>
      <c r="R23" s="1587" t="s">
        <v>1517</v>
      </c>
      <c r="S23" s="1588">
        <f>F23</f>
        <v>100</v>
      </c>
      <c r="T23" s="1587" t="s">
        <v>1517</v>
      </c>
      <c r="U23" s="1588">
        <f>H23</f>
        <v>100</v>
      </c>
      <c r="V23" s="1587" t="s">
        <v>1517</v>
      </c>
      <c r="W23" s="1588">
        <f>J23</f>
        <v>100</v>
      </c>
      <c r="X23" s="1581"/>
      <c r="Y23" s="3701"/>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1"/>
      <c r="Q24" s="974"/>
      <c r="R24" s="1587"/>
      <c r="S24" s="1588"/>
      <c r="T24" s="1587"/>
      <c r="U24" s="1588"/>
      <c r="V24" s="1587"/>
      <c r="W24" s="1588"/>
      <c r="X24" s="1581"/>
      <c r="Y24" s="3701"/>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1"/>
      <c r="Q25" s="974" t="str">
        <f t="shared" si="8"/>
        <v>自然及人文环境状况</v>
      </c>
      <c r="R25" s="1587" t="s">
        <v>1517</v>
      </c>
      <c r="S25" s="1588">
        <f>F25</f>
        <v>100</v>
      </c>
      <c r="T25" s="1587" t="s">
        <v>1517</v>
      </c>
      <c r="U25" s="1588">
        <f>H25</f>
        <v>100</v>
      </c>
      <c r="V25" s="1587" t="s">
        <v>1517</v>
      </c>
      <c r="W25" s="1588">
        <f>J25</f>
        <v>100</v>
      </c>
      <c r="X25" s="1581"/>
      <c r="Y25" s="3701"/>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1"/>
      <c r="Q26" s="974"/>
      <c r="R26" s="1587"/>
      <c r="S26" s="1588"/>
      <c r="T26" s="1587"/>
      <c r="U26" s="1588"/>
      <c r="V26" s="1587"/>
      <c r="W26" s="1588"/>
      <c r="X26" s="1581"/>
      <c r="Y26" s="3701"/>
      <c r="Z26" s="1571"/>
      <c r="AA26" s="1597">
        <v>1</v>
      </c>
      <c r="AB26" s="1597">
        <v>1</v>
      </c>
      <c r="AC26" s="1597">
        <v>1</v>
      </c>
    </row>
    <row r="27" spans="1:29" s="1371" customFormat="1" ht="15">
      <c r="A27" s="1442"/>
      <c r="B27" s="1725" t="s">
        <v>1530</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1"/>
      <c r="Q27" s="1586" t="str">
        <f t="shared" si="8"/>
        <v>公共配套设施</v>
      </c>
      <c r="R27" s="1582" t="s">
        <v>1517</v>
      </c>
      <c r="S27" s="1583">
        <f>F27</f>
        <v>100</v>
      </c>
      <c r="T27" s="1582" t="s">
        <v>1517</v>
      </c>
      <c r="U27" s="1583">
        <f>H27</f>
        <v>100</v>
      </c>
      <c r="V27" s="1582" t="s">
        <v>1517</v>
      </c>
      <c r="W27" s="1583">
        <f>J27</f>
        <v>100</v>
      </c>
      <c r="X27" s="1584"/>
      <c r="Y27" s="3701"/>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1"/>
      <c r="Q28" s="1586"/>
      <c r="R28" s="1582"/>
      <c r="S28" s="1583"/>
      <c r="T28" s="1582"/>
      <c r="U28" s="1583"/>
      <c r="V28" s="1582"/>
      <c r="W28" s="1583"/>
      <c r="X28" s="1584"/>
      <c r="Y28" s="3701"/>
      <c r="Z28" s="1596"/>
      <c r="AA28" s="1597">
        <v>1</v>
      </c>
      <c r="AB28" s="1597">
        <v>1</v>
      </c>
      <c r="AC28" s="1597">
        <v>1</v>
      </c>
    </row>
    <row r="29" spans="1:29" s="1371" customFormat="1" ht="15">
      <c r="A29" s="1442"/>
      <c r="B29" s="1725" t="s">
        <v>1531</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1"/>
      <c r="Q29" s="1586" t="str">
        <f t="shared" ref="Q29" si="9">B29</f>
        <v>基础设施水平</v>
      </c>
      <c r="R29" s="1582" t="s">
        <v>1517</v>
      </c>
      <c r="S29" s="1583">
        <f>F29</f>
        <v>100</v>
      </c>
      <c r="T29" s="1582" t="s">
        <v>1517</v>
      </c>
      <c r="U29" s="1583">
        <f>H29</f>
        <v>100</v>
      </c>
      <c r="V29" s="1582" t="s">
        <v>1517</v>
      </c>
      <c r="W29" s="1583">
        <f>J29</f>
        <v>100</v>
      </c>
      <c r="X29" s="1584"/>
      <c r="Y29" s="3701"/>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1"/>
      <c r="Q30" s="1586"/>
      <c r="R30" s="1582"/>
      <c r="S30" s="1583"/>
      <c r="T30" s="1582"/>
      <c r="U30" s="1583"/>
      <c r="V30" s="1582"/>
      <c r="W30" s="1583"/>
      <c r="X30" s="1584"/>
      <c r="Y30" s="3701"/>
      <c r="Z30" s="1596"/>
      <c r="AA30" s="1597">
        <v>1</v>
      </c>
      <c r="AB30" s="1597">
        <v>1</v>
      </c>
      <c r="AC30" s="1597">
        <v>1</v>
      </c>
    </row>
    <row r="31" spans="1:29" ht="15">
      <c r="A31" s="1412"/>
      <c r="B31" s="1460" t="s">
        <v>1591</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1"/>
      <c r="Q31" s="974" t="str">
        <f t="shared" si="8"/>
        <v>临街状况</v>
      </c>
      <c r="R31" s="1587" t="s">
        <v>1517</v>
      </c>
      <c r="S31" s="1588">
        <f t="shared" ref="S31:S45" si="10">F31</f>
        <v>100</v>
      </c>
      <c r="T31" s="1587" t="s">
        <v>1517</v>
      </c>
      <c r="U31" s="1588">
        <f t="shared" ref="U31:U45" si="11">H31</f>
        <v>100</v>
      </c>
      <c r="V31" s="1587" t="s">
        <v>1517</v>
      </c>
      <c r="W31" s="1588">
        <f t="shared" ref="W31:W45" si="12">J31</f>
        <v>100</v>
      </c>
      <c r="X31" s="1581"/>
      <c r="Y31" s="3701"/>
      <c r="Z31" s="1571" t="str">
        <f t="shared" ref="Z31:Z45" si="13">Q31</f>
        <v>临街状况</v>
      </c>
      <c r="AA31" s="1597">
        <f t="shared" si="3"/>
        <v>1</v>
      </c>
      <c r="AB31" s="1597">
        <f t="shared" si="4"/>
        <v>1</v>
      </c>
      <c r="AC31" s="1597">
        <f t="shared" si="5"/>
        <v>1</v>
      </c>
    </row>
    <row r="32" spans="1:29" ht="27">
      <c r="A32" s="1412"/>
      <c r="B32" s="1725" t="s">
        <v>1611</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1"/>
      <c r="Q32" s="974" t="str">
        <f t="shared" si="8"/>
        <v>毗邻道路的类型与等级</v>
      </c>
      <c r="R32" s="1587" t="s">
        <v>1517</v>
      </c>
      <c r="S32" s="1588">
        <f t="shared" si="10"/>
        <v>100</v>
      </c>
      <c r="T32" s="1587" t="s">
        <v>1517</v>
      </c>
      <c r="U32" s="1588">
        <f t="shared" si="11"/>
        <v>100</v>
      </c>
      <c r="V32" s="1587" t="s">
        <v>1517</v>
      </c>
      <c r="W32" s="1588">
        <f t="shared" si="12"/>
        <v>100</v>
      </c>
      <c r="X32" s="1581"/>
      <c r="Y32" s="3701"/>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1"/>
      <c r="Q33" s="974"/>
      <c r="R33" s="1587"/>
      <c r="S33" s="1588"/>
      <c r="T33" s="1587"/>
      <c r="U33" s="1588"/>
      <c r="V33" s="1587"/>
      <c r="W33" s="1588"/>
      <c r="X33" s="1581"/>
      <c r="Y33" s="3701"/>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1"/>
      <c r="Q34" s="974" t="str">
        <f t="shared" si="8"/>
        <v>土地级别</v>
      </c>
      <c r="R34" s="1587" t="s">
        <v>1517</v>
      </c>
      <c r="S34" s="1588">
        <f t="shared" si="10"/>
        <v>100</v>
      </c>
      <c r="T34" s="1587" t="s">
        <v>1517</v>
      </c>
      <c r="U34" s="1588">
        <f t="shared" si="11"/>
        <v>100</v>
      </c>
      <c r="V34" s="1587" t="s">
        <v>1517</v>
      </c>
      <c r="W34" s="1588">
        <f t="shared" si="12"/>
        <v>100</v>
      </c>
      <c r="X34" s="1581"/>
      <c r="Y34" s="3701"/>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1"/>
      <c r="Q35" s="974">
        <f t="shared" si="8"/>
        <v>111</v>
      </c>
      <c r="R35" s="1587" t="s">
        <v>1517</v>
      </c>
      <c r="S35" s="1588">
        <f t="shared" si="10"/>
        <v>100</v>
      </c>
      <c r="T35" s="1587" t="s">
        <v>1517</v>
      </c>
      <c r="U35" s="1588">
        <f t="shared" si="11"/>
        <v>100</v>
      </c>
      <c r="V35" s="1587" t="s">
        <v>1517</v>
      </c>
      <c r="W35" s="1588">
        <f t="shared" si="12"/>
        <v>100</v>
      </c>
      <c r="X35" s="1581"/>
      <c r="Y35" s="3701"/>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39" t="s">
        <v>1537</v>
      </c>
      <c r="Q36" s="974">
        <f t="shared" si="8"/>
        <v>111</v>
      </c>
      <c r="R36" s="1587" t="s">
        <v>1517</v>
      </c>
      <c r="S36" s="1588">
        <f t="shared" si="10"/>
        <v>100</v>
      </c>
      <c r="T36" s="1587" t="s">
        <v>1517</v>
      </c>
      <c r="U36" s="1588">
        <f t="shared" si="11"/>
        <v>100</v>
      </c>
      <c r="V36" s="1587" t="s">
        <v>1517</v>
      </c>
      <c r="W36" s="1588">
        <f t="shared" si="12"/>
        <v>100</v>
      </c>
      <c r="X36" s="1581"/>
      <c r="Y36" s="3702" t="s">
        <v>1537</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2"/>
      <c r="Q37" s="974">
        <f t="shared" si="8"/>
        <v>111</v>
      </c>
      <c r="R37" s="1589" t="s">
        <v>1517</v>
      </c>
      <c r="S37" s="1590">
        <f t="shared" si="10"/>
        <v>100</v>
      </c>
      <c r="T37" s="1589" t="s">
        <v>1517</v>
      </c>
      <c r="U37" s="1590">
        <f t="shared" si="11"/>
        <v>100</v>
      </c>
      <c r="V37" s="1589" t="s">
        <v>1517</v>
      </c>
      <c r="W37" s="1590">
        <f t="shared" si="12"/>
        <v>100</v>
      </c>
      <c r="X37" s="1591"/>
      <c r="Y37" s="3702"/>
      <c r="Z37" s="1598">
        <f t="shared" si="13"/>
        <v>111</v>
      </c>
      <c r="AA37" s="1597">
        <f t="shared" si="3"/>
        <v>1</v>
      </c>
      <c r="AB37" s="1597">
        <f t="shared" si="4"/>
        <v>1</v>
      </c>
      <c r="AC37" s="1597">
        <f t="shared" si="5"/>
        <v>1</v>
      </c>
    </row>
    <row r="38" spans="1:29" ht="15">
      <c r="A38" s="1463" t="s">
        <v>1535</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2"/>
      <c r="Q38" s="974" t="str">
        <f t="shared" si="8"/>
        <v>宗地面积</v>
      </c>
      <c r="R38" s="1587" t="s">
        <v>1517</v>
      </c>
      <c r="S38" s="1588" t="e">
        <f t="shared" si="10"/>
        <v>#N/A</v>
      </c>
      <c r="T38" s="1587" t="s">
        <v>1517</v>
      </c>
      <c r="U38" s="1588" t="e">
        <f t="shared" si="11"/>
        <v>#N/A</v>
      </c>
      <c r="V38" s="1587" t="s">
        <v>1517</v>
      </c>
      <c r="W38" s="1588" t="e">
        <f t="shared" si="12"/>
        <v>#N/A</v>
      </c>
      <c r="X38" s="1581"/>
      <c r="Y38" s="3702"/>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2"/>
      <c r="Q39" s="974" t="str">
        <f t="shared" ref="Q39:Q45" si="14">B39</f>
        <v>宗地形状</v>
      </c>
      <c r="R39" s="1587" t="s">
        <v>1517</v>
      </c>
      <c r="S39" s="1588">
        <f t="shared" si="10"/>
        <v>100</v>
      </c>
      <c r="T39" s="1587" t="s">
        <v>1517</v>
      </c>
      <c r="U39" s="1588">
        <f t="shared" si="11"/>
        <v>100</v>
      </c>
      <c r="V39" s="1587" t="s">
        <v>1517</v>
      </c>
      <c r="W39" s="1588">
        <f t="shared" si="12"/>
        <v>100</v>
      </c>
      <c r="X39" s="1581"/>
      <c r="Y39" s="3702"/>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2"/>
      <c r="Q40" s="974" t="str">
        <f t="shared" si="14"/>
        <v>临街宽度及深度</v>
      </c>
      <c r="R40" s="1587" t="s">
        <v>1517</v>
      </c>
      <c r="S40" s="1588">
        <f t="shared" si="10"/>
        <v>100</v>
      </c>
      <c r="T40" s="1587" t="s">
        <v>1517</v>
      </c>
      <c r="U40" s="1588">
        <f t="shared" si="11"/>
        <v>100</v>
      </c>
      <c r="V40" s="1587" t="s">
        <v>1517</v>
      </c>
      <c r="W40" s="1588">
        <f t="shared" si="12"/>
        <v>100</v>
      </c>
      <c r="X40" s="1581"/>
      <c r="Y40" s="3702"/>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2"/>
      <c r="Q41" s="974" t="str">
        <f t="shared" si="14"/>
        <v>宗地开发程度</v>
      </c>
      <c r="R41" s="1582" t="s">
        <v>1517</v>
      </c>
      <c r="S41" s="1583">
        <f t="shared" si="10"/>
        <v>100</v>
      </c>
      <c r="T41" s="1582" t="s">
        <v>1517</v>
      </c>
      <c r="U41" s="1583">
        <f t="shared" si="11"/>
        <v>100</v>
      </c>
      <c r="V41" s="1582" t="s">
        <v>1517</v>
      </c>
      <c r="W41" s="1583">
        <f t="shared" si="12"/>
        <v>100</v>
      </c>
      <c r="X41" s="1584"/>
      <c r="Y41" s="3702"/>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2" t="s">
        <v>1537</v>
      </c>
      <c r="Q42" s="974" t="str">
        <f t="shared" si="14"/>
        <v>工程地质条件</v>
      </c>
      <c r="R42" s="1587" t="s">
        <v>1517</v>
      </c>
      <c r="S42" s="1588">
        <f t="shared" si="10"/>
        <v>100</v>
      </c>
      <c r="T42" s="1587" t="s">
        <v>1517</v>
      </c>
      <c r="U42" s="1588">
        <f t="shared" si="11"/>
        <v>100</v>
      </c>
      <c r="V42" s="1587" t="s">
        <v>1517</v>
      </c>
      <c r="W42" s="1588">
        <f t="shared" si="12"/>
        <v>100</v>
      </c>
      <c r="X42" s="1581"/>
      <c r="Y42" s="3702" t="s">
        <v>1537</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2"/>
      <c r="Q43" s="974">
        <f t="shared" si="14"/>
        <v>111</v>
      </c>
      <c r="R43" s="1587" t="s">
        <v>1517</v>
      </c>
      <c r="S43" s="1588">
        <f t="shared" si="10"/>
        <v>100</v>
      </c>
      <c r="T43" s="1587" t="s">
        <v>1517</v>
      </c>
      <c r="U43" s="1588">
        <f t="shared" si="11"/>
        <v>100</v>
      </c>
      <c r="V43" s="1587" t="s">
        <v>1517</v>
      </c>
      <c r="W43" s="1588">
        <f t="shared" si="12"/>
        <v>100</v>
      </c>
      <c r="X43" s="1581"/>
      <c r="Y43" s="3702"/>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2"/>
      <c r="Q44" s="974">
        <f t="shared" si="14"/>
        <v>111</v>
      </c>
      <c r="R44" s="1587" t="s">
        <v>1517</v>
      </c>
      <c r="S44" s="1588">
        <f t="shared" si="10"/>
        <v>100</v>
      </c>
      <c r="T44" s="1587" t="s">
        <v>1517</v>
      </c>
      <c r="U44" s="1588">
        <f t="shared" si="11"/>
        <v>100</v>
      </c>
      <c r="V44" s="1587" t="s">
        <v>1517</v>
      </c>
      <c r="W44" s="1588">
        <f t="shared" si="12"/>
        <v>100</v>
      </c>
      <c r="X44" s="1581"/>
      <c r="Y44" s="3702"/>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2"/>
      <c r="Q45" s="974">
        <f t="shared" si="14"/>
        <v>111</v>
      </c>
      <c r="R45" s="1589" t="s">
        <v>1517</v>
      </c>
      <c r="S45" s="1590">
        <f t="shared" si="10"/>
        <v>100</v>
      </c>
      <c r="T45" s="1589" t="s">
        <v>1517</v>
      </c>
      <c r="U45" s="1590">
        <f t="shared" si="11"/>
        <v>100</v>
      </c>
      <c r="V45" s="1589" t="s">
        <v>1517</v>
      </c>
      <c r="W45" s="1590">
        <f t="shared" si="12"/>
        <v>100</v>
      </c>
      <c r="X45" s="1591"/>
      <c r="Y45" s="3702"/>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2" t="str">
        <f>A46</f>
        <v>成交单价</v>
      </c>
      <c r="Q46" s="3692"/>
      <c r="R46" s="3722">
        <f>E46</f>
        <v>0</v>
      </c>
      <c r="S46" s="3722"/>
      <c r="T46" s="3722">
        <f>G46</f>
        <v>0</v>
      </c>
      <c r="U46" s="3722"/>
      <c r="V46" s="3722">
        <f>I46</f>
        <v>0</v>
      </c>
      <c r="W46" s="3722"/>
      <c r="X46" s="1527"/>
      <c r="Y46" s="1599"/>
      <c r="Z46" s="1527"/>
      <c r="AA46" s="1527"/>
      <c r="AB46" s="1527"/>
      <c r="AC46" s="1527"/>
    </row>
    <row r="47" spans="1:29" ht="15">
      <c r="A47" s="1478" t="s">
        <v>1549</v>
      </c>
      <c r="B47" s="1479"/>
      <c r="C47" s="1480" t="e">
        <f>R48</f>
        <v>#DIV/0!</v>
      </c>
      <c r="D47" s="1481" t="s">
        <v>1550</v>
      </c>
      <c r="E47" s="1480" t="e">
        <f>R47</f>
        <v>#DIV/0!</v>
      </c>
      <c r="F47" s="1482"/>
      <c r="G47" s="1483" t="e">
        <f>T47</f>
        <v>#DIV/0!</v>
      </c>
      <c r="H47" s="1482"/>
      <c r="I47" s="1480" t="e">
        <f>V47</f>
        <v>#DIV/0!</v>
      </c>
      <c r="J47" s="1482"/>
      <c r="K47" s="1564">
        <f>F47+H47+J47</f>
        <v>0</v>
      </c>
      <c r="L47" s="1563"/>
      <c r="M47" s="1487"/>
      <c r="N47" s="1487"/>
      <c r="O47" s="1487"/>
      <c r="P47" s="3692" t="str">
        <f>A47</f>
        <v>比较价值（元/平方米）</v>
      </c>
      <c r="Q47" s="3692"/>
      <c r="R47" s="3742" t="e">
        <f>ROUND(PRODUCT(R46,AA7:AA45),0)</f>
        <v>#DIV/0!</v>
      </c>
      <c r="S47" s="3742"/>
      <c r="T47" s="3742" t="e">
        <f>ROUND(PRODUCT(T46,AB7:AB45),0)</f>
        <v>#DIV/0!</v>
      </c>
      <c r="U47" s="3742"/>
      <c r="V47" s="3742" t="e">
        <f>ROUND(PRODUCT(V46,AC7:AC45),0)</f>
        <v>#DIV/0!</v>
      </c>
      <c r="W47" s="3742"/>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704" t="str">
        <f>A48</f>
        <v>估价对象XX用房的比较价值（楼面单价，元/平方米）</v>
      </c>
      <c r="Q48" s="3705"/>
      <c r="R48" s="3743" t="e">
        <f>ROUND(IF(D47="简单平均",AVERAGE(R47:W47),R47*F47+T47*H47+V47*J47),0)</f>
        <v>#DIV/0!</v>
      </c>
      <c r="S48" s="3743"/>
      <c r="T48" s="3743"/>
      <c r="U48" s="3743"/>
      <c r="V48" s="3743"/>
      <c r="W48" s="3743"/>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1552</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1553</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1554</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677" t="s">
        <v>1665</v>
      </c>
      <c r="H55" s="3741"/>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879.38</v>
      </c>
      <c r="F56" s="1730" t="e">
        <f t="shared" ref="F56:F64" si="15">ROUND(B56*E56/10000,0)</f>
        <v>#DIV/0!</v>
      </c>
      <c r="G56" s="3694"/>
      <c r="H56" s="3692"/>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879.38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1555</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1556</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1518</v>
      </c>
      <c r="B72" s="1611"/>
      <c r="C72" s="1612" t="s">
        <v>1557</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1558</v>
      </c>
      <c r="B74" s="1617" t="s">
        <v>1521</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1524</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1525</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1526</v>
      </c>
      <c r="B87" s="1617" t="s">
        <v>1527</v>
      </c>
      <c r="C87" s="1638" t="s">
        <v>1559</v>
      </c>
      <c r="D87" s="1638" t="s">
        <v>1560</v>
      </c>
      <c r="E87" s="1638" t="s">
        <v>1561</v>
      </c>
      <c r="F87" s="1638" t="s">
        <v>1562</v>
      </c>
      <c r="G87" s="1638" t="s">
        <v>1563</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1590</v>
      </c>
      <c r="C89" s="1640" t="s">
        <v>1559</v>
      </c>
      <c r="D89" s="1640" t="s">
        <v>1560</v>
      </c>
      <c r="E89" s="1640" t="s">
        <v>1561</v>
      </c>
      <c r="F89" s="1640" t="s">
        <v>1562</v>
      </c>
      <c r="G89" s="1640" t="s">
        <v>1563</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1607</v>
      </c>
      <c r="C91" s="1640" t="s">
        <v>1559</v>
      </c>
      <c r="D91" s="1640" t="s">
        <v>1560</v>
      </c>
      <c r="E91" s="1640" t="s">
        <v>1561</v>
      </c>
      <c r="F91" s="1640" t="s">
        <v>1562</v>
      </c>
      <c r="G91" s="1640" t="s">
        <v>1563</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1529</v>
      </c>
      <c r="C93" s="1640" t="s">
        <v>1559</v>
      </c>
      <c r="D93" s="1640" t="s">
        <v>1560</v>
      </c>
      <c r="E93" s="1640" t="s">
        <v>1561</v>
      </c>
      <c r="F93" s="1640" t="s">
        <v>1562</v>
      </c>
      <c r="G93" s="1640" t="s">
        <v>1563</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1559</v>
      </c>
      <c r="D95" s="1640" t="s">
        <v>1560</v>
      </c>
      <c r="E95" s="1640" t="s">
        <v>1561</v>
      </c>
      <c r="F95" s="1640" t="s">
        <v>1562</v>
      </c>
      <c r="G95" s="1640" t="s">
        <v>1563</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1559</v>
      </c>
      <c r="D97" s="1638" t="s">
        <v>1560</v>
      </c>
      <c r="E97" s="1638" t="s">
        <v>1561</v>
      </c>
      <c r="F97" s="1638" t="s">
        <v>1562</v>
      </c>
      <c r="G97" s="1638" t="s">
        <v>1563</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1530</v>
      </c>
      <c r="C99" s="1638" t="s">
        <v>1559</v>
      </c>
      <c r="D99" s="1638" t="s">
        <v>1560</v>
      </c>
      <c r="E99" s="1638" t="s">
        <v>1561</v>
      </c>
      <c r="F99" s="1638" t="s">
        <v>1562</v>
      </c>
      <c r="G99" s="1638" t="s">
        <v>1563</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1531</v>
      </c>
      <c r="C101" s="1645" t="s">
        <v>1564</v>
      </c>
      <c r="D101" s="1645" t="s">
        <v>1565</v>
      </c>
      <c r="E101" s="1645" t="s">
        <v>1566</v>
      </c>
      <c r="F101" s="1645" t="s">
        <v>1567</v>
      </c>
      <c r="G101" s="1645" t="s">
        <v>1568</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1611</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1535</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1033</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77" t="s">
        <v>1503</v>
      </c>
      <c r="D4" s="3678"/>
      <c r="E4" s="3679" t="s">
        <v>1504</v>
      </c>
      <c r="F4" s="3680"/>
      <c r="G4" s="3677" t="s">
        <v>1505</v>
      </c>
      <c r="H4" s="3678"/>
      <c r="I4" s="3677" t="s">
        <v>1506</v>
      </c>
      <c r="J4" s="3678"/>
      <c r="K4" s="1537" t="s">
        <v>1507</v>
      </c>
      <c r="L4" s="1538"/>
      <c r="M4" s="1539"/>
      <c r="N4" s="1539"/>
      <c r="O4" s="1539"/>
      <c r="P4" s="3710" t="s">
        <v>1508</v>
      </c>
      <c r="Q4" s="3711"/>
      <c r="R4" s="3716" t="s">
        <v>1504</v>
      </c>
      <c r="S4" s="3717"/>
      <c r="T4" s="3716" t="s">
        <v>1505</v>
      </c>
      <c r="U4" s="3717"/>
      <c r="V4" s="3722" t="s">
        <v>1506</v>
      </c>
      <c r="W4" s="3722"/>
      <c r="X4" s="1581"/>
      <c r="Y4" s="3716" t="s">
        <v>1508</v>
      </c>
      <c r="Z4" s="3717"/>
      <c r="AA4" s="3707" t="s">
        <v>1504</v>
      </c>
      <c r="AB4" s="3708" t="s">
        <v>1505</v>
      </c>
      <c r="AC4" s="3707" t="s">
        <v>1506</v>
      </c>
    </row>
    <row r="5" spans="1:29" ht="15">
      <c r="A5" s="1392"/>
      <c r="B5" s="1393"/>
      <c r="C5" s="3681" t="s">
        <v>1509</v>
      </c>
      <c r="D5" s="3682"/>
      <c r="E5" s="3683" t="s">
        <v>1510</v>
      </c>
      <c r="F5" s="3684"/>
      <c r="G5" s="3681" t="s">
        <v>1511</v>
      </c>
      <c r="H5" s="3682"/>
      <c r="I5" s="3681" t="s">
        <v>1512</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744" t="s">
        <v>1689</v>
      </c>
      <c r="D6" s="3745"/>
      <c r="E6" s="3746" t="s">
        <v>1689</v>
      </c>
      <c r="F6" s="3747"/>
      <c r="G6" s="3744" t="s">
        <v>1689</v>
      </c>
      <c r="H6" s="3745"/>
      <c r="I6" s="3744" t="s">
        <v>1689</v>
      </c>
      <c r="J6" s="3745"/>
      <c r="K6" s="1537" t="s">
        <v>1514</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1515</v>
      </c>
      <c r="B7" s="1397"/>
      <c r="C7" s="1398">
        <f>'数据-取费表'!B2</f>
        <v>45874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89" t="s">
        <v>1516</v>
      </c>
      <c r="Q7" s="3690"/>
      <c r="R7" s="1582" t="s">
        <v>1517</v>
      </c>
      <c r="S7" s="1583">
        <f t="shared" ref="S7:S15" si="0">F7</f>
        <v>0</v>
      </c>
      <c r="T7" s="1582" t="s">
        <v>1517</v>
      </c>
      <c r="U7" s="1583">
        <f t="shared" ref="U7:U15" si="1">H7</f>
        <v>0</v>
      </c>
      <c r="V7" s="1582" t="s">
        <v>1517</v>
      </c>
      <c r="W7" s="1583">
        <f t="shared" ref="W7:W15" si="2">J7</f>
        <v>0</v>
      </c>
      <c r="X7" s="1584"/>
      <c r="Y7" s="3689" t="s">
        <v>1516</v>
      </c>
      <c r="Z7" s="3691"/>
      <c r="AA7" s="1595" t="e">
        <f>D7/F7</f>
        <v>#DIV/0!</v>
      </c>
      <c r="AB7" s="1595" t="e">
        <f>D7/H7</f>
        <v>#DIV/0!</v>
      </c>
      <c r="AC7" s="1595" t="e">
        <f>D7/J7</f>
        <v>#DIV/0!</v>
      </c>
    </row>
    <row r="8" spans="1:29" s="1371" customFormat="1" ht="15">
      <c r="A8" s="1396" t="s">
        <v>1518</v>
      </c>
      <c r="B8" s="1397"/>
      <c r="C8" s="1403" t="s">
        <v>1557</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89" t="s">
        <v>1519</v>
      </c>
      <c r="Q8" s="3691"/>
      <c r="R8" s="1582" t="s">
        <v>1517</v>
      </c>
      <c r="S8" s="1583">
        <f t="shared" si="0"/>
        <v>0</v>
      </c>
      <c r="T8" s="1582" t="s">
        <v>1517</v>
      </c>
      <c r="U8" s="1583">
        <f t="shared" si="1"/>
        <v>0</v>
      </c>
      <c r="V8" s="1582" t="s">
        <v>1517</v>
      </c>
      <c r="W8" s="1583">
        <f t="shared" si="2"/>
        <v>0</v>
      </c>
      <c r="X8" s="1584"/>
      <c r="Y8" s="3689" t="s">
        <v>1519</v>
      </c>
      <c r="Z8" s="3691"/>
      <c r="AA8" s="1595" t="e">
        <f t="shared" ref="AA8:AA40" si="3">D8/F8</f>
        <v>#DIV/0!</v>
      </c>
      <c r="AB8" s="1595" t="e">
        <f t="shared" ref="AB8:AB40" si="4">D8/H8</f>
        <v>#DIV/0!</v>
      </c>
      <c r="AC8" s="1595" t="e">
        <f t="shared" ref="AC8:AC40" si="5">D8/J8</f>
        <v>#DIV/0!</v>
      </c>
    </row>
    <row r="9" spans="1:29" s="1371" customFormat="1">
      <c r="A9" s="1404" t="s">
        <v>1520</v>
      </c>
      <c r="B9" s="1405" t="s">
        <v>1521</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2" t="s">
        <v>1522</v>
      </c>
      <c r="Q9" s="1586" t="str">
        <f t="shared" ref="Q9:Q15" si="6">B9</f>
        <v>用途</v>
      </c>
      <c r="R9" s="1582" t="s">
        <v>1517</v>
      </c>
      <c r="S9" s="1583">
        <f t="shared" si="0"/>
        <v>100</v>
      </c>
      <c r="T9" s="1582" t="s">
        <v>1517</v>
      </c>
      <c r="U9" s="1583">
        <f t="shared" si="1"/>
        <v>100</v>
      </c>
      <c r="V9" s="1582" t="s">
        <v>1517</v>
      </c>
      <c r="W9" s="1583">
        <f t="shared" si="2"/>
        <v>100</v>
      </c>
      <c r="X9" s="1584"/>
      <c r="Y9" s="3647" t="s">
        <v>1523</v>
      </c>
      <c r="Z9" s="1596" t="str">
        <f t="shared" ref="Z9:Z15" si="7">Q9</f>
        <v>用途</v>
      </c>
      <c r="AA9" s="1595">
        <f t="shared" si="3"/>
        <v>1</v>
      </c>
      <c r="AB9" s="1595">
        <f t="shared" si="4"/>
        <v>1</v>
      </c>
      <c r="AC9" s="1595">
        <f t="shared" si="5"/>
        <v>1</v>
      </c>
    </row>
    <row r="10" spans="1:29" s="1372" customFormat="1" ht="27">
      <c r="A10" s="1408"/>
      <c r="B10" s="1409" t="s">
        <v>1524</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2"/>
      <c r="Q10" s="1586" t="str">
        <f t="shared" si="6"/>
        <v>土地使用年限（年）</v>
      </c>
      <c r="R10" s="1582" t="s">
        <v>1517</v>
      </c>
      <c r="S10" s="1583">
        <f t="shared" si="0"/>
        <v>112</v>
      </c>
      <c r="T10" s="1582" t="s">
        <v>1517</v>
      </c>
      <c r="U10" s="1583">
        <f t="shared" si="1"/>
        <v>112</v>
      </c>
      <c r="V10" s="1582" t="s">
        <v>1517</v>
      </c>
      <c r="W10" s="1583">
        <f t="shared" si="2"/>
        <v>112</v>
      </c>
      <c r="X10" s="1584"/>
      <c r="Y10" s="3647"/>
      <c r="Z10" s="1596" t="str">
        <f t="shared" si="7"/>
        <v>土地使用年限（年）</v>
      </c>
      <c r="AA10" s="1595">
        <f t="shared" si="3"/>
        <v>0.89285714285714302</v>
      </c>
      <c r="AB10" s="1595">
        <f t="shared" si="4"/>
        <v>0.89285714285714302</v>
      </c>
      <c r="AC10" s="1595">
        <f t="shared" si="5"/>
        <v>0.89285714285714302</v>
      </c>
    </row>
    <row r="11" spans="1:29" ht="15">
      <c r="A11" s="1412"/>
      <c r="B11" s="1409" t="s">
        <v>1525</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2"/>
      <c r="Q11" s="1586" t="str">
        <f t="shared" si="6"/>
        <v>容积率</v>
      </c>
      <c r="R11" s="1582" t="s">
        <v>1517</v>
      </c>
      <c r="S11" s="1583" t="e">
        <f t="shared" si="0"/>
        <v>#N/A</v>
      </c>
      <c r="T11" s="1582" t="s">
        <v>1517</v>
      </c>
      <c r="U11" s="1583" t="e">
        <f t="shared" si="1"/>
        <v>#N/A</v>
      </c>
      <c r="V11" s="1582" t="s">
        <v>1517</v>
      </c>
      <c r="W11" s="1583" t="e">
        <f t="shared" si="2"/>
        <v>#N/A</v>
      </c>
      <c r="X11" s="1584"/>
      <c r="Y11" s="3647"/>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2"/>
      <c r="Q12" s="1586">
        <f t="shared" si="6"/>
        <v>111</v>
      </c>
      <c r="R12" s="1582" t="s">
        <v>1517</v>
      </c>
      <c r="S12" s="1583">
        <f t="shared" si="0"/>
        <v>100</v>
      </c>
      <c r="T12" s="1582" t="s">
        <v>1517</v>
      </c>
      <c r="U12" s="1583">
        <f t="shared" si="1"/>
        <v>100</v>
      </c>
      <c r="V12" s="1582" t="s">
        <v>1517</v>
      </c>
      <c r="W12" s="1583">
        <f t="shared" si="2"/>
        <v>100</v>
      </c>
      <c r="X12" s="1584"/>
      <c r="Y12" s="3647"/>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2"/>
      <c r="Q13" s="1586">
        <f t="shared" si="6"/>
        <v>111</v>
      </c>
      <c r="R13" s="1582" t="s">
        <v>1517</v>
      </c>
      <c r="S13" s="1583">
        <f t="shared" si="0"/>
        <v>100</v>
      </c>
      <c r="T13" s="1582" t="s">
        <v>1517</v>
      </c>
      <c r="U13" s="1583">
        <f t="shared" si="1"/>
        <v>100</v>
      </c>
      <c r="V13" s="1582" t="s">
        <v>1517</v>
      </c>
      <c r="W13" s="1583">
        <f t="shared" si="2"/>
        <v>100</v>
      </c>
      <c r="X13" s="1584"/>
      <c r="Y13" s="3647"/>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2"/>
      <c r="Q14" s="1586">
        <f t="shared" si="6"/>
        <v>111</v>
      </c>
      <c r="R14" s="1582" t="s">
        <v>1517</v>
      </c>
      <c r="S14" s="1583">
        <f t="shared" si="0"/>
        <v>100</v>
      </c>
      <c r="T14" s="1582" t="s">
        <v>1517</v>
      </c>
      <c r="U14" s="1583">
        <f t="shared" si="1"/>
        <v>100</v>
      </c>
      <c r="V14" s="1582" t="s">
        <v>1517</v>
      </c>
      <c r="W14" s="1583">
        <f t="shared" si="2"/>
        <v>100</v>
      </c>
      <c r="X14" s="1584"/>
      <c r="Y14" s="3647"/>
      <c r="Z14" s="1596">
        <f t="shared" si="7"/>
        <v>111</v>
      </c>
      <c r="AA14" s="1595">
        <f t="shared" si="3"/>
        <v>1</v>
      </c>
      <c r="AB14" s="1595">
        <f t="shared" si="4"/>
        <v>1</v>
      </c>
      <c r="AC14" s="1595">
        <f t="shared" si="5"/>
        <v>1</v>
      </c>
    </row>
    <row r="15" spans="1:29" ht="57">
      <c r="A15" s="1426" t="s">
        <v>1526</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0" t="s">
        <v>1528</v>
      </c>
      <c r="Q15" s="974" t="str">
        <f t="shared" si="6"/>
        <v>产业集聚程度</v>
      </c>
      <c r="R15" s="1587" t="s">
        <v>1517</v>
      </c>
      <c r="S15" s="1588">
        <f t="shared" si="0"/>
        <v>100</v>
      </c>
      <c r="T15" s="1587" t="s">
        <v>1517</v>
      </c>
      <c r="U15" s="1588">
        <f t="shared" si="1"/>
        <v>100</v>
      </c>
      <c r="V15" s="1587" t="s">
        <v>1517</v>
      </c>
      <c r="W15" s="1588">
        <f t="shared" si="2"/>
        <v>100</v>
      </c>
      <c r="X15" s="1581"/>
      <c r="Y15" s="3700" t="s">
        <v>1528</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1"/>
      <c r="Q16" s="974"/>
      <c r="R16" s="1587"/>
      <c r="S16" s="1588"/>
      <c r="T16" s="1587"/>
      <c r="U16" s="1588"/>
      <c r="V16" s="1587"/>
      <c r="W16" s="1588"/>
      <c r="X16" s="1581"/>
      <c r="Y16" s="3701"/>
      <c r="Z16" s="1571"/>
      <c r="AA16" s="1597">
        <v>1</v>
      </c>
      <c r="AB16" s="1597">
        <v>1</v>
      </c>
      <c r="AC16" s="1597">
        <v>1</v>
      </c>
    </row>
    <row r="17" spans="1:29" ht="85.5">
      <c r="A17" s="1412"/>
      <c r="B17" s="1436" t="s">
        <v>1529</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1"/>
      <c r="Q17" s="974" t="str">
        <f>B17</f>
        <v>交通便捷度</v>
      </c>
      <c r="R17" s="1587" t="s">
        <v>1517</v>
      </c>
      <c r="S17" s="1588">
        <f>F17</f>
        <v>100</v>
      </c>
      <c r="T17" s="1587" t="s">
        <v>1517</v>
      </c>
      <c r="U17" s="1588">
        <f>H17</f>
        <v>100</v>
      </c>
      <c r="V17" s="1587" t="s">
        <v>1517</v>
      </c>
      <c r="W17" s="1588">
        <f>J17</f>
        <v>100</v>
      </c>
      <c r="X17" s="1581"/>
      <c r="Y17" s="3701"/>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1"/>
      <c r="Q18" s="974"/>
      <c r="R18" s="1587"/>
      <c r="S18" s="1588"/>
      <c r="T18" s="1587"/>
      <c r="U18" s="1588"/>
      <c r="V18" s="1587"/>
      <c r="W18" s="1588"/>
      <c r="X18" s="1581"/>
      <c r="Y18" s="3701"/>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1"/>
      <c r="Q19" s="974" t="str">
        <f t="shared" ref="Q19:Q34" si="8">B19</f>
        <v>区域土地利用方向</v>
      </c>
      <c r="R19" s="1587" t="s">
        <v>1517</v>
      </c>
      <c r="S19" s="1588">
        <f>F19</f>
        <v>100</v>
      </c>
      <c r="T19" s="1587" t="s">
        <v>1517</v>
      </c>
      <c r="U19" s="1588">
        <f>H19</f>
        <v>100</v>
      </c>
      <c r="V19" s="1587" t="s">
        <v>1517</v>
      </c>
      <c r="W19" s="1588">
        <f>J19</f>
        <v>100</v>
      </c>
      <c r="X19" s="1581"/>
      <c r="Y19" s="3701"/>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1"/>
      <c r="Q20" s="974"/>
      <c r="R20" s="1587"/>
      <c r="S20" s="1588"/>
      <c r="T20" s="1587"/>
      <c r="U20" s="1588"/>
      <c r="V20" s="1587"/>
      <c r="W20" s="1588"/>
      <c r="X20" s="1581"/>
      <c r="Y20" s="3701"/>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1"/>
      <c r="Q21" s="974" t="str">
        <f t="shared" si="8"/>
        <v>环境状况</v>
      </c>
      <c r="R21" s="1587" t="s">
        <v>1517</v>
      </c>
      <c r="S21" s="1588">
        <f>F21</f>
        <v>100</v>
      </c>
      <c r="T21" s="1587" t="s">
        <v>1517</v>
      </c>
      <c r="U21" s="1588">
        <f>H21</f>
        <v>100</v>
      </c>
      <c r="V21" s="1587" t="s">
        <v>1517</v>
      </c>
      <c r="W21" s="1588">
        <f>J21</f>
        <v>100</v>
      </c>
      <c r="X21" s="1581"/>
      <c r="Y21" s="3701"/>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1"/>
      <c r="Q22" s="974"/>
      <c r="R22" s="1587"/>
      <c r="S22" s="1588"/>
      <c r="T22" s="1587"/>
      <c r="U22" s="1588"/>
      <c r="V22" s="1587"/>
      <c r="W22" s="1588"/>
      <c r="X22" s="1581"/>
      <c r="Y22" s="3701"/>
      <c r="Z22" s="1571"/>
      <c r="AA22" s="1597">
        <v>1</v>
      </c>
      <c r="AB22" s="1597">
        <v>1</v>
      </c>
      <c r="AC22" s="1597">
        <v>1</v>
      </c>
    </row>
    <row r="23" spans="1:29" s="1371" customFormat="1" ht="42.75">
      <c r="A23" s="1442"/>
      <c r="B23" s="1443" t="s">
        <v>1530</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1"/>
      <c r="Q23" s="1586" t="str">
        <f t="shared" si="8"/>
        <v>公共配套设施</v>
      </c>
      <c r="R23" s="1582" t="s">
        <v>1517</v>
      </c>
      <c r="S23" s="1583">
        <f>F23</f>
        <v>100</v>
      </c>
      <c r="T23" s="1582" t="s">
        <v>1517</v>
      </c>
      <c r="U23" s="1583">
        <f>H23</f>
        <v>100</v>
      </c>
      <c r="V23" s="1582" t="s">
        <v>1517</v>
      </c>
      <c r="W23" s="1583">
        <f>J23</f>
        <v>100</v>
      </c>
      <c r="X23" s="1584"/>
      <c r="Y23" s="3701"/>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1"/>
      <c r="Q24" s="1586"/>
      <c r="R24" s="1582"/>
      <c r="S24" s="1583"/>
      <c r="T24" s="1582"/>
      <c r="U24" s="1583"/>
      <c r="V24" s="1582"/>
      <c r="W24" s="1583"/>
      <c r="X24" s="1584"/>
      <c r="Y24" s="3701"/>
      <c r="Z24" s="1596"/>
      <c r="AA24" s="1595">
        <v>1</v>
      </c>
      <c r="AB24" s="1595">
        <v>1</v>
      </c>
      <c r="AC24" s="1595">
        <v>1</v>
      </c>
    </row>
    <row r="25" spans="1:29" s="1371" customFormat="1" ht="28.5">
      <c r="A25" s="1442"/>
      <c r="B25" s="1443" t="s">
        <v>1531</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1"/>
      <c r="Q25" s="1586" t="str">
        <f t="shared" ref="Q25" si="9">B25</f>
        <v>基础设施水平</v>
      </c>
      <c r="R25" s="1582" t="s">
        <v>1517</v>
      </c>
      <c r="S25" s="1583">
        <f>F25</f>
        <v>100</v>
      </c>
      <c r="T25" s="1582" t="s">
        <v>1517</v>
      </c>
      <c r="U25" s="1583">
        <f>H25</f>
        <v>100</v>
      </c>
      <c r="V25" s="1582" t="s">
        <v>1517</v>
      </c>
      <c r="W25" s="1583">
        <f>J25</f>
        <v>100</v>
      </c>
      <c r="X25" s="1584"/>
      <c r="Y25" s="3701"/>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1"/>
      <c r="Q26" s="1586"/>
      <c r="R26" s="1582"/>
      <c r="S26" s="1583"/>
      <c r="T26" s="1582"/>
      <c r="U26" s="1583"/>
      <c r="V26" s="1582"/>
      <c r="W26" s="1583"/>
      <c r="X26" s="1584"/>
      <c r="Y26" s="3701"/>
      <c r="Z26" s="1596"/>
      <c r="AA26" s="1595">
        <v>1</v>
      </c>
      <c r="AB26" s="1595">
        <v>1</v>
      </c>
      <c r="AC26" s="1595">
        <v>1</v>
      </c>
    </row>
    <row r="27" spans="1:29" ht="15">
      <c r="A27" s="1412"/>
      <c r="B27" s="1440" t="s">
        <v>1591</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1"/>
      <c r="Q27" s="974" t="str">
        <f t="shared" si="8"/>
        <v>临街状况</v>
      </c>
      <c r="R27" s="1587" t="s">
        <v>1517</v>
      </c>
      <c r="S27" s="1588">
        <f t="shared" ref="S27:S40" si="10">F27</f>
        <v>100</v>
      </c>
      <c r="T27" s="1587" t="s">
        <v>1517</v>
      </c>
      <c r="U27" s="1588">
        <f t="shared" ref="U27:U40" si="11">H27</f>
        <v>100</v>
      </c>
      <c r="V27" s="1587" t="s">
        <v>1517</v>
      </c>
      <c r="W27" s="1588">
        <f t="shared" ref="W27:W40" si="12">J27</f>
        <v>100</v>
      </c>
      <c r="X27" s="1581"/>
      <c r="Y27" s="3701"/>
      <c r="Z27" s="1571" t="str">
        <f t="shared" ref="Z27:Z40" si="13">Q27</f>
        <v>临街状况</v>
      </c>
      <c r="AA27" s="1597">
        <f t="shared" si="3"/>
        <v>1</v>
      </c>
      <c r="AB27" s="1597">
        <f t="shared" si="4"/>
        <v>1</v>
      </c>
      <c r="AC27" s="1597">
        <f t="shared" si="5"/>
        <v>1</v>
      </c>
    </row>
    <row r="28" spans="1:29" ht="27">
      <c r="A28" s="1412"/>
      <c r="B28" s="1443" t="s">
        <v>1611</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1"/>
      <c r="Q28" s="974" t="str">
        <f t="shared" si="8"/>
        <v>毗邻道路的类型与等级</v>
      </c>
      <c r="R28" s="1587" t="s">
        <v>1517</v>
      </c>
      <c r="S28" s="1588">
        <f t="shared" si="10"/>
        <v>100</v>
      </c>
      <c r="T28" s="1587" t="s">
        <v>1517</v>
      </c>
      <c r="U28" s="1588">
        <f t="shared" si="11"/>
        <v>100</v>
      </c>
      <c r="V28" s="1587" t="s">
        <v>1517</v>
      </c>
      <c r="W28" s="1588">
        <f t="shared" si="12"/>
        <v>100</v>
      </c>
      <c r="X28" s="1581"/>
      <c r="Y28" s="3701"/>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1"/>
      <c r="Q29" s="974"/>
      <c r="R29" s="1587"/>
      <c r="S29" s="1588"/>
      <c r="T29" s="1587"/>
      <c r="U29" s="1588"/>
      <c r="V29" s="1587"/>
      <c r="W29" s="1588"/>
      <c r="X29" s="1581"/>
      <c r="Y29" s="3701"/>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1"/>
      <c r="Q30" s="974" t="str">
        <f t="shared" si="8"/>
        <v>土地级别</v>
      </c>
      <c r="R30" s="1587" t="s">
        <v>1517</v>
      </c>
      <c r="S30" s="1588">
        <f t="shared" si="10"/>
        <v>100</v>
      </c>
      <c r="T30" s="1587" t="s">
        <v>1517</v>
      </c>
      <c r="U30" s="1588">
        <f t="shared" si="11"/>
        <v>100</v>
      </c>
      <c r="V30" s="1587" t="s">
        <v>1517</v>
      </c>
      <c r="W30" s="1588">
        <f t="shared" si="12"/>
        <v>100</v>
      </c>
      <c r="X30" s="1581"/>
      <c r="Y30" s="3701"/>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1"/>
      <c r="Q31" s="974">
        <f t="shared" si="8"/>
        <v>111</v>
      </c>
      <c r="R31" s="1587" t="s">
        <v>1517</v>
      </c>
      <c r="S31" s="1588">
        <f t="shared" si="10"/>
        <v>100</v>
      </c>
      <c r="T31" s="1587" t="s">
        <v>1517</v>
      </c>
      <c r="U31" s="1588">
        <f t="shared" si="11"/>
        <v>100</v>
      </c>
      <c r="V31" s="1587" t="s">
        <v>1517</v>
      </c>
      <c r="W31" s="1588">
        <f t="shared" si="12"/>
        <v>100</v>
      </c>
      <c r="X31" s="1581"/>
      <c r="Y31" s="3701"/>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39" t="s">
        <v>1537</v>
      </c>
      <c r="Q32" s="974">
        <f t="shared" si="8"/>
        <v>111</v>
      </c>
      <c r="R32" s="1587" t="s">
        <v>1517</v>
      </c>
      <c r="S32" s="1588">
        <f t="shared" si="10"/>
        <v>100</v>
      </c>
      <c r="T32" s="1587" t="s">
        <v>1517</v>
      </c>
      <c r="U32" s="1588">
        <f t="shared" si="11"/>
        <v>100</v>
      </c>
      <c r="V32" s="1587" t="s">
        <v>1517</v>
      </c>
      <c r="W32" s="1588">
        <f t="shared" si="12"/>
        <v>100</v>
      </c>
      <c r="X32" s="1581"/>
      <c r="Y32" s="3702" t="s">
        <v>1537</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2"/>
      <c r="Q33" s="974">
        <f t="shared" si="8"/>
        <v>111</v>
      </c>
      <c r="R33" s="1589" t="s">
        <v>1517</v>
      </c>
      <c r="S33" s="1590">
        <f t="shared" si="10"/>
        <v>100</v>
      </c>
      <c r="T33" s="1589" t="s">
        <v>1517</v>
      </c>
      <c r="U33" s="1590">
        <f t="shared" si="11"/>
        <v>100</v>
      </c>
      <c r="V33" s="1589" t="s">
        <v>1517</v>
      </c>
      <c r="W33" s="1590">
        <f t="shared" si="12"/>
        <v>100</v>
      </c>
      <c r="X33" s="1591"/>
      <c r="Y33" s="3702"/>
      <c r="Z33" s="1598">
        <f t="shared" si="13"/>
        <v>111</v>
      </c>
      <c r="AA33" s="1597">
        <f t="shared" si="3"/>
        <v>1</v>
      </c>
      <c r="AB33" s="1597">
        <f t="shared" si="4"/>
        <v>1</v>
      </c>
      <c r="AC33" s="1597">
        <f t="shared" si="5"/>
        <v>1</v>
      </c>
    </row>
    <row r="34" spans="1:31" ht="15">
      <c r="A34" s="1426" t="s">
        <v>1535</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2"/>
      <c r="Q34" s="974" t="str">
        <f t="shared" si="8"/>
        <v>宗地面积</v>
      </c>
      <c r="R34" s="1587" t="s">
        <v>1517</v>
      </c>
      <c r="S34" s="1588" t="e">
        <f t="shared" si="10"/>
        <v>#N/A</v>
      </c>
      <c r="T34" s="1587" t="s">
        <v>1517</v>
      </c>
      <c r="U34" s="1588" t="e">
        <f t="shared" si="11"/>
        <v>#N/A</v>
      </c>
      <c r="V34" s="1587" t="s">
        <v>1517</v>
      </c>
      <c r="W34" s="1588" t="e">
        <f t="shared" si="12"/>
        <v>#N/A</v>
      </c>
      <c r="X34" s="1581"/>
      <c r="Y34" s="3702"/>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2"/>
      <c r="Q35" s="974" t="str">
        <f t="shared" ref="Q35:Q40" si="14">B35</f>
        <v>宗地形状</v>
      </c>
      <c r="R35" s="1587" t="s">
        <v>1517</v>
      </c>
      <c r="S35" s="1588">
        <f t="shared" si="10"/>
        <v>100</v>
      </c>
      <c r="T35" s="1587" t="s">
        <v>1517</v>
      </c>
      <c r="U35" s="1588">
        <f t="shared" si="11"/>
        <v>100</v>
      </c>
      <c r="V35" s="1587" t="s">
        <v>1517</v>
      </c>
      <c r="W35" s="1588">
        <f t="shared" si="12"/>
        <v>100</v>
      </c>
      <c r="X35" s="1581"/>
      <c r="Y35" s="3702"/>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2"/>
      <c r="Q36" s="974" t="str">
        <f t="shared" si="14"/>
        <v>宗地开发程度</v>
      </c>
      <c r="R36" s="1582" t="s">
        <v>1517</v>
      </c>
      <c r="S36" s="1583">
        <f t="shared" si="10"/>
        <v>100</v>
      </c>
      <c r="T36" s="1582" t="s">
        <v>1517</v>
      </c>
      <c r="U36" s="1583">
        <f t="shared" si="11"/>
        <v>100</v>
      </c>
      <c r="V36" s="1582" t="s">
        <v>1517</v>
      </c>
      <c r="W36" s="1583">
        <f t="shared" si="12"/>
        <v>100</v>
      </c>
      <c r="X36" s="1584"/>
      <c r="Y36" s="3702"/>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2" t="s">
        <v>1537</v>
      </c>
      <c r="Q37" s="974" t="str">
        <f t="shared" si="14"/>
        <v>工程地质条件</v>
      </c>
      <c r="R37" s="1587" t="s">
        <v>1517</v>
      </c>
      <c r="S37" s="1588">
        <f t="shared" si="10"/>
        <v>100</v>
      </c>
      <c r="T37" s="1587" t="s">
        <v>1517</v>
      </c>
      <c r="U37" s="1588">
        <f t="shared" si="11"/>
        <v>100</v>
      </c>
      <c r="V37" s="1587" t="s">
        <v>1517</v>
      </c>
      <c r="W37" s="1588">
        <f t="shared" si="12"/>
        <v>100</v>
      </c>
      <c r="X37" s="1581"/>
      <c r="Y37" s="3702" t="s">
        <v>1537</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2"/>
      <c r="Q38" s="974">
        <f t="shared" si="14"/>
        <v>111</v>
      </c>
      <c r="R38" s="1587" t="s">
        <v>1517</v>
      </c>
      <c r="S38" s="1588">
        <f t="shared" si="10"/>
        <v>100</v>
      </c>
      <c r="T38" s="1587" t="s">
        <v>1517</v>
      </c>
      <c r="U38" s="1588">
        <f t="shared" si="11"/>
        <v>100</v>
      </c>
      <c r="V38" s="1587" t="s">
        <v>1517</v>
      </c>
      <c r="W38" s="1588">
        <f t="shared" si="12"/>
        <v>100</v>
      </c>
      <c r="X38" s="1581"/>
      <c r="Y38" s="3702"/>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2"/>
      <c r="Q39" s="974">
        <f t="shared" si="14"/>
        <v>111</v>
      </c>
      <c r="R39" s="1587" t="s">
        <v>1517</v>
      </c>
      <c r="S39" s="1588">
        <f t="shared" si="10"/>
        <v>100</v>
      </c>
      <c r="T39" s="1587" t="s">
        <v>1517</v>
      </c>
      <c r="U39" s="1588">
        <f t="shared" si="11"/>
        <v>100</v>
      </c>
      <c r="V39" s="1587" t="s">
        <v>1517</v>
      </c>
      <c r="W39" s="1588">
        <f t="shared" si="12"/>
        <v>100</v>
      </c>
      <c r="X39" s="1581"/>
      <c r="Y39" s="3702"/>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2"/>
      <c r="Q40" s="974">
        <f t="shared" si="14"/>
        <v>111</v>
      </c>
      <c r="R40" s="1589" t="s">
        <v>1517</v>
      </c>
      <c r="S40" s="1590">
        <f t="shared" si="10"/>
        <v>100</v>
      </c>
      <c r="T40" s="1589" t="s">
        <v>1517</v>
      </c>
      <c r="U40" s="1590">
        <f t="shared" si="11"/>
        <v>100</v>
      </c>
      <c r="V40" s="1589" t="s">
        <v>1517</v>
      </c>
      <c r="W40" s="1590">
        <f t="shared" si="12"/>
        <v>100</v>
      </c>
      <c r="X40" s="1591"/>
      <c r="Y40" s="3702"/>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2" t="str">
        <f>A41</f>
        <v>成交单价</v>
      </c>
      <c r="Q41" s="3692"/>
      <c r="R41" s="3722">
        <f>E41</f>
        <v>0</v>
      </c>
      <c r="S41" s="3722"/>
      <c r="T41" s="3722">
        <f>G41</f>
        <v>0</v>
      </c>
      <c r="U41" s="3722"/>
      <c r="V41" s="3722">
        <f>I41</f>
        <v>0</v>
      </c>
      <c r="W41" s="3722"/>
      <c r="X41" s="1527"/>
      <c r="Y41" s="1599"/>
      <c r="Z41" s="1527"/>
      <c r="AA41" s="1527"/>
      <c r="AB41" s="1527"/>
      <c r="AC41" s="1527"/>
    </row>
    <row r="42" spans="1:31" ht="15">
      <c r="A42" s="1478" t="s">
        <v>1549</v>
      </c>
      <c r="B42" s="1479"/>
      <c r="C42" s="1480" t="e">
        <f>R43</f>
        <v>#DIV/0!</v>
      </c>
      <c r="D42" s="1481" t="s">
        <v>1550</v>
      </c>
      <c r="E42" s="1480" t="e">
        <f>R42</f>
        <v>#DIV/0!</v>
      </c>
      <c r="F42" s="1482"/>
      <c r="G42" s="1483" t="e">
        <f>T42</f>
        <v>#DIV/0!</v>
      </c>
      <c r="H42" s="1482"/>
      <c r="I42" s="1480" t="e">
        <f>V42</f>
        <v>#DIV/0!</v>
      </c>
      <c r="J42" s="1482"/>
      <c r="K42" s="1564">
        <f>F42+H42+J42</f>
        <v>0</v>
      </c>
      <c r="L42" s="1563"/>
      <c r="M42" s="1539"/>
      <c r="N42" s="1539"/>
      <c r="O42" s="1487"/>
      <c r="P42" s="3692" t="str">
        <f>A42</f>
        <v>比较价值（元/平方米）</v>
      </c>
      <c r="Q42" s="3692"/>
      <c r="R42" s="3742" t="e">
        <f>ROUND(PRODUCT(R41,AA7:AA40),0)</f>
        <v>#DIV/0!</v>
      </c>
      <c r="S42" s="3742"/>
      <c r="T42" s="3742" t="e">
        <f>ROUND(PRODUCT(T41,AB7:AB40),0)</f>
        <v>#DIV/0!</v>
      </c>
      <c r="U42" s="3742"/>
      <c r="V42" s="3742" t="e">
        <f>ROUND(PRODUCT(V41,AC7:AC40),0)</f>
        <v>#DIV/0!</v>
      </c>
      <c r="W42" s="3742"/>
      <c r="X42" s="1527"/>
      <c r="Y42" s="1527"/>
      <c r="Z42" s="1527"/>
      <c r="AA42" s="1527"/>
      <c r="AB42" s="1527"/>
      <c r="AC42" s="1527"/>
    </row>
    <row r="43" spans="1:31" ht="15">
      <c r="A43" s="1484" t="s">
        <v>1551</v>
      </c>
      <c r="B43" s="1485"/>
      <c r="C43" s="1486" t="e">
        <f>R43</f>
        <v>#DIV/0!</v>
      </c>
      <c r="D43" s="1486"/>
      <c r="E43" s="1486"/>
      <c r="F43" s="1486"/>
      <c r="G43" s="1486"/>
      <c r="H43" s="1486"/>
      <c r="I43" s="1486"/>
      <c r="J43" s="1486"/>
      <c r="K43" s="1565"/>
      <c r="L43" s="1563"/>
      <c r="M43" s="1539"/>
      <c r="N43" s="1539"/>
      <c r="O43" s="1487"/>
      <c r="P43" s="3704" t="str">
        <f>A43</f>
        <v>估价对象XX用房的比较价值（楼面单价，元/平方米）</v>
      </c>
      <c r="Q43" s="3705"/>
      <c r="R43" s="3743" t="e">
        <f>ROUND(IF(D42="简单平均",AVERAGE(R42:W42),R42*F42+T42*H42+V42*J42),0)</f>
        <v>#DIV/0!</v>
      </c>
      <c r="S43" s="3743"/>
      <c r="T43" s="3743"/>
      <c r="U43" s="3743"/>
      <c r="V43" s="3743"/>
      <c r="W43" s="3743"/>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677" t="s">
        <v>1665</v>
      </c>
      <c r="H50" s="3741"/>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879.38</v>
      </c>
      <c r="F51" s="1506" t="e">
        <f t="shared" ref="F51:F60" si="15">ROUND(B51*E51/10000,0)</f>
        <v>#DIV/0!</v>
      </c>
      <c r="G51" s="3694"/>
      <c r="H51" s="3692"/>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1555</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1556</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1518</v>
      </c>
      <c r="B68" s="1611"/>
      <c r="C68" s="1612" t="s">
        <v>1557</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1558</v>
      </c>
      <c r="B70" s="1617" t="s">
        <v>1521</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1524</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1525</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1526</v>
      </c>
      <c r="B83" s="1617" t="s">
        <v>1625</v>
      </c>
      <c r="C83" s="1638" t="s">
        <v>1559</v>
      </c>
      <c r="D83" s="1638" t="s">
        <v>1560</v>
      </c>
      <c r="E83" s="1638" t="s">
        <v>1561</v>
      </c>
      <c r="F83" s="1638" t="s">
        <v>1562</v>
      </c>
      <c r="G83" s="1638" t="s">
        <v>1563</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1529</v>
      </c>
      <c r="C85" s="1640" t="s">
        <v>1559</v>
      </c>
      <c r="D85" s="1640" t="s">
        <v>1560</v>
      </c>
      <c r="E85" s="1640" t="s">
        <v>1561</v>
      </c>
      <c r="F85" s="1640" t="s">
        <v>1562</v>
      </c>
      <c r="G85" s="1640" t="s">
        <v>1563</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1559</v>
      </c>
      <c r="D87" s="1638" t="s">
        <v>1560</v>
      </c>
      <c r="E87" s="1638" t="s">
        <v>1561</v>
      </c>
      <c r="F87" s="1638" t="s">
        <v>1562</v>
      </c>
      <c r="G87" s="1638" t="s">
        <v>1563</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1559</v>
      </c>
      <c r="D89" s="1638" t="s">
        <v>1560</v>
      </c>
      <c r="E89" s="1638" t="s">
        <v>1561</v>
      </c>
      <c r="F89" s="1638" t="s">
        <v>1562</v>
      </c>
      <c r="G89" s="1638" t="s">
        <v>1563</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1530</v>
      </c>
      <c r="C91" s="1638" t="s">
        <v>1559</v>
      </c>
      <c r="D91" s="1638" t="s">
        <v>1560</v>
      </c>
      <c r="E91" s="1638" t="s">
        <v>1561</v>
      </c>
      <c r="F91" s="1638" t="s">
        <v>1562</v>
      </c>
      <c r="G91" s="1638" t="s">
        <v>1563</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1531</v>
      </c>
      <c r="C93" s="1645" t="s">
        <v>1564</v>
      </c>
      <c r="D93" s="1645" t="s">
        <v>1565</v>
      </c>
      <c r="E93" s="1645" t="s">
        <v>1566</v>
      </c>
      <c r="F93" s="1645" t="s">
        <v>1567</v>
      </c>
      <c r="G93" s="1645" t="s">
        <v>1568</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1611</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1535</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48" t="s">
        <v>1695</v>
      </c>
      <c r="D1" s="3749"/>
      <c r="E1" s="3749"/>
      <c r="F1" s="3749"/>
      <c r="G1" s="3749"/>
      <c r="H1" s="3749"/>
      <c r="I1" s="3749"/>
      <c r="J1" s="3749"/>
      <c r="K1" s="3749"/>
      <c r="L1" s="3749"/>
      <c r="M1" s="3749"/>
      <c r="N1" s="3749"/>
      <c r="O1" s="3749"/>
      <c r="P1" s="3749"/>
      <c r="Q1" s="3749"/>
      <c r="R1" s="3749"/>
      <c r="S1" s="3750"/>
      <c r="T1" s="1260" t="s">
        <v>1696</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849</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1" t="s">
        <v>124</v>
      </c>
      <c r="D22" s="3752"/>
      <c r="E22" s="3752"/>
      <c r="F22" s="3752"/>
      <c r="G22" s="3752"/>
      <c r="H22" s="3752"/>
      <c r="I22" s="3752"/>
      <c r="J22" s="3752"/>
      <c r="K22" s="3752"/>
      <c r="L22" s="3752"/>
      <c r="M22" s="3752"/>
      <c r="N22" s="3752"/>
      <c r="O22" s="3752"/>
      <c r="P22" s="3752"/>
      <c r="Q22" s="3753"/>
      <c r="R22" s="1364" t="e">
        <f>ROUND(S22*10000/B22,0)</f>
        <v>#DIV/0!</v>
      </c>
      <c r="S22" s="312">
        <f>SUM(S24:S10000)</f>
        <v>0</v>
      </c>
    </row>
    <row r="23" spans="1:45" s="1253" customFormat="1" ht="24">
      <c r="A23" s="1309" t="s">
        <v>1709</v>
      </c>
      <c r="B23" s="1309" t="s">
        <v>505</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1501</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1033</v>
      </c>
      <c r="B2" s="689" t="e">
        <f>C30</f>
        <v>#DIV/0!</v>
      </c>
      <c r="C2" s="858" t="s">
        <v>1034</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1035</v>
      </c>
      <c r="B3" s="689" t="e">
        <f>ROUND(B2*10000/D1,0)</f>
        <v>#DIV/0!</v>
      </c>
      <c r="C3" s="858" t="s">
        <v>1036</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4"/>
      <c r="B4" s="3755"/>
      <c r="C4" s="3755"/>
      <c r="D4" s="3756"/>
      <c r="E4" s="3756"/>
      <c r="F4" s="3756"/>
      <c r="G4" s="3756"/>
      <c r="H4" s="3756"/>
      <c r="I4" s="3756"/>
      <c r="J4" s="3757"/>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939</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1038</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58" t="s">
        <v>1752</v>
      </c>
      <c r="X8" s="3759"/>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2"/>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2"/>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4" t="s">
        <v>1801</v>
      </c>
      <c r="B20" s="938" t="s">
        <v>1802</v>
      </c>
      <c r="C20" s="939" t="e">
        <f>ROUND(IF(F21="与级别开发程度一致",0,(G21-E21)/C21),0)</f>
        <v>#DIV/0!</v>
      </c>
      <c r="D20" s="940" t="s">
        <v>1803</v>
      </c>
      <c r="E20" s="941"/>
      <c r="F20" s="3760" t="s">
        <v>1804</v>
      </c>
      <c r="G20" s="3761"/>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5"/>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950</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955</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45874</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958</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980</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610</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610</v>
      </c>
      <c r="E36" s="1018" t="s">
        <v>1847</v>
      </c>
      <c r="F36" s="529" t="s">
        <v>1856</v>
      </c>
      <c r="G36" s="1019" t="s">
        <v>1846</v>
      </c>
      <c r="H36" s="1019" t="s">
        <v>610</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6"/>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67"/>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67"/>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1559</v>
      </c>
      <c r="K49" s="1150" t="s">
        <v>1560</v>
      </c>
      <c r="L49" s="1150" t="s">
        <v>1561</v>
      </c>
      <c r="M49" s="1150" t="s">
        <v>1562</v>
      </c>
      <c r="N49" s="1150" t="s">
        <v>1563</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1559</v>
      </c>
      <c r="K60" s="1150" t="s">
        <v>1560</v>
      </c>
      <c r="L60" s="1150" t="s">
        <v>1561</v>
      </c>
      <c r="M60" s="1150" t="s">
        <v>1562</v>
      </c>
      <c r="N60" s="1150" t="s">
        <v>1563</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1559</v>
      </c>
      <c r="K71" s="1150" t="s">
        <v>1560</v>
      </c>
      <c r="L71" s="1150" t="s">
        <v>1561</v>
      </c>
      <c r="M71" s="1150" t="s">
        <v>1562</v>
      </c>
      <c r="N71" s="1150" t="s">
        <v>1563</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1559</v>
      </c>
      <c r="K82" s="1150" t="s">
        <v>1560</v>
      </c>
      <c r="L82" s="1150" t="s">
        <v>1561</v>
      </c>
      <c r="M82" s="1150" t="s">
        <v>1562</v>
      </c>
      <c r="N82" s="1150" t="s">
        <v>1563</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1559</v>
      </c>
      <c r="K92" s="1230" t="s">
        <v>1560</v>
      </c>
      <c r="L92" s="1230" t="s">
        <v>1561</v>
      </c>
      <c r="M92" s="1230" t="s">
        <v>1562</v>
      </c>
      <c r="N92" s="1230" t="s">
        <v>1563</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2" t="s">
        <v>1901</v>
      </c>
      <c r="B103" s="3762"/>
      <c r="C103" s="3762"/>
      <c r="D103" s="3762"/>
      <c r="E103" s="3762"/>
      <c r="F103" s="3762"/>
      <c r="G103" s="3762"/>
      <c r="H103" s="3762"/>
      <c r="I103" s="3762"/>
      <c r="J103" s="3762"/>
      <c r="K103" s="1208"/>
      <c r="L103" s="1208"/>
      <c r="M103" s="1208"/>
      <c r="N103" s="1208"/>
    </row>
    <row r="104" spans="1:14">
      <c r="A104" s="3768" t="s">
        <v>1902</v>
      </c>
      <c r="B104" s="3768" t="s">
        <v>1903</v>
      </c>
      <c r="C104" s="1210" t="s">
        <v>1904</v>
      </c>
      <c r="D104" s="1211"/>
      <c r="E104" s="1211"/>
      <c r="F104" s="1211"/>
      <c r="G104" s="1211"/>
      <c r="H104" s="1211"/>
      <c r="I104" s="1211"/>
      <c r="J104" s="1231"/>
      <c r="K104" s="1232"/>
      <c r="L104" s="1232"/>
      <c r="M104" s="1232"/>
      <c r="N104" s="1232"/>
    </row>
    <row r="105" spans="1:14">
      <c r="A105" s="3768"/>
      <c r="B105" s="3768"/>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69"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0"/>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1"/>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3" t="s">
        <v>1906</v>
      </c>
      <c r="B113" s="3763"/>
      <c r="C113" s="3763"/>
      <c r="D113" s="3763"/>
      <c r="E113" s="3763"/>
      <c r="F113" s="3763"/>
      <c r="G113" s="3763"/>
      <c r="H113" s="3763"/>
      <c r="I113" s="3763"/>
      <c r="J113" s="3763"/>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3" t="s">
        <v>229</v>
      </c>
      <c r="B20" s="3779" t="s">
        <v>1928</v>
      </c>
      <c r="C20" s="805" t="s">
        <v>244</v>
      </c>
      <c r="D20" s="805"/>
      <c r="E20" s="806">
        <v>1</v>
      </c>
      <c r="F20" s="807" t="s">
        <v>1929</v>
      </c>
      <c r="G20" s="807"/>
    </row>
    <row r="21" spans="1:13" ht="19.5" customHeight="1">
      <c r="A21" s="3774"/>
      <c r="B21" s="3780"/>
      <c r="C21" s="808" t="s">
        <v>259</v>
      </c>
      <c r="D21" s="808"/>
      <c r="E21" s="809">
        <v>1</v>
      </c>
      <c r="F21" s="807" t="s">
        <v>1930</v>
      </c>
      <c r="G21" s="807"/>
    </row>
    <row r="22" spans="1:13" ht="19.5" customHeight="1">
      <c r="A22" s="3774"/>
      <c r="B22" s="3780"/>
      <c r="C22" s="808" t="s">
        <v>270</v>
      </c>
      <c r="D22" s="808"/>
      <c r="E22" s="809">
        <v>0.9</v>
      </c>
      <c r="F22" s="807" t="s">
        <v>1931</v>
      </c>
      <c r="G22" s="807"/>
    </row>
    <row r="23" spans="1:13" ht="19.5" customHeight="1">
      <c r="A23" s="3774"/>
      <c r="B23" s="3780"/>
      <c r="C23" s="808" t="s">
        <v>281</v>
      </c>
      <c r="D23" s="808"/>
      <c r="E23" s="809">
        <v>0.9</v>
      </c>
      <c r="F23" s="807" t="s">
        <v>1932</v>
      </c>
      <c r="G23" s="807"/>
    </row>
    <row r="24" spans="1:13" ht="19.5" customHeight="1">
      <c r="A24" s="3774"/>
      <c r="B24" s="3780"/>
      <c r="C24" s="808" t="s">
        <v>290</v>
      </c>
      <c r="D24" s="808"/>
      <c r="E24" s="809">
        <v>0.8</v>
      </c>
      <c r="F24" s="807" t="s">
        <v>1933</v>
      </c>
      <c r="G24" s="807"/>
    </row>
    <row r="25" spans="1:13" ht="19.5" customHeight="1">
      <c r="A25" s="3774"/>
      <c r="B25" s="3780"/>
      <c r="C25" s="808" t="s">
        <v>298</v>
      </c>
      <c r="D25" s="808"/>
      <c r="E25" s="809">
        <v>0.8</v>
      </c>
      <c r="F25" s="807"/>
      <c r="G25" s="807"/>
    </row>
    <row r="26" spans="1:13" ht="19.5" customHeight="1">
      <c r="A26" s="3774"/>
      <c r="B26" s="3780"/>
      <c r="C26" s="810" t="s">
        <v>306</v>
      </c>
      <c r="D26" s="810"/>
      <c r="E26" s="811">
        <v>0.43</v>
      </c>
      <c r="F26" s="807"/>
      <c r="G26" s="807"/>
    </row>
    <row r="27" spans="1:13" ht="19.5" customHeight="1">
      <c r="A27" s="3775"/>
      <c r="B27" s="3781"/>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76" t="s">
        <v>231</v>
      </c>
      <c r="B29" s="3782" t="s">
        <v>231</v>
      </c>
      <c r="C29" s="819" t="s">
        <v>246</v>
      </c>
      <c r="D29" s="820"/>
      <c r="E29" s="806">
        <v>1</v>
      </c>
      <c r="F29" s="807" t="s">
        <v>1936</v>
      </c>
      <c r="G29" s="807"/>
    </row>
    <row r="30" spans="1:13" ht="19.5" customHeight="1">
      <c r="A30" s="3777"/>
      <c r="B30" s="3783"/>
      <c r="C30" s="821" t="s">
        <v>260</v>
      </c>
      <c r="D30" s="822"/>
      <c r="E30" s="809">
        <v>1</v>
      </c>
      <c r="F30" s="807" t="s">
        <v>1937</v>
      </c>
      <c r="G30" s="807"/>
    </row>
    <row r="31" spans="1:13" ht="19.5" customHeight="1">
      <c r="A31" s="3777"/>
      <c r="B31" s="3783"/>
      <c r="C31" s="821" t="s">
        <v>271</v>
      </c>
      <c r="D31" s="822"/>
      <c r="E31" s="809">
        <v>0.8</v>
      </c>
      <c r="F31" s="807" t="s">
        <v>1938</v>
      </c>
      <c r="G31" s="807"/>
    </row>
    <row r="32" spans="1:13" ht="19.5" customHeight="1">
      <c r="A32" s="3777"/>
      <c r="B32" s="3783"/>
      <c r="C32" s="821" t="s">
        <v>282</v>
      </c>
      <c r="D32" s="822"/>
      <c r="E32" s="809">
        <v>0.8</v>
      </c>
      <c r="F32" s="807" t="s">
        <v>1939</v>
      </c>
      <c r="G32" s="807"/>
    </row>
    <row r="33" spans="1:7" ht="19.5" customHeight="1">
      <c r="A33" s="3777"/>
      <c r="B33" s="3783"/>
      <c r="C33" s="821" t="s">
        <v>291</v>
      </c>
      <c r="D33" s="822"/>
      <c r="E33" s="809">
        <v>0.8</v>
      </c>
      <c r="F33" s="807" t="s">
        <v>1940</v>
      </c>
      <c r="G33" s="807"/>
    </row>
    <row r="34" spans="1:7" ht="19.5" customHeight="1">
      <c r="A34" s="3777"/>
      <c r="B34" s="3783"/>
      <c r="C34" s="821" t="s">
        <v>299</v>
      </c>
      <c r="D34" s="822"/>
      <c r="E34" s="809">
        <v>0.7</v>
      </c>
      <c r="F34" s="807" t="s">
        <v>1941</v>
      </c>
      <c r="G34" s="807"/>
    </row>
    <row r="35" spans="1:7" ht="19.5" customHeight="1">
      <c r="A35" s="3777"/>
      <c r="B35" s="3783"/>
      <c r="C35" s="821" t="s">
        <v>307</v>
      </c>
      <c r="D35" s="822"/>
      <c r="E35" s="809">
        <v>0.8</v>
      </c>
      <c r="F35" s="807" t="s">
        <v>1942</v>
      </c>
      <c r="G35" s="807"/>
    </row>
    <row r="36" spans="1:7" ht="19.5" customHeight="1">
      <c r="A36" s="3777"/>
      <c r="B36" s="3783"/>
      <c r="C36" s="821" t="s">
        <v>314</v>
      </c>
      <c r="D36" s="822"/>
      <c r="E36" s="809">
        <v>0.6</v>
      </c>
      <c r="F36" s="807" t="s">
        <v>1943</v>
      </c>
      <c r="G36" s="807"/>
    </row>
    <row r="37" spans="1:7" ht="19.5" customHeight="1">
      <c r="A37" s="3777"/>
      <c r="B37" s="3783"/>
      <c r="C37" s="821" t="s">
        <v>320</v>
      </c>
      <c r="D37" s="822"/>
      <c r="E37" s="809">
        <v>0.2</v>
      </c>
      <c r="F37" s="807" t="s">
        <v>1944</v>
      </c>
      <c r="G37" s="807"/>
    </row>
    <row r="38" spans="1:7" ht="19.5" customHeight="1">
      <c r="A38" s="3777"/>
      <c r="B38" s="3783"/>
      <c r="C38" s="821" t="s">
        <v>326</v>
      </c>
      <c r="D38" s="822"/>
      <c r="E38" s="809">
        <v>0.2</v>
      </c>
      <c r="F38" s="807" t="s">
        <v>1945</v>
      </c>
      <c r="G38" s="807"/>
    </row>
    <row r="39" spans="1:7" ht="19.5" customHeight="1">
      <c r="A39" s="3777"/>
      <c r="B39" s="3784" t="s">
        <v>1946</v>
      </c>
      <c r="C39" s="821" t="s">
        <v>332</v>
      </c>
      <c r="D39" s="822"/>
      <c r="E39" s="809">
        <v>0.6</v>
      </c>
      <c r="F39" s="807" t="s">
        <v>1947</v>
      </c>
      <c r="G39" s="807"/>
    </row>
    <row r="40" spans="1:7" ht="19.5" customHeight="1">
      <c r="A40" s="3777"/>
      <c r="B40" s="3783"/>
      <c r="C40" s="821" t="s">
        <v>338</v>
      </c>
      <c r="D40" s="822"/>
      <c r="E40" s="809">
        <v>0.6</v>
      </c>
      <c r="F40" s="807" t="s">
        <v>1948</v>
      </c>
      <c r="G40" s="807"/>
    </row>
    <row r="41" spans="1:7" ht="19.5" customHeight="1">
      <c r="A41" s="3778"/>
      <c r="B41" s="3785"/>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3" t="s">
        <v>233</v>
      </c>
      <c r="B43" s="3782" t="s">
        <v>1951</v>
      </c>
      <c r="C43" s="819" t="s">
        <v>248</v>
      </c>
      <c r="D43" s="820"/>
      <c r="E43" s="806">
        <v>1</v>
      </c>
      <c r="F43" s="807" t="s">
        <v>1952</v>
      </c>
      <c r="G43" s="807"/>
    </row>
    <row r="44" spans="1:7" ht="19.5" customHeight="1">
      <c r="A44" s="3774"/>
      <c r="B44" s="3783"/>
      <c r="C44" s="821" t="s">
        <v>261</v>
      </c>
      <c r="D44" s="822"/>
      <c r="E44" s="809">
        <v>1</v>
      </c>
      <c r="F44" s="807" t="s">
        <v>1953</v>
      </c>
      <c r="G44" s="807"/>
    </row>
    <row r="45" spans="1:7" ht="19.5" customHeight="1">
      <c r="A45" s="3774"/>
      <c r="B45" s="3786"/>
      <c r="C45" s="821" t="s">
        <v>272</v>
      </c>
      <c r="D45" s="822"/>
      <c r="E45" s="809">
        <v>1.5</v>
      </c>
      <c r="F45" s="807" t="s">
        <v>1954</v>
      </c>
      <c r="G45" s="807"/>
    </row>
    <row r="46" spans="1:7" ht="19.5" customHeight="1">
      <c r="A46" s="3774"/>
      <c r="B46" s="808" t="s">
        <v>231</v>
      </c>
      <c r="C46" s="821" t="s">
        <v>283</v>
      </c>
      <c r="D46" s="822"/>
      <c r="E46" s="809">
        <v>2</v>
      </c>
      <c r="F46" s="807" t="s">
        <v>1955</v>
      </c>
      <c r="G46" s="807"/>
    </row>
    <row r="47" spans="1:7" ht="19.5" customHeight="1">
      <c r="A47" s="3774"/>
      <c r="B47" s="3784" t="s">
        <v>1956</v>
      </c>
      <c r="C47" s="821" t="s">
        <v>292</v>
      </c>
      <c r="D47" s="822"/>
      <c r="E47" s="809">
        <v>1</v>
      </c>
      <c r="F47" s="807" t="s">
        <v>1957</v>
      </c>
      <c r="G47" s="807"/>
    </row>
    <row r="48" spans="1:7" ht="19.5" customHeight="1">
      <c r="A48" s="3774"/>
      <c r="B48" s="3783"/>
      <c r="C48" s="821" t="s">
        <v>300</v>
      </c>
      <c r="D48" s="822"/>
      <c r="E48" s="809">
        <v>1</v>
      </c>
      <c r="F48" s="807" t="s">
        <v>1958</v>
      </c>
      <c r="G48" s="807"/>
    </row>
    <row r="49" spans="1:7" ht="19.5" customHeight="1">
      <c r="A49" s="3774"/>
      <c r="B49" s="3783"/>
      <c r="C49" s="821" t="s">
        <v>308</v>
      </c>
      <c r="D49" s="822"/>
      <c r="E49" s="809">
        <v>1</v>
      </c>
      <c r="F49" s="807" t="s">
        <v>1959</v>
      </c>
      <c r="G49" s="807"/>
    </row>
    <row r="50" spans="1:7" ht="19.5" customHeight="1">
      <c r="A50" s="3774"/>
      <c r="B50" s="3783"/>
      <c r="C50" s="821" t="s">
        <v>315</v>
      </c>
      <c r="D50" s="822"/>
      <c r="E50" s="809">
        <v>1</v>
      </c>
      <c r="F50" s="807" t="s">
        <v>1960</v>
      </c>
      <c r="G50" s="807"/>
    </row>
    <row r="51" spans="1:7" ht="19.5" customHeight="1">
      <c r="A51" s="3774"/>
      <c r="B51" s="3783"/>
      <c r="C51" s="821" t="s">
        <v>321</v>
      </c>
      <c r="D51" s="822"/>
      <c r="E51" s="809">
        <v>1</v>
      </c>
      <c r="F51" s="807" t="s">
        <v>1961</v>
      </c>
      <c r="G51" s="807"/>
    </row>
    <row r="52" spans="1:7" ht="19.5" customHeight="1">
      <c r="A52" s="3774"/>
      <c r="B52" s="3783"/>
      <c r="C52" s="821" t="s">
        <v>327</v>
      </c>
      <c r="D52" s="822"/>
      <c r="E52" s="809">
        <v>1</v>
      </c>
      <c r="F52" s="807" t="s">
        <v>1962</v>
      </c>
      <c r="G52" s="807"/>
    </row>
    <row r="53" spans="1:7" ht="19.5" customHeight="1">
      <c r="A53" s="3775"/>
      <c r="B53" s="3785"/>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84" t="s">
        <v>1974</v>
      </c>
      <c r="C75" s="797" t="s">
        <v>1975</v>
      </c>
      <c r="D75" s="797" t="s">
        <v>1976</v>
      </c>
      <c r="E75" s="808">
        <v>0.2</v>
      </c>
      <c r="F75" s="808">
        <v>25</v>
      </c>
    </row>
    <row r="76" spans="1:7" ht="24">
      <c r="A76" s="808">
        <v>2</v>
      </c>
      <c r="B76" s="3783"/>
      <c r="C76" s="797" t="s">
        <v>1977</v>
      </c>
      <c r="D76" s="797" t="s">
        <v>1978</v>
      </c>
      <c r="E76" s="808">
        <v>0.2</v>
      </c>
      <c r="F76" s="808">
        <v>25</v>
      </c>
    </row>
    <row r="77" spans="1:7" ht="24">
      <c r="A77" s="808">
        <v>3</v>
      </c>
      <c r="B77" s="3783"/>
      <c r="C77" s="797" t="s">
        <v>1979</v>
      </c>
      <c r="D77" s="797" t="s">
        <v>1980</v>
      </c>
      <c r="E77" s="808">
        <v>0.2</v>
      </c>
      <c r="F77" s="808">
        <v>25</v>
      </c>
    </row>
    <row r="78" spans="1:7" ht="13.5">
      <c r="A78" s="808">
        <v>4</v>
      </c>
      <c r="B78" s="3783"/>
      <c r="C78" s="797" t="s">
        <v>1981</v>
      </c>
      <c r="D78" s="797" t="s">
        <v>1982</v>
      </c>
      <c r="E78" s="808">
        <v>0.15</v>
      </c>
      <c r="F78" s="808">
        <v>20</v>
      </c>
    </row>
    <row r="79" spans="1:7" ht="24">
      <c r="A79" s="808">
        <v>5</v>
      </c>
      <c r="B79" s="3783"/>
      <c r="C79" s="797" t="s">
        <v>1983</v>
      </c>
      <c r="D79" s="797" t="s">
        <v>1984</v>
      </c>
      <c r="E79" s="808">
        <v>0.15</v>
      </c>
      <c r="F79" s="808">
        <v>20</v>
      </c>
    </row>
    <row r="80" spans="1:7" ht="24">
      <c r="A80" s="808">
        <v>6</v>
      </c>
      <c r="B80" s="3783"/>
      <c r="C80" s="797" t="s">
        <v>1985</v>
      </c>
      <c r="D80" s="797" t="s">
        <v>1986</v>
      </c>
      <c r="E80" s="808">
        <v>0.15</v>
      </c>
      <c r="F80" s="808">
        <v>20</v>
      </c>
    </row>
    <row r="81" spans="1:6" ht="24">
      <c r="A81" s="808">
        <v>7</v>
      </c>
      <c r="B81" s="3783"/>
      <c r="C81" s="797" t="s">
        <v>1987</v>
      </c>
      <c r="D81" s="797" t="s">
        <v>1988</v>
      </c>
      <c r="E81" s="808">
        <v>0.15</v>
      </c>
      <c r="F81" s="808">
        <v>20</v>
      </c>
    </row>
    <row r="82" spans="1:6" ht="24">
      <c r="A82" s="808">
        <v>8</v>
      </c>
      <c r="B82" s="3783"/>
      <c r="C82" s="797" t="s">
        <v>1989</v>
      </c>
      <c r="D82" s="797" t="s">
        <v>1990</v>
      </c>
      <c r="E82" s="808">
        <v>0.1</v>
      </c>
      <c r="F82" s="808">
        <v>15</v>
      </c>
    </row>
    <row r="83" spans="1:6" ht="24">
      <c r="A83" s="808">
        <v>9</v>
      </c>
      <c r="B83" s="3783"/>
      <c r="C83" s="797" t="s">
        <v>1991</v>
      </c>
      <c r="D83" s="797" t="s">
        <v>1992</v>
      </c>
      <c r="E83" s="808">
        <v>0.1</v>
      </c>
      <c r="F83" s="808">
        <v>15</v>
      </c>
    </row>
    <row r="84" spans="1:6" ht="24">
      <c r="A84" s="808">
        <v>10</v>
      </c>
      <c r="B84" s="3783"/>
      <c r="C84" s="797" t="s">
        <v>1993</v>
      </c>
      <c r="D84" s="797" t="s">
        <v>1994</v>
      </c>
      <c r="E84" s="808">
        <v>0.1</v>
      </c>
      <c r="F84" s="808">
        <v>15</v>
      </c>
    </row>
    <row r="85" spans="1:6" ht="24">
      <c r="A85" s="808">
        <v>11</v>
      </c>
      <c r="B85" s="3783"/>
      <c r="C85" s="797" t="s">
        <v>1995</v>
      </c>
      <c r="D85" s="797" t="s">
        <v>1996</v>
      </c>
      <c r="E85" s="808">
        <v>0.1</v>
      </c>
      <c r="F85" s="808">
        <v>15</v>
      </c>
    </row>
    <row r="86" spans="1:6" ht="24">
      <c r="A86" s="808">
        <v>12</v>
      </c>
      <c r="B86" s="3783"/>
      <c r="C86" s="797" t="s">
        <v>1997</v>
      </c>
      <c r="D86" s="797" t="s">
        <v>1998</v>
      </c>
      <c r="E86" s="808">
        <v>0.1</v>
      </c>
      <c r="F86" s="808">
        <v>15</v>
      </c>
    </row>
    <row r="87" spans="1:6" ht="13.5">
      <c r="A87" s="808">
        <v>13</v>
      </c>
      <c r="B87" s="3783"/>
      <c r="C87" s="797" t="s">
        <v>1999</v>
      </c>
      <c r="D87" s="797" t="s">
        <v>2000</v>
      </c>
      <c r="E87" s="808">
        <v>0.1</v>
      </c>
      <c r="F87" s="808">
        <v>15</v>
      </c>
    </row>
    <row r="88" spans="1:6" ht="13.5">
      <c r="A88" s="808">
        <v>14</v>
      </c>
      <c r="B88" s="3783"/>
      <c r="C88" s="797" t="s">
        <v>2001</v>
      </c>
      <c r="D88" s="797" t="s">
        <v>2002</v>
      </c>
      <c r="E88" s="808">
        <v>0.1</v>
      </c>
      <c r="F88" s="808">
        <v>15</v>
      </c>
    </row>
    <row r="89" spans="1:6" ht="13.5">
      <c r="A89" s="808">
        <v>15</v>
      </c>
      <c r="B89" s="3783"/>
      <c r="C89" s="797" t="s">
        <v>2003</v>
      </c>
      <c r="D89" s="797" t="s">
        <v>2004</v>
      </c>
      <c r="E89" s="808">
        <v>0.1</v>
      </c>
      <c r="F89" s="808">
        <v>15</v>
      </c>
    </row>
    <row r="90" spans="1:6" ht="24">
      <c r="A90" s="808">
        <v>16</v>
      </c>
      <c r="B90" s="3783"/>
      <c r="C90" s="797" t="s">
        <v>2005</v>
      </c>
      <c r="D90" s="797" t="s">
        <v>2006</v>
      </c>
      <c r="E90" s="808">
        <v>0.1</v>
      </c>
      <c r="F90" s="808">
        <v>15</v>
      </c>
    </row>
    <row r="91" spans="1:6" ht="24">
      <c r="A91" s="808">
        <v>17</v>
      </c>
      <c r="B91" s="3786"/>
      <c r="C91" s="797" t="s">
        <v>2007</v>
      </c>
      <c r="D91" s="797" t="s">
        <v>2008</v>
      </c>
      <c r="E91" s="808">
        <v>0.1</v>
      </c>
      <c r="F91" s="808">
        <v>15</v>
      </c>
    </row>
    <row r="92" spans="1:6" ht="13.5">
      <c r="A92" s="808">
        <v>18</v>
      </c>
      <c r="B92" s="3784" t="s">
        <v>2009</v>
      </c>
      <c r="C92" s="797" t="s">
        <v>2010</v>
      </c>
      <c r="D92" s="797" t="s">
        <v>2011</v>
      </c>
      <c r="E92" s="808">
        <v>0.2</v>
      </c>
      <c r="F92" s="808">
        <v>25</v>
      </c>
    </row>
    <row r="93" spans="1:6" ht="24">
      <c r="A93" s="808">
        <v>19</v>
      </c>
      <c r="B93" s="3783"/>
      <c r="C93" s="797" t="s">
        <v>2012</v>
      </c>
      <c r="D93" s="797" t="s">
        <v>2013</v>
      </c>
      <c r="E93" s="808">
        <v>0.2</v>
      </c>
      <c r="F93" s="808">
        <v>25</v>
      </c>
    </row>
    <row r="94" spans="1:6" ht="13.5">
      <c r="A94" s="808">
        <v>20</v>
      </c>
      <c r="B94" s="3783"/>
      <c r="C94" s="797" t="s">
        <v>2014</v>
      </c>
      <c r="D94" s="797" t="s">
        <v>2015</v>
      </c>
      <c r="E94" s="808">
        <v>0.15</v>
      </c>
      <c r="F94" s="808">
        <v>20</v>
      </c>
    </row>
    <row r="95" spans="1:6" ht="13.5">
      <c r="A95" s="808">
        <v>21</v>
      </c>
      <c r="B95" s="3783"/>
      <c r="C95" s="797" t="s">
        <v>2016</v>
      </c>
      <c r="D95" s="797" t="s">
        <v>2017</v>
      </c>
      <c r="E95" s="808">
        <v>0.15</v>
      </c>
      <c r="F95" s="808">
        <v>20</v>
      </c>
    </row>
    <row r="96" spans="1:6" ht="13.5">
      <c r="A96" s="808">
        <v>22</v>
      </c>
      <c r="B96" s="3783"/>
      <c r="C96" s="797" t="s">
        <v>2018</v>
      </c>
      <c r="D96" s="797" t="s">
        <v>2019</v>
      </c>
      <c r="E96" s="808">
        <v>0.15</v>
      </c>
      <c r="F96" s="808">
        <v>20</v>
      </c>
    </row>
    <row r="97" spans="1:6" ht="36">
      <c r="A97" s="808">
        <v>23</v>
      </c>
      <c r="B97" s="3783"/>
      <c r="C97" s="797" t="s">
        <v>2020</v>
      </c>
      <c r="D97" s="797" t="s">
        <v>2021</v>
      </c>
      <c r="E97" s="808">
        <v>0.15</v>
      </c>
      <c r="F97" s="808">
        <v>20</v>
      </c>
    </row>
    <row r="98" spans="1:6" ht="13.5">
      <c r="A98" s="808">
        <v>24</v>
      </c>
      <c r="B98" s="3783"/>
      <c r="C98" s="797" t="s">
        <v>2022</v>
      </c>
      <c r="D98" s="797" t="s">
        <v>2023</v>
      </c>
      <c r="E98" s="808">
        <v>0.1</v>
      </c>
      <c r="F98" s="808">
        <v>15</v>
      </c>
    </row>
    <row r="99" spans="1:6" ht="13.5">
      <c r="A99" s="808">
        <v>25</v>
      </c>
      <c r="B99" s="3783"/>
      <c r="C99" s="797" t="s">
        <v>2024</v>
      </c>
      <c r="D99" s="797" t="s">
        <v>2025</v>
      </c>
      <c r="E99" s="808">
        <v>0.1</v>
      </c>
      <c r="F99" s="808">
        <v>15</v>
      </c>
    </row>
    <row r="100" spans="1:6" ht="24">
      <c r="A100" s="808">
        <v>26</v>
      </c>
      <c r="B100" s="3783"/>
      <c r="C100" s="797" t="s">
        <v>2026</v>
      </c>
      <c r="D100" s="797" t="s">
        <v>2027</v>
      </c>
      <c r="E100" s="808">
        <v>0.1</v>
      </c>
      <c r="F100" s="808">
        <v>15</v>
      </c>
    </row>
    <row r="101" spans="1:6" ht="24">
      <c r="A101" s="808">
        <v>27</v>
      </c>
      <c r="B101" s="3783"/>
      <c r="C101" s="797" t="s">
        <v>2028</v>
      </c>
      <c r="D101" s="797" t="s">
        <v>2029</v>
      </c>
      <c r="E101" s="808">
        <v>0.1</v>
      </c>
      <c r="F101" s="808">
        <v>15</v>
      </c>
    </row>
    <row r="102" spans="1:6" ht="13.5">
      <c r="A102" s="808">
        <v>28</v>
      </c>
      <c r="B102" s="3783"/>
      <c r="C102" s="797" t="s">
        <v>2030</v>
      </c>
      <c r="D102" s="797" t="s">
        <v>2031</v>
      </c>
      <c r="E102" s="808">
        <v>0.1</v>
      </c>
      <c r="F102" s="808">
        <v>15</v>
      </c>
    </row>
    <row r="103" spans="1:6" ht="13.5">
      <c r="A103" s="808">
        <v>29</v>
      </c>
      <c r="B103" s="3783"/>
      <c r="C103" s="797" t="s">
        <v>2032</v>
      </c>
      <c r="D103" s="797" t="s">
        <v>2033</v>
      </c>
      <c r="E103" s="808">
        <v>0.1</v>
      </c>
      <c r="F103" s="808">
        <v>15</v>
      </c>
    </row>
    <row r="104" spans="1:6" ht="13.5">
      <c r="A104" s="808">
        <v>30</v>
      </c>
      <c r="B104" s="3783"/>
      <c r="C104" s="797" t="s">
        <v>2034</v>
      </c>
      <c r="D104" s="797" t="s">
        <v>2035</v>
      </c>
      <c r="E104" s="808">
        <v>0.1</v>
      </c>
      <c r="F104" s="808">
        <v>15</v>
      </c>
    </row>
    <row r="105" spans="1:6" ht="24">
      <c r="A105" s="808">
        <v>31</v>
      </c>
      <c r="B105" s="3783"/>
      <c r="C105" s="797" t="s">
        <v>2036</v>
      </c>
      <c r="D105" s="797" t="s">
        <v>2037</v>
      </c>
      <c r="E105" s="808">
        <v>0.1</v>
      </c>
      <c r="F105" s="808">
        <v>15</v>
      </c>
    </row>
    <row r="106" spans="1:6" ht="24">
      <c r="A106" s="808">
        <v>32</v>
      </c>
      <c r="B106" s="3783"/>
      <c r="C106" s="797" t="s">
        <v>2038</v>
      </c>
      <c r="D106" s="797" t="s">
        <v>2039</v>
      </c>
      <c r="E106" s="808">
        <v>0.1</v>
      </c>
      <c r="F106" s="808">
        <v>15</v>
      </c>
    </row>
    <row r="107" spans="1:6" ht="24">
      <c r="A107" s="808">
        <v>33</v>
      </c>
      <c r="B107" s="3783"/>
      <c r="C107" s="797" t="s">
        <v>2040</v>
      </c>
      <c r="D107" s="797" t="s">
        <v>2041</v>
      </c>
      <c r="E107" s="808">
        <v>0.1</v>
      </c>
      <c r="F107" s="808">
        <v>15</v>
      </c>
    </row>
    <row r="108" spans="1:6" ht="24">
      <c r="A108" s="808">
        <v>34</v>
      </c>
      <c r="B108" s="3786"/>
      <c r="C108" s="797" t="s">
        <v>2042</v>
      </c>
      <c r="D108" s="797" t="s">
        <v>2043</v>
      </c>
      <c r="E108" s="808">
        <v>0.1</v>
      </c>
      <c r="F108" s="808">
        <v>15</v>
      </c>
    </row>
    <row r="109" spans="1:6" ht="24">
      <c r="A109" s="808">
        <v>35</v>
      </c>
      <c r="B109" s="3784" t="s">
        <v>2044</v>
      </c>
      <c r="C109" s="808" t="s">
        <v>2045</v>
      </c>
      <c r="D109" s="797" t="s">
        <v>2046</v>
      </c>
      <c r="E109" s="808">
        <v>0.15</v>
      </c>
      <c r="F109" s="808">
        <v>20</v>
      </c>
    </row>
    <row r="110" spans="1:6" ht="13.5">
      <c r="A110" s="808">
        <v>36</v>
      </c>
      <c r="B110" s="3783"/>
      <c r="C110" s="808" t="s">
        <v>2047</v>
      </c>
      <c r="D110" s="797" t="s">
        <v>2048</v>
      </c>
      <c r="E110" s="808">
        <v>0.15</v>
      </c>
      <c r="F110" s="808">
        <v>20</v>
      </c>
    </row>
    <row r="111" spans="1:6" ht="13.5">
      <c r="A111" s="808">
        <v>37</v>
      </c>
      <c r="B111" s="3783"/>
      <c r="C111" s="808" t="s">
        <v>2049</v>
      </c>
      <c r="D111" s="797" t="s">
        <v>2050</v>
      </c>
      <c r="E111" s="808">
        <v>0.15</v>
      </c>
      <c r="F111" s="808">
        <v>20</v>
      </c>
    </row>
    <row r="112" spans="1:6" ht="13.5">
      <c r="A112" s="808">
        <v>38</v>
      </c>
      <c r="B112" s="3783"/>
      <c r="C112" s="808" t="s">
        <v>2051</v>
      </c>
      <c r="D112" s="797" t="s">
        <v>2052</v>
      </c>
      <c r="E112" s="808">
        <v>0.1</v>
      </c>
      <c r="F112" s="808">
        <v>15</v>
      </c>
    </row>
    <row r="113" spans="1:6" ht="24">
      <c r="A113" s="808">
        <v>39</v>
      </c>
      <c r="B113" s="3783"/>
      <c r="C113" s="808" t="s">
        <v>2053</v>
      </c>
      <c r="D113" s="797" t="s">
        <v>2054</v>
      </c>
      <c r="E113" s="808">
        <v>0.1</v>
      </c>
      <c r="F113" s="808">
        <v>15</v>
      </c>
    </row>
    <row r="114" spans="1:6" ht="24">
      <c r="A114" s="808">
        <v>40</v>
      </c>
      <c r="B114" s="3786"/>
      <c r="C114" s="808" t="s">
        <v>2055</v>
      </c>
      <c r="D114" s="797" t="s">
        <v>2056</v>
      </c>
      <c r="E114" s="808">
        <v>0.1</v>
      </c>
      <c r="F114" s="808">
        <v>15</v>
      </c>
    </row>
    <row r="115" spans="1:6" ht="13.5">
      <c r="A115" s="808">
        <v>41</v>
      </c>
      <c r="B115" s="3780" t="s">
        <v>2057</v>
      </c>
      <c r="C115" s="808" t="s">
        <v>2058</v>
      </c>
      <c r="D115" s="797" t="s">
        <v>2059</v>
      </c>
      <c r="E115" s="808">
        <v>0.1</v>
      </c>
      <c r="F115" s="808">
        <v>15</v>
      </c>
    </row>
    <row r="116" spans="1:6" ht="13.5">
      <c r="A116" s="808">
        <v>42</v>
      </c>
      <c r="B116" s="3780"/>
      <c r="C116" s="808" t="s">
        <v>2060</v>
      </c>
      <c r="D116" s="797" t="s">
        <v>2061</v>
      </c>
      <c r="E116" s="808">
        <v>0.1</v>
      </c>
      <c r="F116" s="808">
        <v>15</v>
      </c>
    </row>
    <row r="117" spans="1:6" ht="24">
      <c r="A117" s="808">
        <v>43</v>
      </c>
      <c r="B117" s="3780"/>
      <c r="C117" s="808" t="s">
        <v>2062</v>
      </c>
      <c r="D117" s="797" t="s">
        <v>2063</v>
      </c>
      <c r="E117" s="808">
        <v>0.1</v>
      </c>
      <c r="F117" s="808">
        <v>15</v>
      </c>
    </row>
    <row r="118" spans="1:6" ht="13.5">
      <c r="A118" s="808">
        <v>44</v>
      </c>
      <c r="B118" s="3784" t="s">
        <v>2064</v>
      </c>
      <c r="C118" s="808" t="s">
        <v>2065</v>
      </c>
      <c r="D118" s="797" t="s">
        <v>2066</v>
      </c>
      <c r="E118" s="808">
        <v>0.1</v>
      </c>
      <c r="F118" s="808">
        <v>15</v>
      </c>
    </row>
    <row r="119" spans="1:6" ht="24">
      <c r="A119" s="808">
        <v>45</v>
      </c>
      <c r="B119" s="3786"/>
      <c r="C119" s="797" t="s">
        <v>2067</v>
      </c>
      <c r="D119" s="797" t="s">
        <v>2068</v>
      </c>
      <c r="E119" s="808">
        <v>0.1</v>
      </c>
      <c r="F119" s="808">
        <v>15</v>
      </c>
    </row>
    <row r="120" spans="1:6" ht="24">
      <c r="A120" s="808">
        <v>46</v>
      </c>
      <c r="B120" s="3784" t="s">
        <v>2069</v>
      </c>
      <c r="C120" s="808" t="s">
        <v>2070</v>
      </c>
      <c r="D120" s="797" t="s">
        <v>2071</v>
      </c>
      <c r="E120" s="808">
        <v>0.1</v>
      </c>
      <c r="F120" s="808">
        <v>15</v>
      </c>
    </row>
    <row r="121" spans="1:6" ht="24">
      <c r="A121" s="808">
        <v>47</v>
      </c>
      <c r="B121" s="3786"/>
      <c r="C121" s="808" t="s">
        <v>2072</v>
      </c>
      <c r="D121" s="797" t="s">
        <v>2073</v>
      </c>
      <c r="E121" s="808">
        <v>0.1</v>
      </c>
      <c r="F121" s="808">
        <v>15</v>
      </c>
    </row>
    <row r="122" spans="1:6" ht="13.5">
      <c r="A122" s="808">
        <v>48</v>
      </c>
      <c r="B122" s="3784" t="s">
        <v>2074</v>
      </c>
      <c r="C122" s="808" t="s">
        <v>2075</v>
      </c>
      <c r="D122" s="797" t="s">
        <v>2076</v>
      </c>
      <c r="E122" s="808">
        <v>0.1</v>
      </c>
      <c r="F122" s="808">
        <v>15</v>
      </c>
    </row>
    <row r="123" spans="1:6" ht="13.5">
      <c r="A123" s="808">
        <v>49</v>
      </c>
      <c r="B123" s="3786"/>
      <c r="C123" s="808" t="s">
        <v>2077</v>
      </c>
      <c r="D123" s="797" t="s">
        <v>2078</v>
      </c>
      <c r="E123" s="808">
        <v>0.1</v>
      </c>
      <c r="F123" s="808">
        <v>15</v>
      </c>
    </row>
    <row r="124" spans="1:6" ht="24">
      <c r="A124" s="808">
        <v>50</v>
      </c>
      <c r="B124" s="3780" t="s">
        <v>2079</v>
      </c>
      <c r="C124" s="808" t="s">
        <v>2080</v>
      </c>
      <c r="D124" s="797" t="s">
        <v>2081</v>
      </c>
      <c r="E124" s="808">
        <v>0.1</v>
      </c>
      <c r="F124" s="808">
        <v>15</v>
      </c>
    </row>
    <row r="125" spans="1:6" ht="24">
      <c r="A125" s="808">
        <v>51</v>
      </c>
      <c r="B125" s="3780"/>
      <c r="C125" s="808" t="s">
        <v>2082</v>
      </c>
      <c r="D125" s="797" t="s">
        <v>2083</v>
      </c>
      <c r="E125" s="808">
        <v>0.1</v>
      </c>
      <c r="F125" s="808">
        <v>15</v>
      </c>
    </row>
    <row r="126" spans="1:6" ht="24">
      <c r="A126" s="808">
        <v>52</v>
      </c>
      <c r="B126" s="3780" t="s">
        <v>2084</v>
      </c>
      <c r="C126" s="808" t="s">
        <v>2085</v>
      </c>
      <c r="D126" s="797" t="s">
        <v>2086</v>
      </c>
      <c r="E126" s="808">
        <v>0.1</v>
      </c>
      <c r="F126" s="808">
        <v>15</v>
      </c>
    </row>
    <row r="127" spans="1:6" ht="24">
      <c r="A127" s="808">
        <v>53</v>
      </c>
      <c r="B127" s="3780"/>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80" t="s">
        <v>2092</v>
      </c>
      <c r="C129" s="808" t="s">
        <v>2093</v>
      </c>
      <c r="D129" s="797" t="s">
        <v>2094</v>
      </c>
      <c r="E129" s="808">
        <v>0.1</v>
      </c>
      <c r="F129" s="808">
        <v>15</v>
      </c>
    </row>
    <row r="130" spans="1:6" ht="13.5">
      <c r="A130" s="808">
        <v>56</v>
      </c>
      <c r="B130" s="3780"/>
      <c r="C130" s="808" t="s">
        <v>2095</v>
      </c>
      <c r="D130" s="797" t="s">
        <v>2096</v>
      </c>
      <c r="E130" s="808">
        <v>0.1</v>
      </c>
      <c r="F130" s="808">
        <v>15</v>
      </c>
    </row>
    <row r="131" spans="1:6" ht="24">
      <c r="A131" s="808">
        <v>57</v>
      </c>
      <c r="B131" s="3780"/>
      <c r="C131" s="808" t="s">
        <v>2097</v>
      </c>
      <c r="D131" s="797" t="s">
        <v>2098</v>
      </c>
      <c r="E131" s="808">
        <v>0.1</v>
      </c>
      <c r="F131" s="808">
        <v>15</v>
      </c>
    </row>
    <row r="132" spans="1:6" ht="24">
      <c r="A132" s="808">
        <v>58</v>
      </c>
      <c r="B132" s="3780" t="s">
        <v>2099</v>
      </c>
      <c r="C132" s="808" t="s">
        <v>2100</v>
      </c>
      <c r="D132" s="797" t="s">
        <v>2101</v>
      </c>
      <c r="E132" s="808">
        <v>0.1</v>
      </c>
      <c r="F132" s="808">
        <v>15</v>
      </c>
    </row>
    <row r="133" spans="1:6" ht="13.5">
      <c r="A133" s="808">
        <v>59</v>
      </c>
      <c r="B133" s="3780"/>
      <c r="C133" s="808" t="s">
        <v>2102</v>
      </c>
      <c r="D133" s="797" t="s">
        <v>2103</v>
      </c>
      <c r="E133" s="808">
        <v>0.1</v>
      </c>
      <c r="F133" s="808">
        <v>15</v>
      </c>
    </row>
    <row r="134" spans="1:6" ht="13.5">
      <c r="A134" s="808">
        <v>60</v>
      </c>
      <c r="B134" s="3784" t="s">
        <v>2104</v>
      </c>
      <c r="C134" s="808" t="s">
        <v>2105</v>
      </c>
      <c r="D134" s="797" t="s">
        <v>2106</v>
      </c>
      <c r="E134" s="808">
        <v>0.1</v>
      </c>
      <c r="F134" s="808">
        <v>15</v>
      </c>
    </row>
    <row r="135" spans="1:6" ht="13.5">
      <c r="A135" s="808">
        <v>61</v>
      </c>
      <c r="B135" s="3786"/>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80" t="s">
        <v>2112</v>
      </c>
      <c r="C137" s="808" t="s">
        <v>2113</v>
      </c>
      <c r="D137" s="797" t="s">
        <v>2114</v>
      </c>
      <c r="E137" s="808">
        <v>0.1</v>
      </c>
      <c r="F137" s="808">
        <v>15</v>
      </c>
    </row>
    <row r="138" spans="1:6" ht="13.5">
      <c r="A138" s="808">
        <v>64</v>
      </c>
      <c r="B138" s="3780"/>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27840</v>
      </c>
      <c r="C2" s="687" t="s">
        <v>2134</v>
      </c>
      <c r="D2" s="684"/>
      <c r="E2" s="684"/>
      <c r="F2" s="684"/>
      <c r="G2" s="684"/>
    </row>
    <row r="3" spans="1:7" s="674" customFormat="1" ht="18" customHeight="1">
      <c r="A3" s="688" t="s">
        <v>2135</v>
      </c>
      <c r="B3" s="689">
        <f ca="1">ROUND(B2*10000/'数据-汇总表'!E3,0)</f>
        <v>316587</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1038</v>
      </c>
      <c r="B5" s="694" t="s">
        <v>2137</v>
      </c>
      <c r="C5" s="695">
        <f>C6+C7+C8</f>
        <v>20610</v>
      </c>
      <c r="D5" s="695" t="s">
        <v>2138</v>
      </c>
      <c r="E5" s="696" t="s">
        <v>2139</v>
      </c>
      <c r="F5" s="696" t="s">
        <v>2140</v>
      </c>
      <c r="G5" s="697"/>
    </row>
    <row r="6" spans="1:7" s="676" customFormat="1" ht="13.5" customHeight="1">
      <c r="A6" s="698" t="s">
        <v>1042</v>
      </c>
      <c r="B6" s="699" t="s">
        <v>2141</v>
      </c>
      <c r="C6" s="700">
        <v>20000</v>
      </c>
      <c r="D6" s="701"/>
      <c r="E6" s="702"/>
      <c r="F6" s="702"/>
      <c r="G6" s="703"/>
    </row>
    <row r="7" spans="1:7" s="676" customFormat="1" ht="13.5" customHeight="1">
      <c r="A7" s="698" t="s">
        <v>1044</v>
      </c>
      <c r="B7" s="699" t="s">
        <v>2142</v>
      </c>
      <c r="C7" s="704">
        <f>ROUND(C6*F7,0)</f>
        <v>610</v>
      </c>
      <c r="D7" s="704"/>
      <c r="E7" s="702"/>
      <c r="F7" s="705">
        <f>'数据-取费表'!B48+'数据-取费表'!B49</f>
        <v>3.0499999999999999E-2</v>
      </c>
      <c r="G7" s="703"/>
    </row>
    <row r="8" spans="1:7" s="677" customFormat="1">
      <c r="A8" s="698" t="s">
        <v>1046</v>
      </c>
      <c r="B8" s="699" t="s">
        <v>2143</v>
      </c>
      <c r="C8" s="704" t="str">
        <f>IF(G8="已包含在土地购买价格中","0",'数据-取费表'!B29)</f>
        <v>0</v>
      </c>
      <c r="D8" s="706"/>
      <c r="E8" s="704"/>
      <c r="F8" s="705"/>
      <c r="G8" s="707" t="s">
        <v>2144</v>
      </c>
    </row>
    <row r="9" spans="1:7" s="676" customFormat="1" ht="13.5" customHeight="1">
      <c r="A9" s="708" t="s">
        <v>1048</v>
      </c>
      <c r="B9" s="709" t="s">
        <v>2145</v>
      </c>
      <c r="C9" s="710">
        <f>ROUND(D9*E9/10000,0)</f>
        <v>0</v>
      </c>
      <c r="D9" s="711">
        <f>'数据-汇总表'!E5</f>
        <v>0</v>
      </c>
      <c r="E9" s="710">
        <f>'数据-取费表'!B27</f>
        <v>0</v>
      </c>
      <c r="F9" s="705"/>
      <c r="G9" s="712"/>
    </row>
    <row r="10" spans="1:7" s="676" customFormat="1" ht="13.5" customHeight="1">
      <c r="A10" s="708" t="s">
        <v>1051</v>
      </c>
      <c r="B10" s="709" t="s">
        <v>2146</v>
      </c>
      <c r="C10" s="710">
        <f>ROUND(D10*E10/10000,0)</f>
        <v>18</v>
      </c>
      <c r="D10" s="711">
        <f>'数据-汇总表'!E6</f>
        <v>879.38</v>
      </c>
      <c r="E10" s="710">
        <f>'数据-取费表'!B28</f>
        <v>200</v>
      </c>
      <c r="F10" s="705"/>
      <c r="G10" s="712"/>
    </row>
    <row r="11" spans="1:7" s="676" customFormat="1" ht="13.5" hidden="1" customHeight="1">
      <c r="A11" s="713" t="s">
        <v>1053</v>
      </c>
      <c r="B11" s="699" t="s">
        <v>2147</v>
      </c>
      <c r="C11" s="695"/>
      <c r="D11" s="714"/>
      <c r="E11" s="702"/>
      <c r="F11" s="702"/>
      <c r="G11" s="703"/>
    </row>
    <row r="12" spans="1:7" s="676" customFormat="1" ht="13.5" hidden="1" customHeight="1">
      <c r="A12" s="713" t="s">
        <v>1055</v>
      </c>
      <c r="B12" s="699" t="s">
        <v>2148</v>
      </c>
      <c r="C12" s="695">
        <v>0</v>
      </c>
      <c r="D12" s="714"/>
      <c r="E12" s="715"/>
      <c r="F12" s="705">
        <v>3.0499999999999999E-2</v>
      </c>
      <c r="G12" s="703"/>
    </row>
    <row r="13" spans="1:7" s="676" customFormat="1" ht="13.5" hidden="1" customHeight="1">
      <c r="A13" s="713" t="s">
        <v>1056</v>
      </c>
      <c r="B13" s="699" t="s">
        <v>2149</v>
      </c>
      <c r="C13" s="695"/>
      <c r="D13" s="714"/>
      <c r="E13" s="702"/>
      <c r="F13" s="702"/>
      <c r="G13" s="703"/>
    </row>
    <row r="14" spans="1:7" s="676" customFormat="1" ht="13.5" hidden="1" customHeight="1">
      <c r="A14" s="713" t="s">
        <v>1058</v>
      </c>
      <c r="B14" s="699" t="s">
        <v>2143</v>
      </c>
      <c r="C14" s="695"/>
      <c r="D14" s="714"/>
      <c r="E14" s="702"/>
      <c r="F14" s="702"/>
      <c r="G14" s="703" t="s">
        <v>2150</v>
      </c>
    </row>
    <row r="15" spans="1:7" s="676" customFormat="1" ht="13.5" hidden="1" customHeight="1">
      <c r="A15" s="713" t="s">
        <v>1060</v>
      </c>
      <c r="B15" s="699" t="s">
        <v>2151</v>
      </c>
      <c r="C15" s="704"/>
      <c r="D15" s="714"/>
      <c r="E15" s="702"/>
      <c r="F15" s="702"/>
      <c r="G15" s="703" t="s">
        <v>2152</v>
      </c>
    </row>
    <row r="16" spans="1:7" s="676" customFormat="1" ht="13.5" hidden="1" customHeight="1">
      <c r="A16" s="713" t="s">
        <v>1063</v>
      </c>
      <c r="B16" s="699" t="s">
        <v>2143</v>
      </c>
      <c r="C16" s="704"/>
      <c r="D16" s="714"/>
      <c r="E16" s="702"/>
      <c r="F16" s="702"/>
      <c r="G16" s="703"/>
    </row>
    <row r="17" spans="1:7" s="676" customFormat="1" ht="13.5" hidden="1" customHeight="1">
      <c r="A17" s="713" t="s">
        <v>1064</v>
      </c>
      <c r="B17" s="699" t="s">
        <v>2153</v>
      </c>
      <c r="C17" s="716"/>
      <c r="D17" s="717"/>
      <c r="E17" s="716"/>
      <c r="F17" s="716"/>
      <c r="G17" s="703" t="s">
        <v>2152</v>
      </c>
    </row>
    <row r="18" spans="1:7" s="676" customFormat="1" ht="13.5" hidden="1" customHeight="1">
      <c r="A18" s="713" t="s">
        <v>1066</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879.38</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949</v>
      </c>
      <c r="D22" s="723">
        <f ca="1">C26</f>
        <v>4.0000000000000002E-4</v>
      </c>
      <c r="E22" s="724" t="s">
        <v>2161</v>
      </c>
      <c r="F22" s="727">
        <f ca="1">'数据-取费表'!B40</f>
        <v>0.03</v>
      </c>
      <c r="G22" s="722" t="str">
        <f>IF('数据-取费表'!B22&lt;=1,"单利计息","复利计息")</f>
        <v>复利计息</v>
      </c>
    </row>
    <row r="23" spans="1:7" s="676" customFormat="1" ht="13.5" customHeight="1">
      <c r="A23" s="728" t="s">
        <v>1042</v>
      </c>
      <c r="B23" s="699" t="s">
        <v>2164</v>
      </c>
      <c r="C23" s="729">
        <f ca="1">ROUND(IF('数据-取费表'!B22&lt;=1,C5*F22*'数据-取费表'!B23,C5*(POWER((1+F22),'数据-取费表'!B23)-1)),0)</f>
        <v>934</v>
      </c>
      <c r="D23" s="410"/>
      <c r="E23" s="410"/>
      <c r="F23" s="730"/>
      <c r="G23" s="731" t="s">
        <v>2165</v>
      </c>
    </row>
    <row r="24" spans="1:7" s="676" customFormat="1" ht="13.5" customHeight="1">
      <c r="A24" s="728" t="s">
        <v>1044</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1046</v>
      </c>
      <c r="B25" s="699" t="s">
        <v>2168</v>
      </c>
      <c r="C25" s="729">
        <f ca="1">ROUND(IF('数据-取费表'!B22&lt;=1,C20*F22*'数据-取费表'!B23/2,C20*(POWER((1+F22),'数据-取费表'!B23/2)-1)),0)</f>
        <v>14</v>
      </c>
      <c r="D25" s="410"/>
      <c r="E25" s="732"/>
      <c r="F25" s="730"/>
      <c r="G25" s="733" t="s">
        <v>2169</v>
      </c>
    </row>
    <row r="26" spans="1:7" s="676" customFormat="1">
      <c r="A26" s="728" t="s">
        <v>1086</v>
      </c>
      <c r="B26" s="699" t="s">
        <v>2170</v>
      </c>
      <c r="C26" s="410">
        <f ca="1">ROUND(IF('数据-取费表'!B22&lt;=1,F21*F22*'数据-取费表'!B23/2,F21*(POWER((1+F22),'数据-取费表'!B23/2)-1)),4)</f>
        <v>4.0000000000000002E-4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1042</v>
      </c>
      <c r="B28" s="739" t="s">
        <v>2173</v>
      </c>
      <c r="C28" s="740">
        <f>ROUND((C5+C19+C20)*F27*'数据-取费表'!B21/'数据-取费表'!B20,0)</f>
        <v>3187</v>
      </c>
      <c r="D28" s="723"/>
      <c r="E28" s="724"/>
      <c r="F28" s="737"/>
      <c r="G28" s="738"/>
    </row>
    <row r="29" spans="1:7" s="676" customFormat="1" ht="13.5" customHeight="1">
      <c r="A29" s="728" t="s">
        <v>1044</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27464</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1038</v>
      </c>
      <c r="B33" s="694" t="s">
        <v>2182</v>
      </c>
      <c r="C33" s="747">
        <f>SUM(C34:C38)</f>
        <v>347</v>
      </c>
      <c r="D33" s="405"/>
      <c r="E33" s="696"/>
      <c r="F33" s="732"/>
      <c r="G33" s="725"/>
    </row>
    <row r="34" spans="1:7" s="242" customFormat="1" ht="13.5" customHeight="1">
      <c r="A34" s="728" t="s">
        <v>1042</v>
      </c>
      <c r="B34" s="699" t="s">
        <v>2183</v>
      </c>
      <c r="C34" s="704">
        <f>IF(F34=100%,'数据-取费表'!M16-SUMIF('数据-取费表'!C:C,"公共配套",'数据-取费表'!M:M),'数据-取费表'!O16-SUMIF('数据-取费表'!C:C,"公共配套",'数据-取费表'!O:O))</f>
        <v>308</v>
      </c>
      <c r="D34" s="701"/>
      <c r="E34" s="704"/>
      <c r="F34" s="748">
        <f>IF('数据-取费表'!B24=0,1,'数据-取费表'!N16)</f>
        <v>1</v>
      </c>
      <c r="G34" s="703" t="s">
        <v>2184</v>
      </c>
    </row>
    <row r="35" spans="1:7" ht="13.5" customHeight="1">
      <c r="A35" s="728" t="s">
        <v>1044</v>
      </c>
      <c r="B35" s="699" t="s">
        <v>2185</v>
      </c>
      <c r="C35" s="704">
        <f>ROUND(C34*F35,0)</f>
        <v>15</v>
      </c>
      <c r="D35" s="704"/>
      <c r="E35" s="704"/>
      <c r="F35" s="749">
        <f>'数据-取费表'!B33</f>
        <v>0.05</v>
      </c>
      <c r="G35" s="703" t="s">
        <v>2186</v>
      </c>
    </row>
    <row r="36" spans="1:7" ht="24">
      <c r="A36" s="728" t="s">
        <v>1046</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1086</v>
      </c>
      <c r="B37" s="699" t="s">
        <v>2189</v>
      </c>
      <c r="C37" s="740">
        <f>ROUND(E37*D37*F34/10000,0)</f>
        <v>18</v>
      </c>
      <c r="D37" s="701">
        <f>'数据-汇总表'!E3</f>
        <v>879.38</v>
      </c>
      <c r="E37" s="740">
        <f>'数据-取费表'!B35</f>
        <v>200</v>
      </c>
      <c r="F37" s="749"/>
      <c r="G37" s="751" t="s">
        <v>2190</v>
      </c>
    </row>
    <row r="38" spans="1:7" ht="13.5" customHeight="1">
      <c r="A38" s="728" t="s">
        <v>1108</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10</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8</v>
      </c>
      <c r="D41" s="723">
        <f ca="1">C44</f>
        <v>4.0000000000000002E-4</v>
      </c>
      <c r="E41" s="724" t="s">
        <v>2192</v>
      </c>
      <c r="F41" s="727"/>
      <c r="G41" s="722" t="str">
        <f>IF('数据-取费表'!B22&lt;=1,"单利计息","复利计息")</f>
        <v>复利计息</v>
      </c>
    </row>
    <row r="42" spans="1:7" ht="13.5" customHeight="1">
      <c r="A42" s="728" t="s">
        <v>1042</v>
      </c>
      <c r="B42" s="699" t="s">
        <v>2164</v>
      </c>
      <c r="C42" s="410">
        <f ca="1">ROUND(IF('数据-取费表'!B22&lt;=1,C33*F22*'数据-取费表'!B21/2,C33*(POWER((1+F22),'数据-取费表'!B21/2)-1)),0)</f>
        <v>8</v>
      </c>
      <c r="D42" s="410"/>
      <c r="E42" s="410"/>
      <c r="F42" s="730"/>
      <c r="G42" s="3648" t="s">
        <v>2194</v>
      </c>
    </row>
    <row r="43" spans="1:7" ht="13.5" customHeight="1">
      <c r="A43" s="728" t="s">
        <v>1044</v>
      </c>
      <c r="B43" s="699" t="s">
        <v>2166</v>
      </c>
      <c r="C43" s="410">
        <f ca="1">ROUND(IF('数据-取费表'!B22&lt;=1,C39*F22*'数据-取费表'!B21/2,C39*(POWER((1+F22),'数据-取费表'!B21/2)-1)),0)</f>
        <v>0</v>
      </c>
      <c r="D43" s="410"/>
      <c r="E43" s="410"/>
      <c r="F43" s="730"/>
      <c r="G43" s="3649"/>
    </row>
    <row r="44" spans="1:7" ht="13.5" customHeight="1">
      <c r="A44" s="728" t="s">
        <v>1046</v>
      </c>
      <c r="B44" s="699" t="s">
        <v>2168</v>
      </c>
      <c r="C44" s="410">
        <f ca="1">ROUND(IF('数据-取费表'!B22&lt;=1,C40*F22*'数据-取费表'!B21/2,C40*(POWER((1+F22),'数据-取费表'!B21/2)-1)),4)</f>
        <v>4.0000000000000002E-4</v>
      </c>
      <c r="D44" s="410"/>
      <c r="E44" s="410"/>
      <c r="F44" s="730"/>
      <c r="G44" s="3650"/>
    </row>
    <row r="45" spans="1:7" s="676" customFormat="1" ht="13.5" customHeight="1">
      <c r="A45" s="718" t="s">
        <v>1792</v>
      </c>
      <c r="B45" s="735" t="s">
        <v>2171</v>
      </c>
      <c r="C45" s="736">
        <f>C46</f>
        <v>54</v>
      </c>
      <c r="D45" s="723">
        <f>C47</f>
        <v>3.0000000000000001E-3</v>
      </c>
      <c r="E45" s="724" t="s">
        <v>2192</v>
      </c>
      <c r="F45" s="737"/>
      <c r="G45" s="738" t="s">
        <v>2195</v>
      </c>
    </row>
    <row r="46" spans="1:7" s="676" customFormat="1" ht="13.5" customHeight="1">
      <c r="A46" s="728" t="s">
        <v>1042</v>
      </c>
      <c r="B46" s="739" t="s">
        <v>2196</v>
      </c>
      <c r="C46" s="740">
        <f>ROUND((C33+C39)*F27,0)</f>
        <v>54</v>
      </c>
      <c r="D46" s="753"/>
      <c r="E46" s="724"/>
      <c r="F46" s="737"/>
      <c r="G46" s="738"/>
    </row>
    <row r="47" spans="1:7" s="676" customFormat="1" ht="13.5" customHeight="1">
      <c r="A47" s="728" t="s">
        <v>1044</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453</v>
      </c>
      <c r="D49" s="405"/>
      <c r="E49" s="405"/>
      <c r="F49" s="754"/>
      <c r="G49" s="725" t="s">
        <v>2201</v>
      </c>
    </row>
    <row r="50" spans="1:7" s="242" customFormat="1" ht="24">
      <c r="A50" s="718" t="s">
        <v>2202</v>
      </c>
      <c r="B50" s="694" t="s">
        <v>2203</v>
      </c>
      <c r="C50" s="405"/>
      <c r="D50" s="405"/>
      <c r="E50" s="405"/>
      <c r="F50" s="754">
        <f>IF('数据-取费表'!B24=0,'数据-取费表'!N16,1)</f>
        <v>0.83</v>
      </c>
      <c r="G50" s="738" t="s">
        <v>2204</v>
      </c>
    </row>
    <row r="51" spans="1:7" ht="16.5" customHeight="1">
      <c r="A51" s="718" t="s">
        <v>2205</v>
      </c>
      <c r="B51" s="694" t="s">
        <v>2206</v>
      </c>
      <c r="C51" s="405">
        <f ca="1">ROUND(C49*F50,0)</f>
        <v>376</v>
      </c>
      <c r="D51" s="405"/>
      <c r="E51" s="405"/>
      <c r="F51" s="754"/>
      <c r="G51" s="725" t="s">
        <v>2207</v>
      </c>
    </row>
    <row r="52" spans="1:7" s="675" customFormat="1" ht="15.75">
      <c r="A52" s="755" t="s">
        <v>2208</v>
      </c>
      <c r="B52" s="756"/>
      <c r="C52" s="757">
        <f ca="1">C31+C51</f>
        <v>27840</v>
      </c>
      <c r="D52" s="756"/>
      <c r="E52" s="756"/>
      <c r="F52" s="756"/>
      <c r="G52" s="758"/>
    </row>
    <row r="55" spans="1:7" ht="15">
      <c r="B55" s="533" t="s">
        <v>2209</v>
      </c>
      <c r="C55" s="759"/>
    </row>
    <row r="56" spans="1:7">
      <c r="B56" s="525" t="s">
        <v>2210</v>
      </c>
      <c r="C56" s="535">
        <f ca="1">ROUND(C51/C52,3)</f>
        <v>1.4E-2</v>
      </c>
    </row>
    <row r="57" spans="1:7">
      <c r="B57" s="525" t="s">
        <v>2211</v>
      </c>
      <c r="C57" s="536">
        <f ca="1">1-C56</f>
        <v>0.98599999999999999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87" t="s">
        <v>2212</v>
      </c>
      <c r="B1" s="3787"/>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1648</v>
      </c>
      <c r="E5" s="3413"/>
    </row>
    <row r="6" spans="1:5" ht="15.75">
      <c r="A6" s="3413"/>
      <c r="B6" s="3467"/>
      <c r="C6" s="3415" t="s">
        <v>98</v>
      </c>
      <c r="D6" s="3416" t="str">
        <f ca="1">NUMBERSTRING(INT(D5*10000),2)&amp;"元整"</f>
        <v>壹仟陆佰肆拾捌万元整</v>
      </c>
      <c r="E6" s="3413"/>
    </row>
    <row r="7" spans="1:5" ht="15.75">
      <c r="A7" s="3413"/>
      <c r="B7" s="3468"/>
      <c r="C7" s="3417" t="s">
        <v>99</v>
      </c>
      <c r="D7" s="3418">
        <f ca="1">结果表!H102</f>
        <v>18738</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1648</v>
      </c>
      <c r="E13" s="3413"/>
    </row>
    <row r="14" spans="1:5" ht="15.75">
      <c r="A14" s="3413"/>
      <c r="B14" s="3467"/>
      <c r="C14" s="3415" t="s">
        <v>98</v>
      </c>
      <c r="D14" s="3416" t="str">
        <f ca="1">NUMBERSTRING(INT(D13*10000),2)&amp;"元整"</f>
        <v>壹仟陆佰肆拾捌万元整</v>
      </c>
      <c r="E14" s="3413"/>
    </row>
    <row r="15" spans="1:5" ht="15">
      <c r="A15" s="3413"/>
      <c r="B15" s="3468"/>
      <c r="C15" s="3417" t="s">
        <v>99</v>
      </c>
      <c r="D15" s="3425">
        <f ca="1">结果表!H108</f>
        <v>18738</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88" t="s">
        <v>2595</v>
      </c>
      <c r="B1" s="3788"/>
      <c r="C1" s="3788"/>
      <c r="D1" s="3788"/>
      <c r="E1" s="3788"/>
      <c r="F1" s="3789"/>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45874</v>
      </c>
      <c r="B1" s="548" t="s">
        <v>2600</v>
      </c>
      <c r="C1" s="549"/>
      <c r="D1" s="549"/>
      <c r="E1" s="549"/>
      <c r="F1" s="549"/>
      <c r="G1" s="549"/>
      <c r="H1" s="549"/>
      <c r="I1" s="549"/>
      <c r="J1" s="575"/>
      <c r="K1" s="549" t="s">
        <v>2601</v>
      </c>
      <c r="L1" s="549"/>
      <c r="M1" s="549"/>
      <c r="N1" s="549"/>
      <c r="O1" s="549"/>
      <c r="P1" s="549"/>
      <c r="Q1" s="575"/>
      <c r="R1" s="3790" t="s">
        <v>2602</v>
      </c>
      <c r="S1" s="3791"/>
      <c r="T1" s="3791"/>
      <c r="U1" s="3791"/>
      <c r="V1" s="3791"/>
      <c r="W1" s="3791"/>
      <c r="X1" s="575"/>
      <c r="Y1" s="3790" t="s">
        <v>2603</v>
      </c>
      <c r="Z1" s="3791"/>
      <c r="AA1" s="3791"/>
      <c r="AB1" s="3791"/>
      <c r="AC1" s="3791"/>
      <c r="AD1" s="3791"/>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1473</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0" t="s">
        <v>2602</v>
      </c>
      <c r="S29" s="3791"/>
      <c r="T29" s="3791"/>
      <c r="U29" s="3791"/>
      <c r="V29" s="3791"/>
      <c r="W29" s="3791"/>
      <c r="X29" s="575"/>
      <c r="Y29" s="3790" t="s">
        <v>2603</v>
      </c>
      <c r="Z29" s="3791"/>
      <c r="AA29" s="3791"/>
      <c r="AB29" s="3791"/>
      <c r="AC29" s="3791"/>
      <c r="AD29" s="3791"/>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L46" sqref="L46"/>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t="s">
        <v>230</v>
      </c>
      <c r="D1" s="248" t="s">
        <v>124</v>
      </c>
      <c r="E1" s="249" t="s">
        <v>1189</v>
      </c>
      <c r="F1" s="250">
        <f ca="1">J53</f>
        <v>34.47</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54">
        <f ca="1">ROUND(D2/10000,4)</f>
        <v>1029.0363</v>
      </c>
      <c r="C2" s="255" t="s">
        <v>1191</v>
      </c>
      <c r="D2" s="256">
        <f ca="1">C40+J29+L46</f>
        <v>10290363</v>
      </c>
      <c r="E2" s="257" t="s">
        <v>2629</v>
      </c>
      <c r="F2" s="258"/>
      <c r="G2" s="259"/>
      <c r="H2" s="260"/>
      <c r="I2" s="260"/>
      <c r="J2" s="260"/>
      <c r="K2" s="426"/>
      <c r="L2" s="260"/>
      <c r="M2" s="260"/>
    </row>
    <row r="3" spans="1:37" ht="18" customHeight="1">
      <c r="A3" s="261" t="s">
        <v>1192</v>
      </c>
      <c r="B3" s="262">
        <f ca="1">IF(ISERROR(D2/F43),0,ROUND(D2/F43,0))</f>
        <v>11702</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682922</v>
      </c>
      <c r="D5" s="271" t="s">
        <v>1201</v>
      </c>
      <c r="E5" s="272"/>
      <c r="F5" s="273"/>
      <c r="G5" s="241"/>
      <c r="H5" s="268">
        <v>1</v>
      </c>
      <c r="I5" s="269" t="s">
        <v>1200</v>
      </c>
      <c r="J5" s="270">
        <f ca="1">J6+J10+J12</f>
        <v>0</v>
      </c>
      <c r="K5" s="271" t="s">
        <v>1201</v>
      </c>
      <c r="L5" s="272"/>
      <c r="M5" s="273"/>
    </row>
    <row r="6" spans="1:37" ht="18" customHeight="1">
      <c r="A6" s="274" t="s">
        <v>943</v>
      </c>
      <c r="B6" s="3653" t="s">
        <v>1202</v>
      </c>
      <c r="C6" s="275">
        <f ca="1">ROUND(F6*F8*F7*(1-F9),0)</f>
        <v>682069</v>
      </c>
      <c r="D6" s="276" t="s">
        <v>2630</v>
      </c>
      <c r="E6" s="277" t="s">
        <v>1204</v>
      </c>
      <c r="F6" s="278">
        <f ca="1">INDIRECT("'数据-取费表'!u"&amp;$G$1)</f>
        <v>2.5</v>
      </c>
      <c r="G6" s="241"/>
      <c r="H6" s="274" t="s">
        <v>943</v>
      </c>
      <c r="I6" s="3653" t="s">
        <v>1202</v>
      </c>
      <c r="J6" s="352">
        <f ca="1">ROUND(M6*M8*M7*(1-M9),0)</f>
        <v>0</v>
      </c>
      <c r="K6" s="429" t="s">
        <v>2631</v>
      </c>
      <c r="L6" s="277" t="s">
        <v>1204</v>
      </c>
      <c r="M6" s="278">
        <f ca="1">INDIRECT("'数据-取费表'!z"&amp;$G$1)</f>
        <v>0</v>
      </c>
    </row>
    <row r="7" spans="1:37" ht="18" customHeight="1">
      <c r="A7" s="279"/>
      <c r="B7" s="3654"/>
      <c r="C7" s="280"/>
      <c r="D7" s="281"/>
      <c r="E7" s="282" t="s">
        <v>1206</v>
      </c>
      <c r="F7" s="278">
        <f ca="1">IF(INDIRECT("'数据-取费表'!ah"&amp;$G$1)="",INDIRECT("'数据-取费表'!k"&amp;$G$1),INDIRECT("'数据-取费表'!ah"&amp;$G$1))</f>
        <v>879.38</v>
      </c>
      <c r="G7" s="241"/>
      <c r="H7" s="283"/>
      <c r="I7" s="3654"/>
      <c r="J7" s="284"/>
      <c r="K7" s="281"/>
      <c r="L7" s="277" t="s">
        <v>1206</v>
      </c>
      <c r="M7" s="278">
        <f ca="1">F7</f>
        <v>879.38</v>
      </c>
    </row>
    <row r="8" spans="1:37" ht="18" customHeight="1">
      <c r="A8" s="283"/>
      <c r="B8" s="3654"/>
      <c r="C8" s="284"/>
      <c r="D8" s="281"/>
      <c r="E8" s="277" t="s">
        <v>1207</v>
      </c>
      <c r="F8" s="278">
        <f ca="1">INDIRECT("'数据-取费表'!ai"&amp;$G$1)</f>
        <v>365</v>
      </c>
      <c r="G8" s="241"/>
      <c r="H8" s="283"/>
      <c r="I8" s="3654"/>
      <c r="J8" s="284"/>
      <c r="K8" s="281"/>
      <c r="L8" s="277" t="s">
        <v>1207</v>
      </c>
      <c r="M8" s="278">
        <f ca="1">INDIRECT("'数据-取费表'!ai"&amp;$G$1)</f>
        <v>365</v>
      </c>
    </row>
    <row r="9" spans="1:37" ht="18" customHeight="1">
      <c r="A9" s="283"/>
      <c r="B9" s="3655"/>
      <c r="C9" s="284"/>
      <c r="D9" s="281"/>
      <c r="E9" s="277" t="s">
        <v>1208</v>
      </c>
      <c r="F9" s="285">
        <f ca="1">INDIRECT("'数据-取费表'!w"&amp;$G$1)</f>
        <v>0.15</v>
      </c>
      <c r="G9" s="241"/>
      <c r="H9" s="283"/>
      <c r="I9" s="3655"/>
      <c r="J9" s="284"/>
      <c r="K9" s="281"/>
      <c r="L9" s="289" t="s">
        <v>1208</v>
      </c>
      <c r="M9" s="294">
        <f ca="1">INDIRECT("'数据-取费表'!ab"&amp;$G$1)</f>
        <v>0</v>
      </c>
    </row>
    <row r="10" spans="1:37" ht="18" customHeight="1">
      <c r="A10" s="274" t="s">
        <v>947</v>
      </c>
      <c r="B10" s="286" t="s">
        <v>1209</v>
      </c>
      <c r="C10" s="287">
        <f ca="1">ROUND(IF(F10="押一",C6/12*F11,IF(F10="押二",C6/12*2*F11,IF(F10="押三",C6/12*3*F11,C11*F11))),0)</f>
        <v>853</v>
      </c>
      <c r="D10" s="288" t="s">
        <v>1210</v>
      </c>
      <c r="E10" s="289" t="s">
        <v>1211</v>
      </c>
      <c r="F10" s="290" t="s">
        <v>2632</v>
      </c>
      <c r="G10" s="241"/>
      <c r="H10" s="274" t="s">
        <v>947</v>
      </c>
      <c r="I10" s="286" t="s">
        <v>1209</v>
      </c>
      <c r="J10" s="352">
        <f ca="1">ROUND(IF(M10="押一",J6/12*M11,IF(M10="押二",J6/12*2*M11,IF(M10="押三",J6/12*3*M11,J11*M11))),0)</f>
        <v>0</v>
      </c>
      <c r="K10" s="430" t="s">
        <v>2633</v>
      </c>
      <c r="L10" s="289" t="s">
        <v>1211</v>
      </c>
      <c r="M10" s="290"/>
    </row>
    <row r="11" spans="1:37" ht="18" customHeight="1">
      <c r="A11" s="291"/>
      <c r="B11" s="292" t="s">
        <v>2634</v>
      </c>
      <c r="C11" s="293"/>
      <c r="D11" s="281"/>
      <c r="E11" s="289" t="s">
        <v>1213</v>
      </c>
      <c r="F11" s="294">
        <f ca="1">'数据-取费表'!B39</f>
        <v>1.4999999999999999E-2</v>
      </c>
      <c r="G11" s="241"/>
      <c r="H11" s="295"/>
      <c r="I11" s="292" t="s">
        <v>2635</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3762315</v>
      </c>
      <c r="D13" s="305" t="s">
        <v>1216</v>
      </c>
      <c r="E13" s="305" t="s">
        <v>1217</v>
      </c>
      <c r="F13" s="306">
        <f ca="1">INDIRECT("'数据-取费表'!y"&amp;$G$1)</f>
        <v>0.83</v>
      </c>
      <c r="G13" s="241"/>
      <c r="H13" s="302">
        <v>2</v>
      </c>
      <c r="I13" s="303" t="s">
        <v>1215</v>
      </c>
      <c r="J13" s="435">
        <f ca="1">ROUND(J14*J15,0)</f>
        <v>0</v>
      </c>
      <c r="K13" s="330" t="s">
        <v>1216</v>
      </c>
      <c r="L13" s="436"/>
      <c r="M13" s="437"/>
    </row>
    <row r="14" spans="1:37" ht="18" customHeight="1">
      <c r="A14" s="307" t="s">
        <v>966</v>
      </c>
      <c r="B14" s="277" t="s">
        <v>1218</v>
      </c>
      <c r="C14" s="308">
        <f ca="1">ROUND(INDIRECT("'数据-取费表'!l"&amp;$G$1)*F43+'数据-取费表'!L14*INDIRECT("'数据-取费表'!S"&amp;$G$1),0)</f>
        <v>3077830</v>
      </c>
      <c r="D14" s="309" t="s">
        <v>1219</v>
      </c>
      <c r="E14" s="310"/>
      <c r="F14" s="311"/>
      <c r="G14" s="241"/>
      <c r="H14" s="307" t="s">
        <v>943</v>
      </c>
      <c r="I14" s="277" t="s">
        <v>1220</v>
      </c>
      <c r="J14" s="312">
        <f ca="1">C29</f>
        <v>4532910</v>
      </c>
      <c r="K14" s="438"/>
      <c r="L14" s="439"/>
      <c r="M14" s="440"/>
    </row>
    <row r="15" spans="1:37" s="240" customFormat="1" ht="18" customHeight="1">
      <c r="A15" s="307" t="s">
        <v>970</v>
      </c>
      <c r="B15" s="277" t="s">
        <v>1149</v>
      </c>
      <c r="C15" s="312">
        <f ca="1">ROUND(C14*F15,0)</f>
        <v>153892</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ROUND(INDIRECT("'数据-取费表'!l"&amp;$G$1)*F43*F16,0)</f>
        <v>0</v>
      </c>
      <c r="D16" s="277" t="s">
        <v>1221</v>
      </c>
      <c r="E16" s="277" t="s">
        <v>1222</v>
      </c>
      <c r="F16" s="317">
        <f ca="1">IF(INDIRECT("'数据-取费表'!c"&amp;$G$1)="住宅",'数据-取费表'!B34,0)</f>
        <v>0</v>
      </c>
      <c r="G16" s="241"/>
      <c r="H16" s="302" t="s">
        <v>1223</v>
      </c>
      <c r="I16" s="303" t="s">
        <v>1224</v>
      </c>
      <c r="J16" s="304">
        <f ca="1">ROUND(J17+J22+J23+J24,0)</f>
        <v>9066</v>
      </c>
      <c r="K16" s="330" t="s">
        <v>1225</v>
      </c>
      <c r="L16" s="331"/>
      <c r="M16" s="273"/>
    </row>
    <row r="17" spans="1:37" s="240" customFormat="1" ht="18" customHeight="1">
      <c r="A17" s="307" t="s">
        <v>1226</v>
      </c>
      <c r="B17" s="277" t="s">
        <v>1227</v>
      </c>
      <c r="C17" s="312">
        <f ca="1">ROUND(F17*(F43+INDIRECT("'数据-取费表'!S"&amp;$G$1)),0)</f>
        <v>175876</v>
      </c>
      <c r="D17" s="277" t="s">
        <v>1228</v>
      </c>
      <c r="E17" s="277" t="s">
        <v>1229</v>
      </c>
      <c r="F17" s="318">
        <f>'数据-取费表'!B35</f>
        <v>200</v>
      </c>
      <c r="G17" s="315"/>
      <c r="H17" s="307" t="s">
        <v>943</v>
      </c>
      <c r="I17" s="277" t="s">
        <v>1230</v>
      </c>
      <c r="J17" s="333">
        <f ca="1">ROUND(IF(AND(项目基本情况!B11="自然人",项目基本情况!B10="北京市"),J6*M17/(1+'数据-取费表'!C42),J18+J19+J20),0)</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61557</v>
      </c>
      <c r="D18" s="277" t="s">
        <v>1221</v>
      </c>
      <c r="E18" s="277" t="s">
        <v>1222</v>
      </c>
      <c r="F18" s="317">
        <f>'数据-取费表'!B36</f>
        <v>0.02</v>
      </c>
      <c r="G18" s="315"/>
      <c r="H18" s="307" t="s">
        <v>966</v>
      </c>
      <c r="I18" s="277" t="s">
        <v>1234</v>
      </c>
      <c r="J18" s="312">
        <f ca="1">ROUND(J6*M18/(1+'数据-取费表'!C42),0)</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3469155</v>
      </c>
      <c r="D19" s="319" t="s">
        <v>1237</v>
      </c>
      <c r="E19" s="320"/>
      <c r="F19" s="318"/>
      <c r="G19" s="241"/>
      <c r="H19" s="307" t="s">
        <v>970</v>
      </c>
      <c r="I19" s="277" t="s">
        <v>1238</v>
      </c>
      <c r="J19" s="312">
        <f ca="1">IF(K19="按租金收入计税",ROUND(J6*M19/(1+'数据-取费表'!C42),0),ROUND(C29*M19*0.7,0))</f>
        <v>0</v>
      </c>
      <c r="K19" s="337" t="s">
        <v>1239</v>
      </c>
      <c r="L19" s="277" t="s">
        <v>1222</v>
      </c>
      <c r="M19" s="317">
        <f>IF(K19="按租金收入计税",'数据-取费表'!B51,'数据-取费表'!B50)</f>
        <v>0.12</v>
      </c>
    </row>
    <row r="20" spans="1:37" s="240" customFormat="1" ht="18" customHeight="1">
      <c r="A20" s="307" t="s">
        <v>947</v>
      </c>
      <c r="B20" s="277" t="s">
        <v>1240</v>
      </c>
      <c r="C20" s="312">
        <f ca="1">ROUND(C19*F20,0)</f>
        <v>104075</v>
      </c>
      <c r="D20" s="321" t="s">
        <v>1241</v>
      </c>
      <c r="E20" s="277" t="s">
        <v>1222</v>
      </c>
      <c r="F20" s="317">
        <f>'数据-取费表'!B37</f>
        <v>0.03</v>
      </c>
      <c r="G20" s="315"/>
      <c r="H20" s="307" t="s">
        <v>973</v>
      </c>
      <c r="I20" s="276" t="s">
        <v>1242</v>
      </c>
      <c r="J20" s="339">
        <f ca="1">ROUND(M20*M21,0)</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ROUND(J14*M22,0)</f>
        <v>9066</v>
      </c>
      <c r="K22" s="334" t="s">
        <v>1251</v>
      </c>
      <c r="L22" s="277" t="s">
        <v>1222</v>
      </c>
      <c r="M22" s="346">
        <f ca="1">INDIRECT("'数据-取费表'!Ak"&amp;$G$1)</f>
        <v>2E-3</v>
      </c>
    </row>
    <row r="23" spans="1:37" s="240" customFormat="1" ht="18" customHeight="1">
      <c r="A23" s="307" t="s">
        <v>966</v>
      </c>
      <c r="B23" s="277" t="s">
        <v>1252</v>
      </c>
      <c r="C23" s="312">
        <f ca="1">IF('数据-取费表'!B22&lt;=1,ROUND(C19*F24*F23/2,0)+ROUND(C20*F24*F23/2,0),ROUND(C19*(POWER((1+F24),F23/2)-1),0)+ROUND(C20*(POWER((1+F24),F23/2)-1),0))</f>
        <v>80100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ROUND(J13*M23,0)</f>
        <v>0</v>
      </c>
      <c r="K23" s="334" t="s">
        <v>1255</v>
      </c>
      <c r="L23" s="277" t="s">
        <v>1222</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ROUND(J5*M24,0)</f>
        <v>0</v>
      </c>
      <c r="K24" s="327" t="s">
        <v>1258</v>
      </c>
      <c r="L24" s="300" t="s">
        <v>1222</v>
      </c>
      <c r="M24" s="301">
        <f ca="1">INDIRECT("'数据-取费表'!Am"&amp;$G$1)</f>
        <v>0.01</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999</v>
      </c>
      <c r="B25" s="277" t="s">
        <v>1259</v>
      </c>
      <c r="C25" s="312"/>
      <c r="D25" s="319" t="s">
        <v>1260</v>
      </c>
      <c r="E25" s="320"/>
      <c r="F25" s="318"/>
      <c r="G25" s="241"/>
      <c r="H25" s="302" t="s">
        <v>1261</v>
      </c>
      <c r="I25" s="348" t="s">
        <v>1262</v>
      </c>
      <c r="J25" s="304">
        <f ca="1">J5-J16</f>
        <v>-9066</v>
      </c>
      <c r="K25" s="349" t="s">
        <v>1263</v>
      </c>
      <c r="L25" s="350"/>
      <c r="M25" s="351"/>
    </row>
    <row r="26" spans="1:37" ht="18" customHeight="1">
      <c r="A26" s="307" t="s">
        <v>966</v>
      </c>
      <c r="B26" s="277" t="s">
        <v>1264</v>
      </c>
      <c r="C26" s="312">
        <f ca="1">ROUND((C19+C20)*F26,0)</f>
        <v>535985</v>
      </c>
      <c r="D26" s="321" t="s">
        <v>1265</v>
      </c>
      <c r="E26" s="289" t="s">
        <v>1266</v>
      </c>
      <c r="F26" s="285">
        <f ca="1">INDIRECT("'数据-取费表'!q"&amp;$G$1)</f>
        <v>0.15</v>
      </c>
      <c r="G26" s="241"/>
      <c r="H26" s="268" t="s">
        <v>1267</v>
      </c>
      <c r="I26" s="269" t="s">
        <v>1268</v>
      </c>
      <c r="J26" s="352">
        <f ca="1">IF(J5&lt;&gt;0,ROUND(J25*(1-((1+M28)/(1+M26))^M27)/(M26-M28),0),0)</f>
        <v>0</v>
      </c>
      <c r="K26" s="340" t="s">
        <v>1269</v>
      </c>
      <c r="L26" s="277" t="s">
        <v>1270</v>
      </c>
      <c r="M26" s="285">
        <f ca="1">INDIRECT("'数据-取费表'!I"&amp;$G$1)</f>
        <v>5.5E-2</v>
      </c>
    </row>
    <row r="27" spans="1:37" ht="18" customHeight="1">
      <c r="A27" s="307" t="s">
        <v>970</v>
      </c>
      <c r="B27" s="277" t="s">
        <v>1271</v>
      </c>
      <c r="C27" s="312">
        <f ca="1">ROUND(F21*F26,4)</f>
        <v>3.0000000000000001E-3</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4532910</v>
      </c>
      <c r="D29" s="327"/>
      <c r="E29" s="300"/>
      <c r="F29" s="328"/>
      <c r="G29" s="315"/>
      <c r="H29" s="329" t="s">
        <v>1279</v>
      </c>
      <c r="I29" s="359" t="s">
        <v>1280</v>
      </c>
      <c r="J29" s="360">
        <f ca="1">ROUND(J26/(1+F40)^F41,0)</f>
        <v>0</v>
      </c>
      <c r="K29" s="361" t="s">
        <v>1281</v>
      </c>
      <c r="L29" s="362"/>
      <c r="M29" s="363">
        <f ca="1">INDIRECT("'数据-取费表'!k"&amp;$G$1)</f>
        <v>879.38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133335</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ROUND(IF(AND(项目基本情况!B11="自然人",项目基本情况!B10="北京市"),C6*F31/(1+'数据-取费表'!C42),C32+C33+C34),0)</f>
        <v>113678</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IF(项目基本情况!B11="自然人","——",ROUND(C6*F32/(1+'数据-取费表'!C42),0))</f>
        <v>35727</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IF(项目基本情况!B11="自然人","——",IF(D33="按租金收入计税",ROUND(C6*F33/(1+'数据-取费表'!C42),0),IF(D33="按房产原值计税",ROUND(C29*F33*0.7,0),INDIRECT("'数据-取费表'!Aj"&amp;$G$1))))</f>
        <v>77951</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IF(项目基本情况!B11="自然人","——",ROUND(F34*F35,0))</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ROUND(C29*F36,0)</f>
        <v>9066</v>
      </c>
      <c r="D36" s="334" t="s">
        <v>1283</v>
      </c>
      <c r="E36" s="277" t="s">
        <v>1222</v>
      </c>
      <c r="F36" s="346">
        <f ca="1">INDIRECT("'数据-取费表'!Ak"&amp;$G$1)</f>
        <v>2E-3</v>
      </c>
      <c r="G36" s="241"/>
      <c r="H36" s="338"/>
      <c r="I36" s="445"/>
      <c r="J36" s="446"/>
      <c r="K36" s="453"/>
      <c r="L36" s="338"/>
      <c r="M36" s="338"/>
    </row>
    <row r="37" spans="1:18" ht="18" customHeight="1">
      <c r="A37" s="307" t="s">
        <v>992</v>
      </c>
      <c r="B37" s="277" t="s">
        <v>1254</v>
      </c>
      <c r="C37" s="312">
        <f ca="1">ROUND(C13*F37,0)</f>
        <v>3762</v>
      </c>
      <c r="D37" s="334" t="s">
        <v>1255</v>
      </c>
      <c r="E37" s="277" t="s">
        <v>1222</v>
      </c>
      <c r="F37" s="347">
        <f ca="1">INDIRECT("'数据-取费表'!Al"&amp;$G$1)</f>
        <v>1E-3</v>
      </c>
      <c r="G37" s="241"/>
      <c r="H37" s="338"/>
      <c r="I37" s="445"/>
      <c r="J37" s="446"/>
      <c r="K37" s="453"/>
      <c r="L37" s="338"/>
      <c r="M37" s="338"/>
    </row>
    <row r="38" spans="1:18" ht="18" customHeight="1">
      <c r="A38" s="316" t="s">
        <v>995</v>
      </c>
      <c r="B38" s="300" t="s">
        <v>1240</v>
      </c>
      <c r="C38" s="326">
        <f ca="1">ROUND(C5*F38,0)</f>
        <v>6829</v>
      </c>
      <c r="D38" s="327" t="s">
        <v>1258</v>
      </c>
      <c r="E38" s="300" t="s">
        <v>1222</v>
      </c>
      <c r="F38" s="301">
        <f ca="1">INDIRECT("'数据-取费表'!Am"&amp;$G$1)</f>
        <v>0.01</v>
      </c>
      <c r="G38" s="241"/>
      <c r="H38" s="338"/>
      <c r="I38" s="445"/>
      <c r="J38" s="446"/>
      <c r="K38" s="454"/>
      <c r="L38" s="338"/>
      <c r="M38" s="338"/>
    </row>
    <row r="39" spans="1:18" ht="24.6" customHeight="1">
      <c r="A39" s="302" t="s">
        <v>1261</v>
      </c>
      <c r="B39" s="348" t="s">
        <v>1262</v>
      </c>
      <c r="C39" s="304">
        <f ca="1">C5-C30</f>
        <v>549587</v>
      </c>
      <c r="D39" s="349" t="s">
        <v>1263</v>
      </c>
      <c r="E39" s="350"/>
      <c r="F39" s="351"/>
      <c r="G39" s="241"/>
      <c r="H39" s="338">
        <f ca="1">C39/C5</f>
        <v>0.80475808364644863</v>
      </c>
      <c r="I39" s="445"/>
      <c r="J39" s="446"/>
      <c r="K39" s="454"/>
      <c r="L39" s="338"/>
      <c r="M39" s="338"/>
    </row>
    <row r="40" spans="1:18" ht="18" customHeight="1">
      <c r="A40" s="268" t="s">
        <v>1267</v>
      </c>
      <c r="B40" s="269" t="s">
        <v>1284</v>
      </c>
      <c r="C40" s="352">
        <f ca="1">ROUND(C39*(1-((1+F42)/(1+F40))^F41)/(F40-F42),0)</f>
        <v>10114336</v>
      </c>
      <c r="D40" s="340" t="s">
        <v>1269</v>
      </c>
      <c r="E40" s="277" t="s">
        <v>1270</v>
      </c>
      <c r="F40" s="285">
        <f ca="1">INDIRECT("'数据-取费表'!I"&amp;$G$1)</f>
        <v>5.5E-2</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34.47</v>
      </c>
      <c r="G41" s="241"/>
      <c r="H41" s="357"/>
      <c r="I41" s="445"/>
      <c r="J41" s="446"/>
      <c r="K41" s="453"/>
      <c r="L41" s="357"/>
      <c r="M41" s="357"/>
    </row>
    <row r="42" spans="1:18" ht="18" customHeight="1">
      <c r="A42" s="291"/>
      <c r="B42" s="358"/>
      <c r="C42" s="304"/>
      <c r="D42" s="344"/>
      <c r="E42" s="277" t="s">
        <v>1277</v>
      </c>
      <c r="F42" s="285">
        <f ca="1">INDIRECT("'数据-取费表'!v"&amp;$G$1)</f>
        <v>1.4999999999999999E-2</v>
      </c>
      <c r="G42" s="241"/>
      <c r="H42" s="357"/>
      <c r="I42" s="445"/>
      <c r="J42" s="446"/>
      <c r="K42" s="453"/>
      <c r="L42" s="357"/>
      <c r="M42" s="357"/>
    </row>
    <row r="43" spans="1:18" ht="18" customHeight="1">
      <c r="A43" s="329" t="s">
        <v>1279</v>
      </c>
      <c r="B43" s="359" t="s">
        <v>1285</v>
      </c>
      <c r="C43" s="360">
        <f ca="1">ROUND(C40/F43,0)</f>
        <v>11502</v>
      </c>
      <c r="D43" s="361" t="s">
        <v>1286</v>
      </c>
      <c r="E43" s="362" t="s">
        <v>1287</v>
      </c>
      <c r="F43" s="363">
        <f ca="1">INDIRECT("'数据-取费表'!k"&amp;$G$1)</f>
        <v>879.38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-1031.0735</v>
      </c>
      <c r="D45" s="368" t="s">
        <v>2134</v>
      </c>
      <c r="E45" s="364"/>
      <c r="F45" s="364"/>
      <c r="O45" s="456" t="s">
        <v>1288</v>
      </c>
      <c r="P45" s="353"/>
      <c r="Q45" s="353"/>
      <c r="R45" s="353"/>
    </row>
    <row r="46" spans="1:18" s="241" customFormat="1">
      <c r="A46" s="369" t="s">
        <v>1289</v>
      </c>
      <c r="C46" s="370">
        <f ca="1">ROUND(C45,0)</f>
        <v>-1031</v>
      </c>
      <c r="D46" s="371" t="str">
        <f>C2</f>
        <v>万元</v>
      </c>
      <c r="I46" s="457" t="s">
        <v>1290</v>
      </c>
      <c r="J46" s="458"/>
      <c r="K46" s="459"/>
      <c r="L46" s="3812">
        <f ca="1">IF(M47="住宅",0,IF(L48&gt;J51,L60,J60))</f>
        <v>176027</v>
      </c>
      <c r="N46" s="241">
        <f ca="1">'收益法 (元)'!B3</f>
        <v>11702</v>
      </c>
      <c r="O46" s="461" t="s">
        <v>1291</v>
      </c>
      <c r="P46" s="462" t="s">
        <v>1292</v>
      </c>
      <c r="Q46" s="507" t="s">
        <v>1293</v>
      </c>
      <c r="R46" s="507" t="s">
        <v>1294</v>
      </c>
    </row>
    <row r="47" spans="1:18" s="241" customFormat="1">
      <c r="A47" s="372" t="s">
        <v>1195</v>
      </c>
      <c r="B47" s="373" t="s">
        <v>1196</v>
      </c>
      <c r="C47" s="373" t="s">
        <v>1197</v>
      </c>
      <c r="D47" s="373" t="s">
        <v>1198</v>
      </c>
      <c r="E47" s="374" t="s">
        <v>1199</v>
      </c>
      <c r="F47" s="375"/>
      <c r="G47" s="376"/>
      <c r="I47" s="463" t="s">
        <v>1295</v>
      </c>
      <c r="J47" s="464" t="s">
        <v>1613</v>
      </c>
      <c r="K47" s="465" t="s">
        <v>1296</v>
      </c>
      <c r="L47" s="466">
        <f ca="1">INDIRECT("'数据-取费表'!d"&amp;$G$1)</f>
        <v>50</v>
      </c>
      <c r="M47" s="467" t="str">
        <f>IF(ISNUMBER(FIND("住宅",C1)),"住宅","非住宅")</f>
        <v>非住宅</v>
      </c>
      <c r="O47" s="468" t="s">
        <v>1048</v>
      </c>
      <c r="P47" s="469" t="s">
        <v>1297</v>
      </c>
      <c r="Q47" s="508">
        <f ca="1">C40+J29</f>
        <v>10114336</v>
      </c>
      <c r="R47" s="508" t="s">
        <v>1298</v>
      </c>
    </row>
    <row r="48" spans="1:18" s="241" customFormat="1" ht="27.75">
      <c r="A48" s="377" t="s">
        <v>1299</v>
      </c>
      <c r="B48" s="269" t="s">
        <v>1200</v>
      </c>
      <c r="C48" s="378">
        <f ca="1">C49+C53+C55</f>
        <v>0</v>
      </c>
      <c r="D48" s="379"/>
      <c r="E48" s="380"/>
      <c r="F48" s="381"/>
      <c r="G48" s="376"/>
      <c r="H48" s="382"/>
      <c r="I48" s="470" t="s">
        <v>1300</v>
      </c>
      <c r="J48" s="471" t="s">
        <v>2637</v>
      </c>
      <c r="K48" s="472" t="s">
        <v>1301</v>
      </c>
      <c r="L48" s="473">
        <f ca="1">INDIRECT("'数据-取费表'!f"&amp;$G$1)</f>
        <v>34.47</v>
      </c>
      <c r="O48" s="468" t="s">
        <v>1051</v>
      </c>
      <c r="P48" s="469" t="s">
        <v>1302</v>
      </c>
      <c r="Q48" s="508">
        <f ca="1">J60</f>
        <v>176027</v>
      </c>
      <c r="R48" s="508" t="s">
        <v>1303</v>
      </c>
    </row>
    <row r="49" spans="1:18" s="241" customFormat="1">
      <c r="A49" s="383" t="s">
        <v>1304</v>
      </c>
      <c r="B49" s="384" t="s">
        <v>1305</v>
      </c>
      <c r="C49" s="385">
        <f ca="1">ROUND(F49*F51*F50*(1-F52),0)</f>
        <v>0</v>
      </c>
      <c r="D49" s="386" t="s">
        <v>2638</v>
      </c>
      <c r="E49" s="387" t="s">
        <v>1306</v>
      </c>
      <c r="F49" s="388"/>
      <c r="G49" s="389"/>
      <c r="H49" s="382"/>
      <c r="I49" s="470" t="s">
        <v>1307</v>
      </c>
      <c r="J49" s="474">
        <f>'数据-取费表'!N17</f>
        <v>2015</v>
      </c>
      <c r="K49" s="472" t="s">
        <v>1308</v>
      </c>
      <c r="L49" s="475"/>
      <c r="O49" s="476" t="s">
        <v>1309</v>
      </c>
      <c r="P49" s="469" t="s">
        <v>1310</v>
      </c>
      <c r="Q49" s="508">
        <f ca="1">C29</f>
        <v>4532910</v>
      </c>
      <c r="R49" s="508" t="s">
        <v>1298</v>
      </c>
    </row>
    <row r="50" spans="1:18" s="241" customFormat="1">
      <c r="A50" s="390"/>
      <c r="B50" s="391"/>
      <c r="C50" s="392"/>
      <c r="D50" s="393"/>
      <c r="E50" s="394" t="s">
        <v>1206</v>
      </c>
      <c r="F50" s="395">
        <f ca="1">F7</f>
        <v>879.38</v>
      </c>
      <c r="H50" s="382"/>
      <c r="I50" s="470" t="s">
        <v>1311</v>
      </c>
      <c r="J50" s="477">
        <f>SUMPRODUCT((I63:I65=J47)*(J62:L62=J48)*(J63:L65))</f>
        <v>60</v>
      </c>
      <c r="K50" s="472" t="s">
        <v>1312</v>
      </c>
      <c r="L50" s="475"/>
      <c r="M50" s="478"/>
      <c r="O50" s="476" t="s">
        <v>1313</v>
      </c>
      <c r="P50" s="469" t="s">
        <v>1314</v>
      </c>
      <c r="Q50" s="509">
        <f ca="1">J58</f>
        <v>0.4</v>
      </c>
      <c r="R50" s="508"/>
    </row>
    <row r="51" spans="1:18" s="241" customFormat="1">
      <c r="A51" s="396"/>
      <c r="B51" s="391"/>
      <c r="C51" s="392"/>
      <c r="D51" s="393"/>
      <c r="E51" s="397" t="s">
        <v>1207</v>
      </c>
      <c r="F51" s="278">
        <f ca="1">F8</f>
        <v>365</v>
      </c>
      <c r="I51" s="479" t="s">
        <v>1315</v>
      </c>
      <c r="J51" s="480">
        <f>IF(J49="",J50,J49+J50-YEAR('数据-取费表'!B2))</f>
        <v>50</v>
      </c>
      <c r="K51" s="481" t="s">
        <v>1316</v>
      </c>
      <c r="L51" s="482">
        <f ca="1">ROUND(-PV(INDIRECT("'数据-取费表'!h"&amp;$G$1),J51,(C39-C13*C76),0),0)</f>
        <v>5225301</v>
      </c>
      <c r="M51" s="483"/>
      <c r="O51" s="476" t="s">
        <v>1317</v>
      </c>
      <c r="P51" s="469" t="s">
        <v>1318</v>
      </c>
      <c r="Q51" s="509">
        <f>J52</f>
        <v>7.0000000000000007E-2</v>
      </c>
      <c r="R51" s="508"/>
    </row>
    <row r="52" spans="1:18" s="241" customFormat="1">
      <c r="A52" s="396"/>
      <c r="B52" s="391"/>
      <c r="C52" s="392"/>
      <c r="D52" s="393"/>
      <c r="E52" s="397" t="s">
        <v>1208</v>
      </c>
      <c r="F52" s="398"/>
      <c r="I52" s="484" t="s">
        <v>1319</v>
      </c>
      <c r="J52" s="3811">
        <v>7.0000000000000007E-2</v>
      </c>
      <c r="K52" s="484" t="s">
        <v>1320</v>
      </c>
      <c r="L52" s="485"/>
      <c r="O52" s="476" t="s">
        <v>1321</v>
      </c>
      <c r="P52" s="469" t="s">
        <v>1322</v>
      </c>
      <c r="Q52" s="508">
        <f ca="1">J53</f>
        <v>34.47</v>
      </c>
      <c r="R52" s="508" t="s">
        <v>1323</v>
      </c>
    </row>
    <row r="53" spans="1:18" s="241" customFormat="1" ht="30.75" customHeight="1">
      <c r="A53" s="399" t="s">
        <v>1324</v>
      </c>
      <c r="B53" s="321" t="s">
        <v>1209</v>
      </c>
      <c r="C53" s="287">
        <f ca="1">ROUND(IF(F53="押一",C49/12*F11,IF(F53="押二",C49/12*2*F11,IF(F53="押三",C49/12*3*F11,C54*F11))),0)</f>
        <v>0</v>
      </c>
      <c r="D53" s="288" t="s">
        <v>2639</v>
      </c>
      <c r="E53" s="289" t="s">
        <v>1211</v>
      </c>
      <c r="F53" s="290"/>
      <c r="I53" s="486" t="s">
        <v>1325</v>
      </c>
      <c r="J53" s="487">
        <f ca="1">IF(M47="住宅",IF(D1="——",MAX(J51,L48),MAX(J51,L48-'数据-取费表'!B24)),IF(D1="——",MIN(J51,L48),MIN(J51,L48-'数据-取费表'!B24)))</f>
        <v>34.47</v>
      </c>
      <c r="K53" s="3651" t="s">
        <v>1326</v>
      </c>
      <c r="L53" s="3652"/>
      <c r="O53" s="468" t="s">
        <v>1151</v>
      </c>
      <c r="P53" s="469" t="s">
        <v>1327</v>
      </c>
      <c r="Q53" s="508">
        <f ca="1">Q47+Q48</f>
        <v>10290363</v>
      </c>
      <c r="R53" s="508" t="s">
        <v>1328</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f ca="1">ROUND(IF(J47="钢混",J57/J50,1-(1-2%)*(J50-J57)/J50),3)</f>
        <v>0.25900000000000001</v>
      </c>
      <c r="K55" s="493" t="s">
        <v>1331</v>
      </c>
      <c r="L55" s="494"/>
      <c r="O55" s="461" t="s">
        <v>1291</v>
      </c>
      <c r="P55" s="462" t="s">
        <v>1292</v>
      </c>
      <c r="Q55" s="507" t="s">
        <v>1293</v>
      </c>
      <c r="R55" s="507" t="s">
        <v>1294</v>
      </c>
    </row>
    <row r="56" spans="1:18" s="241" customFormat="1" ht="36" customHeight="1">
      <c r="A56" s="403">
        <v>2</v>
      </c>
      <c r="B56" s="404" t="s">
        <v>1215</v>
      </c>
      <c r="C56" s="405">
        <f ca="1">C13</f>
        <v>3762315</v>
      </c>
      <c r="D56" s="406"/>
      <c r="E56" s="407"/>
      <c r="F56" s="402"/>
      <c r="I56" s="495" t="s">
        <v>1332</v>
      </c>
      <c r="J56" s="496" t="s">
        <v>535</v>
      </c>
      <c r="K56" s="470" t="s">
        <v>1333</v>
      </c>
      <c r="L56" s="473" t="str">
        <f ca="1">IF(L48&lt;J51,"——",L48-J51)</f>
        <v>——</v>
      </c>
      <c r="O56" s="468" t="s">
        <v>1048</v>
      </c>
      <c r="P56" s="469" t="s">
        <v>1297</v>
      </c>
      <c r="Q56" s="508">
        <f ca="1">C40+J29</f>
        <v>10114336</v>
      </c>
      <c r="R56" s="508" t="s">
        <v>1298</v>
      </c>
    </row>
    <row r="57" spans="1:18" s="241" customFormat="1" ht="24">
      <c r="A57" s="408"/>
      <c r="B57" s="409" t="s">
        <v>1278</v>
      </c>
      <c r="C57" s="410">
        <f ca="1">C29</f>
        <v>4532910</v>
      </c>
      <c r="D57" s="411"/>
      <c r="E57" s="412"/>
      <c r="F57" s="413"/>
      <c r="I57" s="497" t="s">
        <v>1334</v>
      </c>
      <c r="J57" s="498">
        <f ca="1">IF(OR(M47="住宅",J51&lt;L48,J56="是"),"——",J51-L48)</f>
        <v>15.530000000000001</v>
      </c>
      <c r="K57" s="470" t="s">
        <v>2640</v>
      </c>
      <c r="L57" s="473" t="str">
        <f ca="1">IF(L48&lt;J51,"——",IF(L55="比较法",L49,IF(L55="基准地价",L50,L51)))</f>
        <v>——</v>
      </c>
      <c r="O57" s="468" t="s">
        <v>1051</v>
      </c>
      <c r="P57" s="469" t="s">
        <v>1336</v>
      </c>
      <c r="Q57" s="508">
        <f ca="1">L60</f>
        <v>0</v>
      </c>
      <c r="R57" s="508" t="s">
        <v>1337</v>
      </c>
    </row>
    <row r="58" spans="1:18" s="241" customFormat="1" ht="24">
      <c r="A58" s="414" t="s">
        <v>1223</v>
      </c>
      <c r="B58" s="404" t="s">
        <v>1224</v>
      </c>
      <c r="C58" s="287">
        <f ca="1">ROUND(C59+C64+C65+C66,0)</f>
        <v>12828</v>
      </c>
      <c r="D58" s="415" t="s">
        <v>1225</v>
      </c>
      <c r="E58" s="416"/>
      <c r="F58" s="381"/>
      <c r="I58" s="497" t="s">
        <v>1338</v>
      </c>
      <c r="J58" s="499">
        <f ca="1">IF(J55&lt;0.4,0.4,J55)</f>
        <v>0.4</v>
      </c>
      <c r="K58" s="481" t="s">
        <v>2641</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f ca="1">IF(OR(M47="住宅",J51&lt;L48,J56="是"),"——",ROUND(C29*J58,0))</f>
        <v>1813164</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IF(项目基本情况!B11="自然人","——",ROUND(C48*F60/(1+'数据-取费表'!C42),0))</f>
        <v>0</v>
      </c>
      <c r="D60" s="418" t="s">
        <v>1235</v>
      </c>
      <c r="E60" s="409" t="s">
        <v>1222</v>
      </c>
      <c r="F60" s="325">
        <f t="shared" ref="F60:F66" si="0">F32</f>
        <v>5.5E-2</v>
      </c>
      <c r="I60" s="500" t="s">
        <v>1343</v>
      </c>
      <c r="J60" s="501">
        <f ca="1">IF(OR(M47="住宅",J51&lt;L48,J56="是"),"0",ROUND(J59/(1+J52)^J53,0))</f>
        <v>176027</v>
      </c>
      <c r="K60" s="502" t="s">
        <v>1344</v>
      </c>
      <c r="L60" s="501">
        <f ca="1">IF(OR(M47="住宅",L48&lt;J51),0,ROUND(L57*(L58/L59-1),0))</f>
        <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IF(项目基本情况!B11="自然人","——",IF(D61="按租金收入计税",ROUND(C49*F61/(1+'数据-取费表'!C42),0),IF(D61="按房产原值计税",ROUND(C57*F61*0.7,0),INDIRECT("'数据-取费表'!Aj"&amp;$G$1))))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IF(项目基本情况!B11="自然人","——",ROUND(F62*F63,0))</f>
        <v>0</v>
      </c>
      <c r="D62" s="420" t="s">
        <v>1243</v>
      </c>
      <c r="E62" s="409" t="s">
        <v>1244</v>
      </c>
      <c r="F62" s="324">
        <f t="shared" si="0"/>
        <v>0</v>
      </c>
      <c r="I62" s="503" t="s">
        <v>1348</v>
      </c>
      <c r="J62" s="504" t="s">
        <v>1349</v>
      </c>
      <c r="K62" s="504" t="s">
        <v>1350</v>
      </c>
      <c r="L62" s="504" t="s">
        <v>1351</v>
      </c>
      <c r="M62" s="505" t="s">
        <v>1352</v>
      </c>
      <c r="O62" s="468" t="s">
        <v>1151</v>
      </c>
      <c r="P62" s="469" t="s">
        <v>1327</v>
      </c>
      <c r="Q62" s="508">
        <f ca="1">Q56+Q57</f>
        <v>10114336</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ROUND(C57*F64,0)</f>
        <v>9066</v>
      </c>
      <c r="D64" s="418" t="s">
        <v>1283</v>
      </c>
      <c r="E64" s="409" t="s">
        <v>1222</v>
      </c>
      <c r="F64" s="346">
        <f t="shared" ca="1" si="0"/>
        <v>2E-3</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ROUND(C56*F65,0)</f>
        <v>3762</v>
      </c>
      <c r="D65" s="418" t="s">
        <v>1255</v>
      </c>
      <c r="E65" s="409" t="s">
        <v>1222</v>
      </c>
      <c r="F65" s="347">
        <f t="shared" ca="1" si="0"/>
        <v>1E-3</v>
      </c>
      <c r="I65" s="503" t="s">
        <v>1356</v>
      </c>
      <c r="J65" s="504">
        <v>40</v>
      </c>
      <c r="K65" s="504">
        <v>30</v>
      </c>
      <c r="L65" s="504">
        <v>50</v>
      </c>
      <c r="M65" s="506">
        <v>0.02</v>
      </c>
      <c r="O65" s="468" t="s">
        <v>1048</v>
      </c>
      <c r="P65" s="469" t="s">
        <v>1297</v>
      </c>
      <c r="Q65" s="508">
        <f ca="1">C40+J29</f>
        <v>10114336</v>
      </c>
      <c r="R65" s="508" t="s">
        <v>1298</v>
      </c>
    </row>
    <row r="66" spans="1:18" s="241" customFormat="1" ht="15.75">
      <c r="A66" s="307" t="s">
        <v>995</v>
      </c>
      <c r="B66" s="409" t="s">
        <v>1240</v>
      </c>
      <c r="C66" s="312">
        <f ca="1">ROUND(C48*F66,0)</f>
        <v>0</v>
      </c>
      <c r="D66" s="418" t="s">
        <v>1258</v>
      </c>
      <c r="E66" s="409" t="s">
        <v>1222</v>
      </c>
      <c r="F66" s="285">
        <f t="shared" ca="1" si="0"/>
        <v>0.01</v>
      </c>
      <c r="O66" s="468" t="s">
        <v>1051</v>
      </c>
      <c r="P66" s="469" t="s">
        <v>1336</v>
      </c>
      <c r="Q66" s="508">
        <f ca="1">L60</f>
        <v>0</v>
      </c>
      <c r="R66" s="508" t="s">
        <v>1337</v>
      </c>
    </row>
    <row r="67" spans="1:18" s="241" customFormat="1" ht="15.75">
      <c r="A67" s="403" t="s">
        <v>1261</v>
      </c>
      <c r="B67" s="510" t="s">
        <v>1262</v>
      </c>
      <c r="C67" s="287">
        <f ca="1">C48-C58</f>
        <v>-12828</v>
      </c>
      <c r="D67" s="417" t="s">
        <v>1263</v>
      </c>
      <c r="E67" s="511"/>
      <c r="F67" s="512"/>
      <c r="O67" s="476" t="s">
        <v>1309</v>
      </c>
      <c r="P67" s="469" t="s">
        <v>1340</v>
      </c>
      <c r="Q67" s="538">
        <f ca="1">L51</f>
        <v>5225301</v>
      </c>
      <c r="R67" s="508" t="s">
        <v>1357</v>
      </c>
    </row>
    <row r="68" spans="1:18" s="241" customFormat="1" ht="15.75">
      <c r="A68" s="513" t="s">
        <v>1267</v>
      </c>
      <c r="B68" s="514" t="s">
        <v>1284</v>
      </c>
      <c r="C68" s="352">
        <f ca="1">ROUND(C67*(1-((1+F70)/(1+F68))^F69)/(F68-F70),0)</f>
        <v>-196399</v>
      </c>
      <c r="D68" s="420" t="s">
        <v>1269</v>
      </c>
      <c r="E68" s="409" t="s">
        <v>1270</v>
      </c>
      <c r="F68" s="285">
        <f ca="1">F40</f>
        <v>5.5E-2</v>
      </c>
      <c r="O68" s="476" t="s">
        <v>1313</v>
      </c>
      <c r="P68" s="537" t="s">
        <v>1358</v>
      </c>
      <c r="Q68" s="508">
        <f ca="1">ROUND(Q69-Q70*Q71,0)</f>
        <v>286225</v>
      </c>
      <c r="R68" s="508" t="s">
        <v>1359</v>
      </c>
    </row>
    <row r="69" spans="1:18" s="241" customFormat="1">
      <c r="A69" s="515"/>
      <c r="B69" s="516"/>
      <c r="C69" s="284"/>
      <c r="D69" s="517" t="s">
        <v>1273</v>
      </c>
      <c r="E69" s="409" t="s">
        <v>1274</v>
      </c>
      <c r="F69" s="356">
        <f ca="1">F41</f>
        <v>34.47</v>
      </c>
      <c r="O69" s="476" t="s">
        <v>1360</v>
      </c>
      <c r="P69" s="537" t="s">
        <v>1361</v>
      </c>
      <c r="Q69" s="508">
        <f ca="1">C39</f>
        <v>549587</v>
      </c>
      <c r="R69" s="508" t="s">
        <v>1298</v>
      </c>
    </row>
    <row r="70" spans="1:18" s="241" customFormat="1">
      <c r="A70" s="518"/>
      <c r="B70" s="519"/>
      <c r="C70" s="304"/>
      <c r="D70" s="422"/>
      <c r="E70" s="409" t="s">
        <v>1277</v>
      </c>
      <c r="F70" s="398"/>
      <c r="O70" s="476" t="s">
        <v>1362</v>
      </c>
      <c r="P70" s="537" t="s">
        <v>1363</v>
      </c>
      <c r="Q70" s="508">
        <f ca="1">C13</f>
        <v>3762315</v>
      </c>
      <c r="R70" s="508" t="s">
        <v>1298</v>
      </c>
    </row>
    <row r="71" spans="1:18" s="241" customFormat="1">
      <c r="A71" s="520" t="s">
        <v>1279</v>
      </c>
      <c r="B71" s="521" t="s">
        <v>1285</v>
      </c>
      <c r="C71" s="360">
        <f ca="1">ROUND(C68/F71,0)</f>
        <v>-223</v>
      </c>
      <c r="D71" s="522" t="s">
        <v>1286</v>
      </c>
      <c r="E71" s="523" t="s">
        <v>1287</v>
      </c>
      <c r="F71" s="363">
        <f ca="1">F43</f>
        <v>879.38</v>
      </c>
      <c r="O71" s="476" t="s">
        <v>1364</v>
      </c>
      <c r="P71" s="537" t="s">
        <v>1365</v>
      </c>
      <c r="Q71" s="509">
        <f ca="1">C76</f>
        <v>7.0000000000000007E-2</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263362</v>
      </c>
      <c r="D75" s="241"/>
      <c r="E75" s="241"/>
      <c r="F75" s="241"/>
      <c r="K75" s="455"/>
      <c r="L75" s="241"/>
      <c r="O75" s="468" t="s">
        <v>1151</v>
      </c>
      <c r="P75" s="469" t="s">
        <v>1327</v>
      </c>
      <c r="Q75" s="508">
        <f ca="1">Q65+Q66</f>
        <v>10114336</v>
      </c>
      <c r="R75" s="508" t="s">
        <v>1328</v>
      </c>
    </row>
    <row r="76" spans="1:18">
      <c r="B76" s="529" t="s">
        <v>1369</v>
      </c>
      <c r="C76" s="530">
        <f ca="1">INDIRECT("'数据-取费表'!j"&amp;$G$1)</f>
        <v>7.0000000000000007E-2</v>
      </c>
      <c r="I76" s="241"/>
      <c r="J76" s="241"/>
      <c r="K76" s="455"/>
      <c r="L76" s="241"/>
    </row>
    <row r="77" spans="1:18">
      <c r="B77" s="531" t="s">
        <v>1370</v>
      </c>
      <c r="C77" s="532"/>
      <c r="I77" s="241"/>
      <c r="J77" s="241"/>
      <c r="K77" s="455"/>
      <c r="L77" s="241"/>
    </row>
    <row r="78" spans="1:18">
      <c r="B78" s="533" t="s">
        <v>1371</v>
      </c>
      <c r="C78" s="534"/>
    </row>
    <row r="79" spans="1:18">
      <c r="B79" s="527" t="s">
        <v>1372</v>
      </c>
      <c r="C79" s="535">
        <f ca="1">1-C80</f>
        <v>0.52100000000000002</v>
      </c>
    </row>
    <row r="80" spans="1:18">
      <c r="B80" s="527" t="s">
        <v>1373</v>
      </c>
      <c r="C80" s="535">
        <f ca="1">ROUND(C75/C39,3)</f>
        <v>0.47899999999999998</v>
      </c>
    </row>
    <row r="81" spans="2:3">
      <c r="B81" s="533" t="s">
        <v>1374</v>
      </c>
      <c r="C81" s="410"/>
    </row>
    <row r="82" spans="2:3">
      <c r="B82" s="525" t="s">
        <v>1127</v>
      </c>
      <c r="C82" s="536">
        <f ca="1">1-C83</f>
        <v>0.628</v>
      </c>
    </row>
    <row r="83" spans="2:3">
      <c r="B83" s="525" t="s">
        <v>1128</v>
      </c>
      <c r="C83" s="535">
        <f ca="1">ROUND(C13/C40,3)</f>
        <v>0.372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2642</v>
      </c>
      <c r="C1" s="3792"/>
      <c r="D1" s="3792"/>
      <c r="E1" s="3792"/>
      <c r="F1" s="3792"/>
      <c r="G1" s="3793" t="s">
        <v>2643</v>
      </c>
      <c r="H1" s="3793"/>
      <c r="I1" s="3793"/>
      <c r="J1" s="3793"/>
      <c r="K1" s="3793"/>
      <c r="L1" s="3793"/>
      <c r="N1" s="3793" t="s">
        <v>2601</v>
      </c>
      <c r="O1" s="3793"/>
      <c r="P1" s="3793"/>
      <c r="Q1" s="3793"/>
      <c r="S1" s="3793" t="s">
        <v>2644</v>
      </c>
      <c r="T1" s="3793"/>
      <c r="U1" s="3793"/>
      <c r="V1" s="3793"/>
      <c r="X1" s="3794" t="s">
        <v>2602</v>
      </c>
      <c r="Y1" s="3793"/>
      <c r="Z1" s="3793"/>
      <c r="AA1" s="3793"/>
      <c r="AB1" s="3793"/>
      <c r="AD1" s="3794" t="s">
        <v>2603</v>
      </c>
      <c r="AE1" s="3793"/>
      <c r="AF1" s="3793"/>
      <c r="AG1" s="3793"/>
      <c r="AH1" s="3793"/>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2733</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0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06"/>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2741</v>
      </c>
      <c r="E1" s="9">
        <f>'数据-取费表'!B22</f>
        <v>1.5</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北京市房地产</v>
      </c>
      <c r="B4" s="3408">
        <f>项目基本情况!C17</f>
        <v>879.38</v>
      </c>
      <c r="C4" s="3408">
        <f>项目基本情况!C18</f>
        <v>0</v>
      </c>
      <c r="D4" s="3408">
        <f ca="1">结果表!D118</f>
        <v>858</v>
      </c>
      <c r="E4" s="3408">
        <f ca="1">结果表!E118</f>
        <v>9762</v>
      </c>
      <c r="F4" s="3408">
        <f ca="1">结果表!F118</f>
        <v>789</v>
      </c>
      <c r="G4" s="3408">
        <f ca="1">结果表!G118</f>
        <v>8976</v>
      </c>
      <c r="H4" s="3408">
        <f ca="1">结果表!H118</f>
        <v>1648</v>
      </c>
      <c r="I4" s="3408">
        <f ca="1">结果表!I118</f>
        <v>18738</v>
      </c>
    </row>
    <row r="5" spans="1:9" ht="30" customHeight="1">
      <c r="A5" s="3478" t="s">
        <v>112</v>
      </c>
      <c r="B5" s="3478"/>
      <c r="C5" s="3478"/>
      <c r="D5" s="3478" t="str">
        <f ca="1">结果表!D119</f>
        <v>捌佰伍拾捌万元整</v>
      </c>
      <c r="E5" s="3478"/>
      <c r="F5" s="3478" t="str">
        <f ca="1">结果表!F119</f>
        <v>柒佰捌拾玖万元整</v>
      </c>
      <c r="G5" s="3478"/>
      <c r="H5" s="3478" t="str">
        <f ca="1">结果表!H119</f>
        <v>壹仟陆佰肆拾捌万元整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1648</v>
      </c>
      <c r="E8" s="3479"/>
      <c r="F8" s="3479"/>
      <c r="G8" s="3479"/>
      <c r="H8" s="3479"/>
      <c r="I8" s="3479"/>
    </row>
    <row r="9" spans="1:9" ht="15">
      <c r="A9" s="3478" t="s">
        <v>112</v>
      </c>
      <c r="B9" s="3478"/>
      <c r="C9" s="3478"/>
      <c r="D9" s="3478" t="str">
        <f ca="1">结果表!D123</f>
        <v>壹仟陆佰肆拾捌万元整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2025-08-05T06:41:33Z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