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收益法" sheetId="15"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基准地价修正" sheetId="43" r:id="rId30"/>
    <sheet name="土地比较法-住宅、综合" sheetId="39" r:id="rId31"/>
    <sheet name="土地案例" sheetId="78"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中指成交数据" sheetId="79" r:id="rId47"/>
  </sheets>
  <externalReferences>
    <externalReference r:id="rId48"/>
    <externalReference r:id="rId49"/>
    <externalReference r:id="rId50"/>
    <externalReference r:id="rId51"/>
  </externalReferences>
  <definedNames>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基准地价修正!$A$1:$J$41,基准地价修正!$A$45:$H$88,基准地价修正!$R$1:$V$16</definedName>
    <definedName name="_xlnm.Print_Area" localSheetId="23">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1">'[1]比较法-办公'!$B$119:$M$119</definedName>
    <definedName name="办公层高" localSheetId="46">'[1]比较法-办公'!$B$119:$M$119</definedName>
    <definedName name="办公层高">'比较法-办公'!$B$119:$M$119</definedName>
    <definedName name="办公朝向" localSheetId="31">'[1]比较法-办公'!$B$91:$M$91</definedName>
    <definedName name="办公朝向" localSheetId="46">'[1]比较法-办公'!$B$91:$M$91</definedName>
    <definedName name="办公朝向">'比较法-办公'!$B$91:$M$91</definedName>
    <definedName name="办公道路级别" localSheetId="31">'[1]比较法-办公'!$B$87:$M$87</definedName>
    <definedName name="办公道路级别" localSheetId="46">'[1]比较法-办公'!$B$87:$M$87</definedName>
    <definedName name="办公道路级别">'比较法-办公'!$B$87:$M$87</definedName>
    <definedName name="办公公共部分装修" localSheetId="31">'[1]比较法-办公'!$B$108:$M$108</definedName>
    <definedName name="办公公共部分装修" localSheetId="46">'[1]比较法-办公'!$B$108:$M$108</definedName>
    <definedName name="办公公共部分装修">'比较法-办公'!$B$108:$M$108</definedName>
    <definedName name="办公基础设施水平" localSheetId="31">'[1]比较法-办公'!$B$117:$M$117</definedName>
    <definedName name="办公基础设施水平" localSheetId="46">'[1]比较法-办公'!$B$117:$M$117</definedName>
    <definedName name="办公基础设施水平">'比较法-办公'!$B$117:$M$117</definedName>
    <definedName name="办公集聚程度" localSheetId="31">[1]定义!$M$1:$M$6</definedName>
    <definedName name="办公集聚程度" localSheetId="46">[1]定义!$M$1:$M$6</definedName>
    <definedName name="办公集聚程度">定义!$M$1:$M$6</definedName>
    <definedName name="办公建筑结构" localSheetId="31">'[1]比较法-办公'!$B$106:$M$106</definedName>
    <definedName name="办公建筑结构" localSheetId="46">'[1]比较法-办公'!$B$106:$M$106</definedName>
    <definedName name="办公建筑结构">'比较法-办公'!$B$106:$M$106</definedName>
    <definedName name="办公建筑类型" localSheetId="31">'[1]比较法-办公'!$B$101:$M$101</definedName>
    <definedName name="办公建筑类型" localSheetId="46">'[1]比较法-办公'!$B$101:$M$101</definedName>
    <definedName name="办公建筑类型">'比较法-办公'!$B$101:$M$101</definedName>
    <definedName name="办公交易情况" localSheetId="31">'[1]比较法-办公'!$A$62:$M$62</definedName>
    <definedName name="办公交易情况" localSheetId="46">'[1]比较法-办公'!$A$62:$M$62</definedName>
    <definedName name="办公交易情况">'比较法-办公'!$A$62:$M$62</definedName>
    <definedName name="办公楼层" localSheetId="31">'[1]比较法-办公'!$B$89:$M$89</definedName>
    <definedName name="办公楼层" localSheetId="46">'[1]比较法-办公'!$B$89:$M$89</definedName>
    <definedName name="办公楼层">'比较法-办公'!$B$89:$M$89</definedName>
    <definedName name="办公内部装修" localSheetId="31">'[1]比较法-办公'!$B$123:$M$123</definedName>
    <definedName name="办公内部装修" localSheetId="46">'[1]比较法-办公'!$B$123:$M$123</definedName>
    <definedName name="办公内部装修">'比较法-办公'!$B$123:$M$123</definedName>
    <definedName name="办公物业管理" localSheetId="31">'[1]比较法-办公'!$B$115:$M$115</definedName>
    <definedName name="办公物业管理" localSheetId="46">'[1]比较法-办公'!$B$115:$M$115</definedName>
    <definedName name="办公物业管理">'比较法-办公'!$B$115:$M$115</definedName>
    <definedName name="办公用途" localSheetId="31">'[1]比较法-办公'!$B$64:$M$64</definedName>
    <definedName name="办公用途" localSheetId="46">'[1]比较法-办公'!$B$64:$M$64</definedName>
    <definedName name="办公用途">'比较法-办公'!$B$64:$M$64</definedName>
    <definedName name="仓储公共部分装修" localSheetId="31">'[1]比较法-仓储'!$B$77:$M$77</definedName>
    <definedName name="仓储公共部分装修" localSheetId="46">'[1]比较法-仓储'!$B$77:$M$77</definedName>
    <definedName name="仓储公共部分装修">'比较法-仓储'!$B$77:$M$77</definedName>
    <definedName name="仓储交易情况" localSheetId="31">'[1]比较法-仓储'!$A$49:$M$49</definedName>
    <definedName name="仓储交易情况" localSheetId="46">'[1]比较法-仓储'!$A$49:$M$49</definedName>
    <definedName name="仓储交易情况">'比较法-仓储'!$A$49:$M$49</definedName>
    <definedName name="仓储楼层" localSheetId="31">'[1]比较法-仓储'!$B$69:$M$69</definedName>
    <definedName name="仓储楼层" localSheetId="46">'[1]比较法-仓储'!$B$69:$M$69</definedName>
    <definedName name="仓储楼层">'比较法-仓储'!$B$69:$M$69</definedName>
    <definedName name="仓储物业等级" localSheetId="31">'[1]比较法-仓储'!$B$82:$M$82</definedName>
    <definedName name="仓储物业等级" localSheetId="46">'[1]比较法-仓储'!$B$82:$M$82</definedName>
    <definedName name="仓储物业等级">'比较法-仓储'!$B$82:$M$82</definedName>
    <definedName name="仓储用途" localSheetId="31">'[1]比较法-仓储'!$B$51:$M$51</definedName>
    <definedName name="仓储用途" localSheetId="46">'[1]比较法-仓储'!$B$51:$M$51</definedName>
    <definedName name="仓储用途">'比较法-仓储'!$B$51:$M$51</definedName>
    <definedName name="产业集聚程度" localSheetId="31">[1]定义!$N$1:$N$6</definedName>
    <definedName name="产业集聚程度" localSheetId="46">[1]定义!$N$1:$N$6</definedName>
    <definedName name="产业集聚程度">定义!$N$1:$N$6</definedName>
    <definedName name="车位公共部分装修" localSheetId="31">'[1]比较法-车位'!$B$83:$M$83</definedName>
    <definedName name="车位公共部分装修" localSheetId="46">'[1]比较法-车位'!$B$83:$M$83</definedName>
    <definedName name="车位公共部分装修">'比较法-车位'!$B$83:$M$83</definedName>
    <definedName name="车位交易情况" localSheetId="31">'[1]比较法-车位'!$A$51:$M$51</definedName>
    <definedName name="车位交易情况" localSheetId="46">'[1]比较法-车位'!$A$51:$M$51</definedName>
    <definedName name="车位交易情况">'比较法-车位'!$A$51:$M$51</definedName>
    <definedName name="车位类型" localSheetId="31">'[1]比较法-车位'!$B$93:$M$93</definedName>
    <definedName name="车位类型" localSheetId="46">'[1]比较法-车位'!$B$93:$M$93</definedName>
    <definedName name="车位类型">'比较法-车位'!$B$93:$M$93</definedName>
    <definedName name="车位楼层" localSheetId="31">'[1]比较法-车位'!$B$71:$M$71</definedName>
    <definedName name="车位楼层" localSheetId="46">'[1]比较法-车位'!$B$71:$M$71</definedName>
    <definedName name="车位楼层">'比较法-车位'!$B$71:$M$71</definedName>
    <definedName name="车位配套类型" localSheetId="31">'[1]比较法-车位'!$B$79:$M$79</definedName>
    <definedName name="车位配套类型" localSheetId="46">'[1]比较法-车位'!$B$79:$M$79</definedName>
    <definedName name="车位配套类型">'比较法-车位'!$B$79:$M$79</definedName>
    <definedName name="车位物业等级" localSheetId="31">'[1]比较法-车位'!$B$88:$M$88</definedName>
    <definedName name="车位物业等级" localSheetId="46">'[1]比较法-车位'!$B$88:$M$88</definedName>
    <definedName name="车位物业等级">'比较法-车位'!$B$88:$M$88</definedName>
    <definedName name="车位用途" localSheetId="31">'[1]比较法-车位'!$B$53:$M$53</definedName>
    <definedName name="车位用途" localSheetId="46">'[1]比较法-车位'!$B$53:$M$53</definedName>
    <definedName name="车位用途">'比较法-车位'!$B$53:$M$53</definedName>
    <definedName name="城镇土地纳税等级分级范围" localSheetId="31">'[1]数据-取费表'!$A$53:$A$63</definedName>
    <definedName name="城镇土地纳税等级分级范围" localSheetId="46">'[1]数据-取费表'!$A$53:$A$63</definedName>
    <definedName name="城镇土地纳税等级分级范围">'数据-取费表'!$A$53:$A$63</definedName>
    <definedName name="单价内涵" localSheetId="31">[1]定义!$V$1:$V$3</definedName>
    <definedName name="单价内涵" localSheetId="46">[1]定义!$V$1:$V$3</definedName>
    <definedName name="单价内涵">定义!$V$1:$V$3</definedName>
    <definedName name="地类判定" localSheetId="31">[1]定义!$H$1:$H$9</definedName>
    <definedName name="地类判定" localSheetId="46">[1]定义!$H$1:$H$9</definedName>
    <definedName name="地类判定">定义!$H$1:$H$9</definedName>
    <definedName name="二级">区片价!$I$1:$I$20</definedName>
    <definedName name="二级分类" localSheetId="31">[1]修正!$C$17:$C$39</definedName>
    <definedName name="二级分类" localSheetId="46">[1]修正!$C$17:$C$39</definedName>
    <definedName name="二级分类">修正!$C$17:$C$39</definedName>
    <definedName name="法定最高年限" localSheetId="31">[1]定义!$G$1:$G$4</definedName>
    <definedName name="法定最高年限" localSheetId="46">[1]定义!$G$1:$G$4</definedName>
    <definedName name="法定最高年限">定义!$G$1:$G$4</definedName>
    <definedName name="工业公共部分装修" localSheetId="31">'[1]比较法-工业'!$B$95:$M$95</definedName>
    <definedName name="工业公共部分装修" localSheetId="46">'[1]比较法-工业'!$B$95:$M$95</definedName>
    <definedName name="工业公共部分装修">'比较法-工业'!$B$95:$M$95</definedName>
    <definedName name="工业基础设施水平" localSheetId="31">'[1]比较法-工业'!$B$102:$M$102</definedName>
    <definedName name="工业基础设施水平" localSheetId="46">'[1]比较法-工业'!$B$102:$M$102</definedName>
    <definedName name="工业基础设施水平">'比较法-工业'!$B$102:$M$102</definedName>
    <definedName name="工业建筑结构" localSheetId="31">'[1]比较法-工业'!$B$93:$M$93</definedName>
    <definedName name="工业建筑结构" localSheetId="46">'[1]比较法-工业'!$B$93:$M$93</definedName>
    <definedName name="工业建筑结构">'比较法-工业'!$B$93:$M$93</definedName>
    <definedName name="工业建筑类型" localSheetId="31">'[1]比较法-工业'!$B$88:$M$88</definedName>
    <definedName name="工业建筑类型" localSheetId="46">'[1]比较法-工业'!$B$88:$M$88</definedName>
    <definedName name="工业建筑类型">'比较法-工业'!$B$88:$M$88</definedName>
    <definedName name="工业交易情况" localSheetId="31">'[1]比较法-工业'!$A$55:$M$55</definedName>
    <definedName name="工业交易情况" localSheetId="46">'[1]比较法-工业'!$A$55:$M$55</definedName>
    <definedName name="工业交易情况">'比较法-工业'!$A$55:$M$55</definedName>
    <definedName name="工业内部装修" localSheetId="31">'[1]比较法-工业'!$B$104:$M$104</definedName>
    <definedName name="工业内部装修" localSheetId="46">'[1]比较法-工业'!$B$104:$M$104</definedName>
    <definedName name="工业内部装修">'比较法-工业'!$B$104:$M$104</definedName>
    <definedName name="工业物业管理" localSheetId="31">'[1]比较法-工业'!$B$100:$M$100</definedName>
    <definedName name="工业物业管理" localSheetId="46">'[1]比较法-工业'!$B$100:$M$100</definedName>
    <definedName name="工业物业管理">'比较法-工业'!$B$100:$M$100</definedName>
    <definedName name="工业用途" localSheetId="31">'[1]比较法-工业'!$B$57:$M$57</definedName>
    <definedName name="工业用途" localSheetId="46">'[1]比较法-工业'!$B$57:$M$57</definedName>
    <definedName name="工业用途">'比较法-工业'!$B$57:$M$57</definedName>
    <definedName name="公共配套设施" localSheetId="31">[1]定义!$Q$1:$Q$6</definedName>
    <definedName name="公共配套设施" localSheetId="46">[1]定义!$Q$1:$Q$6</definedName>
    <definedName name="公共配套设施">定义!$Q$1:$Q$6</definedName>
    <definedName name="估价方法" localSheetId="31">[1]定义!$B$1:$B$50</definedName>
    <definedName name="估价方法" localSheetId="46">[1]定义!$B$1:$B$50</definedName>
    <definedName name="估价方法">定义!$B$1:$B$50</definedName>
    <definedName name="环境" localSheetId="31">[1]定义!$S$1:$S$6</definedName>
    <definedName name="环境" localSheetId="46">[1]定义!$S$1:$S$6</definedName>
    <definedName name="环境">定义!$S$1:$S$6</definedName>
    <definedName name="基础设施水平" localSheetId="31">[1]定义!$R$1:$R$6</definedName>
    <definedName name="基础设施水平" localSheetId="46">[1]定义!$R$1:$R$6</definedName>
    <definedName name="基础设施水平">定义!$R$1:$R$6</definedName>
    <definedName name="季度">基准地价修正!$Q$19:$AD$19</definedName>
    <definedName name="价值类型2" localSheetId="31">[1]定义!$B$54:$B$56</definedName>
    <definedName name="价值类型2" localSheetId="46">[1]定义!$B$54:$B$56</definedName>
    <definedName name="价值类型2">定义!$B$54:$B$56</definedName>
    <definedName name="交通便捷度" localSheetId="31">[1]定义!$O$1:$O$6</definedName>
    <definedName name="交通便捷度" localSheetId="46">[1]定义!$O$1:$O$6</definedName>
    <definedName name="交通便捷度">定义!$O$1:$O$6</definedName>
    <definedName name="九级">区片价!$P$1:$P$46</definedName>
    <definedName name="居住社区成熟度" localSheetId="31">[1]定义!$K$1:$K$6</definedName>
    <definedName name="居住社区成熟度" localSheetId="46">[1]定义!$K$1:$K$6</definedName>
    <definedName name="居住社区成熟度">定义!$K$1:$K$6</definedName>
    <definedName name="类别" localSheetId="31">[1]定义!$J$1:$J$3</definedName>
    <definedName name="类别" localSheetId="46">[1]定义!$J$1:$J$3</definedName>
    <definedName name="类别">定义!$J$1:$J$3</definedName>
    <definedName name="临街状况" localSheetId="31">[1]定义!$T$1:$T$5</definedName>
    <definedName name="临街状况" localSheetId="46">[1]定义!$T$1:$T$5</definedName>
    <definedName name="临街状况">定义!$T$1:$T$5</definedName>
    <definedName name="六级">区片价!$M$1:$M$49</definedName>
    <definedName name="内部装修维护情况" localSheetId="31">[1]定义!$U$1:$U$6</definedName>
    <definedName name="内部装修维护情况" localSheetId="46">[1]定义!$U$1:$U$6</definedName>
    <definedName name="内部装修维护情况">定义!$U$1:$U$6</definedName>
    <definedName name="判定" localSheetId="31">[1]定义!$D$1:$D$4</definedName>
    <definedName name="判定" localSheetId="46">[1]定义!$D$1:$D$4</definedName>
    <definedName name="判定">定义!$D$1:$D$4</definedName>
    <definedName name="七级">区片价!$N$1:$N$49</definedName>
    <definedName name="七通一平" localSheetId="31">[1]修正!$A$6:$A$14</definedName>
    <definedName name="七通一平" localSheetId="46">[1]修正!$A$6:$A$14</definedName>
    <definedName name="七通一平">修正!$A$6:$A$14</definedName>
    <definedName name="区域土地利用方向" localSheetId="31">[1]定义!$P$1:$P$6</definedName>
    <definedName name="区域土地利用方向" localSheetId="46">[1]定义!$P$1:$P$6</definedName>
    <definedName name="区域土地利用方向">定义!$P$1:$P$6</definedName>
    <definedName name="三级">区片价!$J$1:$J$21</definedName>
    <definedName name="商业层高" localSheetId="31">'[1]比较法-商业'!$B$116:$M$116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31">[1]定义!$L$1:$L$6</definedName>
    <definedName name="商业繁华度" localSheetId="46">[1]定义!$L$1:$L$6</definedName>
    <definedName name="商业繁华度">定义!$L$1:$L$6</definedName>
    <definedName name="商业公共部分装修" localSheetId="31">'[1]比较法-商业'!$B$107:$M$107</definedName>
    <definedName name="商业公共部分装修" localSheetId="46">'[1]比较法-商业'!$B$107:$M$107</definedName>
    <definedName name="商业公共部分装修">'比较法-商业'!$B$107:$M$107</definedName>
    <definedName name="商业基础设施水平" localSheetId="31">'[1]比较法-商业'!$B$112:$M$112</definedName>
    <definedName name="商业基础设施水平" localSheetId="46">'[1]比较法-商业'!$B$112:$M$112</definedName>
    <definedName name="商业基础设施水平">'比较法-商业'!$B$112:$M$112</definedName>
    <definedName name="商业建筑结构" localSheetId="31">'[1]比较法-商业'!$B$105:$M$105</definedName>
    <definedName name="商业建筑结构" localSheetId="46">'[1]比较法-商业'!$B$105:$M$105</definedName>
    <definedName name="商业建筑结构">'比较法-商业'!$B$105:$M$105</definedName>
    <definedName name="商业交易情况" localSheetId="31">'[1]比较法-商业'!$A$61:$M$61</definedName>
    <definedName name="商业交易情况" localSheetId="46">'[1]比较法-商业'!$A$61:$M$61</definedName>
    <definedName name="商业交易情况">'比较法-商业'!$A$61:$M$61</definedName>
    <definedName name="商业街名称" localSheetId="31">[1]修正!$C$59:$C$119</definedName>
    <definedName name="商业街名称" localSheetId="46">[1]修正!$C$59:$C$119</definedName>
    <definedName name="商业街名称">修正!$C$59:$C$119</definedName>
    <definedName name="商业进深比" localSheetId="31">'[1]比较法-商业'!$B$120:$M$120</definedName>
    <definedName name="商业进深比" localSheetId="46">'[1]比较法-商业'!$B$120:$M$120</definedName>
    <definedName name="商业进深比">'比较法-商业'!$B$120:$M$120</definedName>
    <definedName name="商业类型" localSheetId="31">'[1]比较法-商业'!$B$100:$M$100</definedName>
    <definedName name="商业类型" localSheetId="46">'[1]比较法-商业'!$B$100:$M$100</definedName>
    <definedName name="商业类型">'比较法-商业'!$B$100:$M$100</definedName>
    <definedName name="商业临街状况" localSheetId="31">'[1]比较法-商业'!$B$86:$M$86</definedName>
    <definedName name="商业临街状况" localSheetId="46">'[1]比较法-商业'!$B$86:$M$86</definedName>
    <definedName name="商业临街状况">'比较法-商业'!$B$86:$M$86</definedName>
    <definedName name="商业楼层" localSheetId="31">'[1]比较法-商业'!$B$92:$M$92</definedName>
    <definedName name="商业楼层" localSheetId="46">'[1]比较法-商业'!$B$92:$M$92</definedName>
    <definedName name="商业楼层">'比较法-商业'!$B$92:$M$92</definedName>
    <definedName name="商业内部装修" localSheetId="31">'[1]比较法-商业'!$B$122:$M$122</definedName>
    <definedName name="商业内部装修" localSheetId="46">'[1]比较法-商业'!$B$122:$M$122</definedName>
    <definedName name="商业内部装修">'比较法-商业'!$B$122:$M$122</definedName>
    <definedName name="商业人流量" localSheetId="31">'[1]比较法-商业'!$B$90:$M$90</definedName>
    <definedName name="商业人流量" localSheetId="46">'[1]比较法-商业'!$B$90:$M$90</definedName>
    <definedName name="商业人流量">'比较法-商业'!$B$90:$M$90</definedName>
    <definedName name="商业业态" localSheetId="31">'[1]比较法-商业'!$B$114:$M$114</definedName>
    <definedName name="商业业态" localSheetId="46">'[1]比较法-商业'!$B$114:$M$114</definedName>
    <definedName name="商业业态">'比较法-商业'!$B$114:$M$114</definedName>
    <definedName name="商业用途" localSheetId="31">'[1]比较法-商业'!$B$63:$M$63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46">'[1]比较法-仓储'!$B$89:$M$89</definedName>
    <definedName name="是否封闭">'比较法-仓储'!$B$89:$M$89</definedName>
    <definedName name="是否直接入户" localSheetId="31">'[1]比较法-车位'!$B$95:$M$95</definedName>
    <definedName name="是否直接入户" localSheetId="4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46">'[1]土地比较法-工业'!$B$97:$M$97</definedName>
    <definedName name="套工道路等级">'土地比较法-工业'!$B$97:$M$97</definedName>
    <definedName name="套工地质条件" localSheetId="31">'[1]土地比较法-工业'!$B$114:$M$114</definedName>
    <definedName name="套工地质条件" localSheetId="46">'[1]土地比较法-工业'!$B$114:$M$114</definedName>
    <definedName name="套工地质条件">'土地比较法-工业'!$B$114:$M$114</definedName>
    <definedName name="套工交易情况" localSheetId="31">'[1]土地比较法-住宅、综合'!$A$73:$M$73</definedName>
    <definedName name="套工交易情况" localSheetId="46">'[1]土地比较法-住宅、综合'!$A$73:$M$73</definedName>
    <definedName name="套工交易情况">'土地比较法-住宅、综合'!$A$73:$M$73</definedName>
    <definedName name="套工土地级别" localSheetId="31">'[1]土地比较法-工业'!$B$99:$M$99</definedName>
    <definedName name="套工土地级别" localSheetId="46">'[1]土地比较法-工业'!$B$99:$M$99</definedName>
    <definedName name="套工土地级别">'土地比较法-工业'!$B$99:$M$99</definedName>
    <definedName name="套工用途" localSheetId="31">'[1]土地比较法-工业'!$B$70:$M$70</definedName>
    <definedName name="套工用途" localSheetId="46">'[1]土地比较法-工业'!$B$70:$M$70</definedName>
    <definedName name="套工用途">'土地比较法-工业'!$B$70:$M$70</definedName>
    <definedName name="套工宗地开发程度" localSheetId="31">'[1]土地比较法-工业'!$B$112:$M$112</definedName>
    <definedName name="套工宗地开发程度" localSheetId="46">'[1]土地比较法-工业'!$B$112:$M$112</definedName>
    <definedName name="套工宗地开发程度">'土地比较法-工业'!$B$112:$M$112</definedName>
    <definedName name="套工宗地形状" localSheetId="31">'[1]土地比较法-工业'!$B$110:$M$110</definedName>
    <definedName name="套工宗地形状" localSheetId="46">'[1]土地比较法-工业'!$B$110:$M$110</definedName>
    <definedName name="套工宗地形状">'土地比较法-工业'!$B$110:$M$110</definedName>
    <definedName name="套综道路等级" localSheetId="31">'[1]土地比较法-住宅、综合'!$B$106:$M$106</definedName>
    <definedName name="套综道路等级" localSheetId="4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31">'[1]土地比较法-住宅、综合'!$A$73:$M$73</definedName>
    <definedName name="套综交易情况" localSheetId="4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46">'[1]土地比较法-住宅、综合'!$B$108:$M$108</definedName>
    <definedName name="套综土地级别">'土地比较法-住宅、综合'!$B$108:$M$108</definedName>
    <definedName name="套综用途" localSheetId="31">'[1]土地比较法-住宅、综合'!$B$75:$M$75</definedName>
    <definedName name="套综用途" localSheetId="4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46">[1]定义!$C$1:$C$14</definedName>
    <definedName name="土地级别">定义!$C$1:$C$14</definedName>
    <definedName name="土地利用方向">定义!$P$1:$P$6</definedName>
    <definedName name="土地年限区间" localSheetId="31">[1]定义!$I$1:$I$8</definedName>
    <definedName name="土地年限区间" localSheetId="46">[1]定义!$I$1:$I$8</definedName>
    <definedName name="土地年限区间">定义!$I$1:$I$8</definedName>
    <definedName name="位置" localSheetId="31">[1]定义!$E$2:$E$4</definedName>
    <definedName name="位置" localSheetId="46">[1]定义!$E$2:$E$4</definedName>
    <definedName name="位置">定义!$E$2:$E$4</definedName>
    <definedName name="五等判定" localSheetId="31">[1]定义!$W$1:$W$6</definedName>
    <definedName name="五等判定" localSheetId="46">[1]定义!$W$1:$W$6</definedName>
    <definedName name="五等判定">定义!$W$1:$W$6</definedName>
    <definedName name="五级">区片价!$L$1:$L$35</definedName>
    <definedName name="项目类型" localSheetId="31">'[1]数据-汇总表'!$C$17:$C$26</definedName>
    <definedName name="项目类型" localSheetId="46">'[1]数据-汇总表'!$C$17:$C$26</definedName>
    <definedName name="项目类型">'数据-汇总表'!$C$17:$C$26</definedName>
    <definedName name="写字楼等级" localSheetId="31">'[1]比较法-办公'!$B$113:$M$113</definedName>
    <definedName name="写字楼等级" localSheetId="46">'[1]比较法-办公'!$B$113:$M$113</definedName>
    <definedName name="写字楼等级">'比较法-办公'!$B$113:$M$113</definedName>
    <definedName name="一级">区片价!$H$1:$H$6</definedName>
    <definedName name="一修多修正项2" localSheetId="31">[1]典型户型修正!$5:$5</definedName>
    <definedName name="一修多修正项2" localSheetId="46">[1]典型户型修正!$5:$5</definedName>
    <definedName name="一修多修正项2">典型户型修正!$5:$5</definedName>
    <definedName name="一修多修正项3" localSheetId="31">[1]典型户型修正!$7:$7</definedName>
    <definedName name="一修多修正项3" localSheetId="46">[1]典型户型修正!$7:$7</definedName>
    <definedName name="一修多修正项3">典型户型修正!$7:$7</definedName>
    <definedName name="一修多修正项4" localSheetId="31">[1]典型户型修正!$9:$9</definedName>
    <definedName name="一修多修正项4" localSheetId="46">[1]典型户型修正!$9:$9</definedName>
    <definedName name="一修多修正项4">典型户型修正!$9:$9</definedName>
    <definedName name="一修多修正项5" localSheetId="31">[1]典型户型修正!$11:$11</definedName>
    <definedName name="一修多修正项5" localSheetId="46">[1]典型户型修正!$11:$11</definedName>
    <definedName name="一修多修正项5">典型户型修正!$11:$11</definedName>
    <definedName name="一修多修正项6" localSheetId="31">[1]典型户型修正!$13:$13</definedName>
    <definedName name="一修多修正项6" localSheetId="46">[1]典型户型修正!$13:$13</definedName>
    <definedName name="一修多修正项6">典型户型修正!$13:$13</definedName>
    <definedName name="一修多修正项7" localSheetId="31">[1]典型户型修正!$15:$15</definedName>
    <definedName name="一修多修正项7" localSheetId="46">[1]典型户型修正!$15:$15</definedName>
    <definedName name="一修多修正项7">典型户型修正!$15:$15</definedName>
    <definedName name="一修多修正项8" localSheetId="31">[1]典型户型修正!$17:$17</definedName>
    <definedName name="一修多修正项8" localSheetId="46">[1]典型户型修正!$17:$17</definedName>
    <definedName name="一修多修正项8">典型户型修正!$17:$17</definedName>
    <definedName name="用途明细" localSheetId="31">[1]定义!$A$1:$A$50</definedName>
    <definedName name="用途明细" localSheetId="46">[1]定义!$A$1:$A$50</definedName>
    <definedName name="用途明细">定义!$A$1:$A$50</definedName>
    <definedName name="有无电梯" localSheetId="31">'[1]比较法-仓储'!$B$84:$M$84</definedName>
    <definedName name="有无电梯" localSheetId="46">'[1]比较法-仓储'!$B$84:$M$84</definedName>
    <definedName name="有无电梯">'比较法-仓储'!$B$84:$M$84</definedName>
    <definedName name="主用途" localSheetId="31">[1]定义!$F$1:$F$10</definedName>
    <definedName name="主用途" localSheetId="46">[1]定义!$F$1:$F$10</definedName>
    <definedName name="主用途">定义!$F$1:$F$10</definedName>
    <definedName name="住宅朝向" localSheetId="31">'[1]比较法-住宅'!$B$88:$M$88</definedName>
    <definedName name="住宅朝向" localSheetId="46">'[1]比较法-住宅'!$B$88:$M$88</definedName>
    <definedName name="住宅朝向">'比较法-住宅'!$B$88:$M$88</definedName>
    <definedName name="住宅房型" localSheetId="31">'[1]比较法-住宅'!$B$118:$M$118</definedName>
    <definedName name="住宅房型" localSheetId="46">'[1]比较法-住宅'!$B$118:$M$118</definedName>
    <definedName name="住宅房型">'比较法-住宅'!$B$118:$M$118</definedName>
    <definedName name="住宅公共部分装修" localSheetId="31">'[1]比较法-住宅'!$B$109:$M$109</definedName>
    <definedName name="住宅公共部分装修" localSheetId="46">'[1]比较法-住宅'!$B$109:$M$109</definedName>
    <definedName name="住宅公共部分装修">'比较法-住宅'!$B$109:$M$109</definedName>
    <definedName name="住宅基础设施水平" localSheetId="31">'[1]比较法-住宅'!$B$116:$M$116</definedName>
    <definedName name="住宅基础设施水平" localSheetId="46">'[1]比较法-住宅'!$B$116:$M$116</definedName>
    <definedName name="住宅基础设施水平">'比较法-住宅'!$B$116:$M$116</definedName>
    <definedName name="住宅建筑结构" localSheetId="31">'[1]比较法-住宅'!$B$105:$M$105</definedName>
    <definedName name="住宅建筑结构" localSheetId="46">'[1]比较法-住宅'!$B$105:$M$105</definedName>
    <definedName name="住宅建筑结构">'比较法-住宅'!$B$105:$M$105</definedName>
    <definedName name="住宅建筑类型" localSheetId="31">'[1]比较法-住宅'!$B$100:$M$100</definedName>
    <definedName name="住宅建筑类型" localSheetId="46">'[1]比较法-住宅'!$B$100:$M$100</definedName>
    <definedName name="住宅建筑类型">'比较法-住宅'!$B$100:$M$100</definedName>
    <definedName name="住宅建筑品质" localSheetId="31">'[1]比较法-住宅'!$B$107:$M$107</definedName>
    <definedName name="住宅建筑品质" localSheetId="46">'[1]比较法-住宅'!$B$107:$M$107</definedName>
    <definedName name="住宅建筑品质">'比较法-住宅'!$B$107:$M$107</definedName>
    <definedName name="住宅交易情况" localSheetId="31">'[1]比较法-住宅'!$A$61:$M$61</definedName>
    <definedName name="住宅交易情况" localSheetId="46">'[1]比较法-住宅'!$A$61:$M$61</definedName>
    <definedName name="住宅交易情况">'比较法-住宅'!$A$61:$M$61</definedName>
    <definedName name="住宅楼层" localSheetId="31">'[1]比较法-住宅'!$B$86:$M$86</definedName>
    <definedName name="住宅楼层" localSheetId="46">'[1]比较法-住宅'!$B$86:$M$86</definedName>
    <definedName name="住宅楼层">'比较法-住宅'!$B$86:$M$86</definedName>
    <definedName name="住宅内部装修" localSheetId="31">'[1]比较法-住宅'!$B$122:$M$122</definedName>
    <definedName name="住宅内部装修" localSheetId="46">'[1]比较法-住宅'!$B$122:$M$122</definedName>
    <definedName name="住宅内部装修">'比较法-住宅'!$B$122:$M$122</definedName>
    <definedName name="住宅物业管理" localSheetId="31">'[1]比较法-住宅'!$B$114:$M$114</definedName>
    <definedName name="住宅物业管理" localSheetId="46">'[1]比较法-住宅'!$B$114:$M$114</definedName>
    <definedName name="住宅物业管理">'比较法-住宅'!$B$114:$M$114</definedName>
    <definedName name="住宅用途" localSheetId="31">'[1]比较法-住宅'!$B$63:$M$63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8" i="77" l="1"/>
  <c r="O6" i="77"/>
  <c r="O2" i="77"/>
  <c r="O3" i="77"/>
  <c r="O4" i="77"/>
  <c r="O5" i="77"/>
  <c r="P2" i="77"/>
  <c r="G13" i="4"/>
  <c r="W20" i="1" l="1"/>
  <c r="B29" i="31"/>
  <c r="B28" i="31"/>
  <c r="B27" i="31"/>
  <c r="B26" i="31"/>
  <c r="B25" i="31"/>
  <c r="B24" i="31"/>
  <c r="C34" i="34" l="1"/>
  <c r="Y6" i="1" l="1"/>
  <c r="V20" i="1"/>
  <c r="N6" i="1"/>
  <c r="B15" i="74" l="1"/>
  <c r="H20" i="77" l="1"/>
  <c r="K13" i="3"/>
  <c r="O13" i="77" l="1"/>
  <c r="N13" i="77"/>
  <c r="H18" i="77"/>
  <c r="H19" i="77"/>
  <c r="H16" i="77"/>
  <c r="H14" i="77"/>
  <c r="G17" i="77"/>
  <c r="H17" i="77" s="1"/>
  <c r="G15" i="77"/>
  <c r="D15" i="77"/>
  <c r="H15" i="77" s="1"/>
  <c r="B5" i="77" l="1"/>
  <c r="P5" i="77" s="1"/>
  <c r="F5" i="77" l="1"/>
  <c r="E5" i="77"/>
  <c r="F4" i="77" l="1"/>
  <c r="E4" i="77" l="1"/>
  <c r="F3" i="77" l="1"/>
  <c r="E3" i="77"/>
  <c r="I46" i="39" l="1"/>
  <c r="G46" i="39"/>
  <c r="E46" i="39"/>
  <c r="I38" i="39"/>
  <c r="G38" i="39"/>
  <c r="E38" i="39"/>
  <c r="C38" i="39"/>
  <c r="E11" i="39"/>
  <c r="I7" i="39"/>
  <c r="I5" i="39"/>
  <c r="G7" i="39"/>
  <c r="G5" i="39"/>
  <c r="E7" i="39"/>
  <c r="E5" i="39"/>
  <c r="R3" i="78"/>
  <c r="S3" i="78" s="1"/>
  <c r="T3" i="78" s="1"/>
  <c r="P3" i="78"/>
  <c r="R2" i="78"/>
  <c r="P2" i="78"/>
  <c r="B4" i="77"/>
  <c r="B3" i="77"/>
  <c r="P3" i="77" s="1"/>
  <c r="I13" i="3" l="1"/>
  <c r="P4" i="77"/>
  <c r="Q2" i="77" s="1"/>
  <c r="Q3" i="77" s="1"/>
  <c r="B6" i="77"/>
  <c r="AH5" i="71"/>
  <c r="AG5" i="71"/>
  <c r="AE5" i="71"/>
  <c r="AF5" i="71" s="1"/>
  <c r="AD5" i="71"/>
  <c r="Q5" i="71"/>
  <c r="P5" i="71"/>
  <c r="O5" i="71"/>
  <c r="N5" i="71"/>
  <c r="A3" i="3"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E109" i="9"/>
  <c r="A124" i="9" s="1"/>
  <c r="B44" i="72"/>
  <c r="B42" i="72"/>
  <c r="B69" i="72"/>
  <c r="B68" i="72"/>
  <c r="B63" i="72"/>
  <c r="B62" i="72"/>
  <c r="B60" i="72"/>
  <c r="B67" i="72"/>
  <c r="B66" i="72"/>
  <c r="B10" i="72"/>
  <c r="C53" i="10"/>
  <c r="B51" i="10"/>
  <c r="B19" i="72"/>
  <c r="A18" i="51"/>
  <c r="B13" i="72" s="1"/>
  <c r="B49" i="48"/>
  <c r="B5" i="72" s="1"/>
  <c r="I19" i="43"/>
  <c r="D81" i="71"/>
  <c r="F80" i="71"/>
  <c r="F79" i="71" s="1"/>
  <c r="E80" i="71"/>
  <c r="E79" i="71"/>
  <c r="E78" i="71" s="1"/>
  <c r="C80" i="71"/>
  <c r="D80" i="71" s="1"/>
  <c r="B80" i="71"/>
  <c r="B79" i="71" s="1"/>
  <c r="F78" i="71"/>
  <c r="B78" i="71"/>
  <c r="D77" i="71"/>
  <c r="F76" i="71"/>
  <c r="F75" i="71" s="1"/>
  <c r="E76" i="71"/>
  <c r="E75" i="71"/>
  <c r="E74" i="71" s="1"/>
  <c r="C76" i="71"/>
  <c r="D76" i="71" s="1"/>
  <c r="B76" i="71"/>
  <c r="B75" i="71" s="1"/>
  <c r="F74" i="71"/>
  <c r="B74"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F60" i="71"/>
  <c r="V60" i="71"/>
  <c r="E60" i="71"/>
  <c r="P60" i="71"/>
  <c r="C60" i="71"/>
  <c r="B60" i="71"/>
  <c r="F59" i="71"/>
  <c r="F58" i="71" s="1"/>
  <c r="Q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c r="D49" i="71"/>
  <c r="Q48" i="71"/>
  <c r="P48" i="71"/>
  <c r="O48" i="71"/>
  <c r="N48" i="71"/>
  <c r="Q47" i="71"/>
  <c r="P47" i="71"/>
  <c r="O47" i="71"/>
  <c r="N47" i="71"/>
  <c r="Q46" i="71"/>
  <c r="P46" i="71"/>
  <c r="O46" i="71"/>
  <c r="N46" i="71"/>
  <c r="C46" i="71"/>
  <c r="Q45" i="71"/>
  <c r="F46" i="71"/>
  <c r="F47" i="71" s="1"/>
  <c r="F48" i="71" s="1"/>
  <c r="V48" i="71" s="1"/>
  <c r="P45" i="71"/>
  <c r="E46"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c r="U36" i="71" s="1"/>
  <c r="O33" i="71"/>
  <c r="C34" i="71" s="1"/>
  <c r="N33" i="71"/>
  <c r="B34" i="71" s="1"/>
  <c r="B35" i="71" s="1"/>
  <c r="B36" i="71" s="1"/>
  <c r="S36" i="71" s="1"/>
  <c r="D33" i="71"/>
  <c r="Q32" i="71"/>
  <c r="P32" i="71"/>
  <c r="O32" i="71"/>
  <c r="N32" i="71"/>
  <c r="AB31" i="71"/>
  <c r="Q31" i="71"/>
  <c r="P31" i="71"/>
  <c r="O31" i="71"/>
  <c r="Y31" i="71" s="1"/>
  <c r="Z31" i="7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Y28" i="71" s="1"/>
  <c r="Z28" i="71" s="1"/>
  <c r="N28" i="71"/>
  <c r="Q27" i="71"/>
  <c r="AB27" i="71" s="1"/>
  <c r="P27" i="71"/>
  <c r="O27" i="71"/>
  <c r="Y27" i="71"/>
  <c r="Z27" i="71" s="1"/>
  <c r="N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X21" i="71" s="1"/>
  <c r="Q22" i="71"/>
  <c r="AB22" i="71"/>
  <c r="P22" i="71"/>
  <c r="O22" i="71"/>
  <c r="Y22" i="71" s="1"/>
  <c r="Z22" i="71" s="1"/>
  <c r="N22" i="71"/>
  <c r="Q21" i="71"/>
  <c r="AB21" i="71" s="1"/>
  <c r="P21" i="71"/>
  <c r="O21" i="71"/>
  <c r="N21" i="71"/>
  <c r="D21" i="71"/>
  <c r="O20" i="71"/>
  <c r="N20" i="71"/>
  <c r="B20" i="71" s="1"/>
  <c r="B22" i="71"/>
  <c r="B23" i="71"/>
  <c r="B24" i="71" s="1"/>
  <c r="S24" i="71" s="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X22" i="71"/>
  <c r="X23" i="71"/>
  <c r="X24" i="71"/>
  <c r="C26" i="71"/>
  <c r="C27" i="71" s="1"/>
  <c r="Y25" i="71"/>
  <c r="Z25" i="71" s="1"/>
  <c r="AB25" i="71"/>
  <c r="AA26" i="71"/>
  <c r="AA27" i="71"/>
  <c r="X28" i="71"/>
  <c r="AA28" i="71"/>
  <c r="Y29" i="71"/>
  <c r="Z29" i="71" s="1"/>
  <c r="AB29" i="71"/>
  <c r="X30" i="71"/>
  <c r="AA30" i="71"/>
  <c r="F44" i="71"/>
  <c r="V44" i="71" s="1"/>
  <c r="C20" i="71"/>
  <c r="B19" i="71"/>
  <c r="B18" i="71" s="1"/>
  <c r="X17" i="71"/>
  <c r="X18" i="71"/>
  <c r="X19" i="71"/>
  <c r="X20" i="71"/>
  <c r="C23" i="71"/>
  <c r="D22" i="71"/>
  <c r="D26" i="71"/>
  <c r="C31" i="71"/>
  <c r="D30" i="71"/>
  <c r="C35" i="71"/>
  <c r="D34" i="71"/>
  <c r="C39" i="71"/>
  <c r="D39" i="71"/>
  <c r="D38" i="71"/>
  <c r="C43" i="71"/>
  <c r="D42" i="71"/>
  <c r="P20" i="71"/>
  <c r="E47" i="71"/>
  <c r="E48" i="71"/>
  <c r="U48" i="71" s="1"/>
  <c r="E51" i="71"/>
  <c r="E52" i="71" s="1"/>
  <c r="U52" i="71" s="1"/>
  <c r="E55" i="71"/>
  <c r="E56" i="71"/>
  <c r="U56" i="71" s="1"/>
  <c r="Q57" i="71"/>
  <c r="U60" i="71"/>
  <c r="E59" i="71"/>
  <c r="Q20" i="71"/>
  <c r="C47" i="71"/>
  <c r="D46" i="71"/>
  <c r="C51" i="71"/>
  <c r="D50" i="71"/>
  <c r="C55" i="71"/>
  <c r="D54"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s="1"/>
  <c r="AB17" i="71"/>
  <c r="AB18" i="71"/>
  <c r="AB19" i="71"/>
  <c r="AB20" i="71"/>
  <c r="E20" i="71"/>
  <c r="E19" i="71" s="1"/>
  <c r="E18" i="71" s="1"/>
  <c r="AA3" i="71"/>
  <c r="AA17" i="71"/>
  <c r="AA18" i="71"/>
  <c r="AA19" i="71"/>
  <c r="AA20" i="71"/>
  <c r="D20" i="71"/>
  <c r="U20" i="71" s="1"/>
  <c r="C58" i="71"/>
  <c r="D58" i="71" s="1"/>
  <c r="O59" i="71"/>
  <c r="D59" i="71"/>
  <c r="C56" i="71"/>
  <c r="D55" i="71"/>
  <c r="D75" i="71"/>
  <c r="C74" i="71"/>
  <c r="D74" i="71" s="1"/>
  <c r="D67" i="71"/>
  <c r="C66" i="71"/>
  <c r="D66" i="71"/>
  <c r="D79" i="71"/>
  <c r="C78" i="71"/>
  <c r="D78" i="71" s="1"/>
  <c r="D71" i="71"/>
  <c r="C70" i="71"/>
  <c r="D70" i="71"/>
  <c r="D63" i="71"/>
  <c r="C62" i="71"/>
  <c r="D62" i="71" s="1"/>
  <c r="C52" i="71"/>
  <c r="T52" i="71" s="1"/>
  <c r="D51" i="71"/>
  <c r="C48" i="71"/>
  <c r="T48" i="71" s="1"/>
  <c r="D47" i="71"/>
  <c r="P59" i="71"/>
  <c r="E58" i="71"/>
  <c r="C44" i="71"/>
  <c r="T44" i="71" s="1"/>
  <c r="D43" i="71"/>
  <c r="C36" i="71"/>
  <c r="T36" i="71" s="1"/>
  <c r="D35" i="71"/>
  <c r="C32" i="71"/>
  <c r="T32" i="71" s="1"/>
  <c r="D31" i="71"/>
  <c r="C28" i="71"/>
  <c r="T28" i="71" s="1"/>
  <c r="D27" i="71"/>
  <c r="C24" i="71"/>
  <c r="T24" i="71" s="1"/>
  <c r="D23" i="71"/>
  <c r="C18" i="71"/>
  <c r="D18" i="71" s="1"/>
  <c r="D19" i="71"/>
  <c r="V20" i="71"/>
  <c r="P57" i="71"/>
  <c r="P58" i="71"/>
  <c r="O58" i="71"/>
  <c r="O57" i="71"/>
  <c r="D24" i="71"/>
  <c r="D28" i="71"/>
  <c r="D32" i="71"/>
  <c r="M19" i="43" s="1"/>
  <c r="D36" i="71"/>
  <c r="D44" i="71"/>
  <c r="D48" i="71"/>
  <c r="D52"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H25" i="40"/>
  <c r="J25" i="40"/>
  <c r="H29" i="39"/>
  <c r="U29" i="39" s="1"/>
  <c r="J29" i="39"/>
  <c r="W29" i="39" s="1"/>
  <c r="J18" i="36"/>
  <c r="W18" i="36" s="1"/>
  <c r="H18" i="35"/>
  <c r="U18" i="35" s="1"/>
  <c r="S18" i="35"/>
  <c r="J18" i="35"/>
  <c r="F77" i="37"/>
  <c r="H21" i="37"/>
  <c r="F21" i="37"/>
  <c r="S21" i="37" s="1"/>
  <c r="H21" i="34"/>
  <c r="AB21" i="34" s="1"/>
  <c r="F83" i="33"/>
  <c r="G83" i="33" s="1"/>
  <c r="H21" i="33"/>
  <c r="F21" i="33"/>
  <c r="S21" i="33" s="1"/>
  <c r="E83" i="21"/>
  <c r="S21" i="21"/>
  <c r="H1" i="69"/>
  <c r="AC25" i="40"/>
  <c r="W25" i="40"/>
  <c r="AB25" i="40"/>
  <c r="U25" i="40"/>
  <c r="AB29" i="39"/>
  <c r="AC29" i="39"/>
  <c r="AC18" i="36"/>
  <c r="AB21" i="37"/>
  <c r="U21" i="37"/>
  <c r="AA21" i="37"/>
  <c r="U21" i="33"/>
  <c r="AB21" i="33"/>
  <c r="AA21" i="33"/>
  <c r="AB18" i="35"/>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AC21" i="34"/>
  <c r="W21" i="33"/>
  <c r="U21" i="21"/>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D67" i="43" s="1"/>
  <c r="M66" i="43"/>
  <c r="N66" i="43" s="1"/>
  <c r="K66" i="43"/>
  <c r="J66" i="43" s="1"/>
  <c r="M65" i="43"/>
  <c r="N65" i="43" s="1"/>
  <c r="K65" i="43"/>
  <c r="D65" i="43" s="1"/>
  <c r="M64" i="43"/>
  <c r="N64" i="43" s="1"/>
  <c r="K64" i="43"/>
  <c r="J64" i="43" s="1"/>
  <c r="D64" i="43" s="1"/>
  <c r="M63" i="43"/>
  <c r="N63" i="43" s="1"/>
  <c r="D63" i="43" s="1"/>
  <c r="K63" i="43"/>
  <c r="J63" i="43" s="1"/>
  <c r="M62" i="43"/>
  <c r="N62" i="43" s="1"/>
  <c r="K62" i="43"/>
  <c r="D62" i="43" s="1"/>
  <c r="M61" i="43"/>
  <c r="N61" i="43" s="1"/>
  <c r="K61" i="43"/>
  <c r="D61" i="43" s="1"/>
  <c r="M60" i="43"/>
  <c r="N60" i="43" s="1"/>
  <c r="K60" i="43"/>
  <c r="J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S42" i="34" s="1"/>
  <c r="J38" i="34"/>
  <c r="W38" i="34" s="1"/>
  <c r="D114" i="34"/>
  <c r="F38" i="34"/>
  <c r="S38" i="34" s="1"/>
  <c r="D112" i="34"/>
  <c r="E112" i="34"/>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D82" i="34"/>
  <c r="E82" i="34"/>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AB9" i="34" s="1"/>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G3" i="43" s="1"/>
  <c r="I101" i="43" s="1"/>
  <c r="I107"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AA36" i="34" s="1"/>
  <c r="J35" i="34"/>
  <c r="AC35" i="34" s="1"/>
  <c r="S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H17" i="40"/>
  <c r="U17" i="40" s="1"/>
  <c r="J15" i="40"/>
  <c r="W15" i="40" s="1"/>
  <c r="J11" i="40"/>
  <c r="W11" i="40" s="1"/>
  <c r="AB12" i="33"/>
  <c r="AC12" i="34"/>
  <c r="AA12" i="34"/>
  <c r="AB12" i="35"/>
  <c r="AB12" i="36"/>
  <c r="W32" i="40"/>
  <c r="S44" i="39"/>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H40" i="34"/>
  <c r="U40" i="34" s="1"/>
  <c r="E114" i="34"/>
  <c r="H36" i="34"/>
  <c r="U36" i="34" s="1"/>
  <c r="F28" i="34"/>
  <c r="AA28" i="34" s="1"/>
  <c r="F27" i="34"/>
  <c r="AA27" i="34" s="1"/>
  <c r="F25" i="34"/>
  <c r="S25" i="34" s="1"/>
  <c r="F15" i="34"/>
  <c r="AA15" i="34" s="1"/>
  <c r="J15" i="34"/>
  <c r="W15" i="34" s="1"/>
  <c r="H15" i="34"/>
  <c r="AB15" i="34" s="1"/>
  <c r="S9" i="34"/>
  <c r="J28" i="34"/>
  <c r="W28" i="34" s="1"/>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0" i="34"/>
  <c r="W40" i="34" s="1"/>
  <c r="F114" i="34"/>
  <c r="G114" i="34" s="1"/>
  <c r="H114" i="34" s="1"/>
  <c r="I114" i="34" s="1"/>
  <c r="J114" i="34" s="1"/>
  <c r="K114" i="34" s="1"/>
  <c r="L114" i="34" s="1"/>
  <c r="M114" i="34" s="1"/>
  <c r="H38" i="34"/>
  <c r="AB38" i="34" s="1"/>
  <c r="J36" i="34"/>
  <c r="W36" i="34" s="1"/>
  <c r="H25" i="34"/>
  <c r="AB25" i="34" s="1"/>
  <c r="J25" i="34"/>
  <c r="AC25" i="34" s="1"/>
  <c r="J19" i="34"/>
  <c r="AC19" i="34" s="1"/>
  <c r="S41" i="33"/>
  <c r="G113" i="33"/>
  <c r="H113" i="33" s="1"/>
  <c r="I113" i="33" s="1"/>
  <c r="J113" i="33" s="1"/>
  <c r="K113" i="33" s="1"/>
  <c r="L113" i="33" s="1"/>
  <c r="M113" i="33" s="1"/>
  <c r="H37" i="33"/>
  <c r="AB37" i="33"/>
  <c r="H15" i="33"/>
  <c r="AB15" i="33"/>
  <c r="H11" i="33"/>
  <c r="AB11" i="33"/>
  <c r="F28" i="40"/>
  <c r="AA28" i="40"/>
  <c r="AA29" i="35"/>
  <c r="AA42" i="34"/>
  <c r="AC38" i="34"/>
  <c r="AA38" i="34"/>
  <c r="J11" i="33"/>
  <c r="W11" i="33"/>
  <c r="G123" i="21"/>
  <c r="H123" i="21" s="1"/>
  <c r="I123" i="21" s="1"/>
  <c r="J123" i="21" s="1"/>
  <c r="K123" i="21" s="1"/>
  <c r="L123" i="21" s="1"/>
  <c r="M123" i="21" s="1"/>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H30" i="34"/>
  <c r="F30" i="34"/>
  <c r="S30" i="34" s="1"/>
  <c r="J30" i="34"/>
  <c r="W30" i="34" s="1"/>
  <c r="H32" i="34"/>
  <c r="AB32" i="34" s="1"/>
  <c r="F32" i="34"/>
  <c r="AA32" i="34" s="1"/>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J36" i="37"/>
  <c r="AC36" i="37" s="1"/>
  <c r="G105" i="37"/>
  <c r="AB11" i="36"/>
  <c r="AB11" i="35"/>
  <c r="J10" i="36"/>
  <c r="AC10" i="36"/>
  <c r="AB26" i="33"/>
  <c r="AB30" i="21"/>
  <c r="AC13" i="36"/>
  <c r="W13" i="36"/>
  <c r="S11" i="36"/>
  <c r="W11" i="36"/>
  <c r="W11" i="35"/>
  <c r="AB46" i="34"/>
  <c r="AC30" i="34"/>
  <c r="AA14" i="34"/>
  <c r="S45" i="33"/>
  <c r="AB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43" i="33"/>
  <c r="U14" i="40"/>
  <c r="AC32" i="36"/>
  <c r="AC33" i="36"/>
  <c r="U35" i="35"/>
  <c r="AA12" i="35"/>
  <c r="W23" i="35"/>
  <c r="W14" i="37"/>
  <c r="AB28" i="37"/>
  <c r="U33" i="37"/>
  <c r="U39" i="37"/>
  <c r="W26" i="37"/>
  <c r="AC8" i="37"/>
  <c r="U26" i="37"/>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A12" i="52"/>
  <c r="B56" i="72" s="1"/>
  <c r="G4" i="4"/>
  <c r="I4" i="4"/>
  <c r="K5" i="4" s="1"/>
  <c r="B47" i="48" s="1"/>
  <c r="A2" i="9"/>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U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s="1"/>
  <c r="H86" i="43"/>
  <c r="H87" i="43"/>
  <c r="K9" i="1"/>
  <c r="M9" i="1" s="1"/>
  <c r="AE9" i="1"/>
  <c r="D93" i="9"/>
  <c r="G29" i="6"/>
  <c r="E29" i="6" s="1"/>
  <c r="AC26" i="33"/>
  <c r="W26" i="33"/>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O12" i="1" s="1"/>
  <c r="P12" i="1" s="1"/>
  <c r="S13" i="1"/>
  <c r="AR13" i="1" s="1"/>
  <c r="R13" i="1"/>
  <c r="S11" i="1"/>
  <c r="R11" i="1"/>
  <c r="S9" i="1"/>
  <c r="R9" i="1"/>
  <c r="J51" i="67"/>
  <c r="C42" i="1"/>
  <c r="C13" i="12" s="1"/>
  <c r="H100" i="43"/>
  <c r="C30" i="66"/>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F107" i="39"/>
  <c r="G107" i="39"/>
  <c r="H107" i="39" s="1"/>
  <c r="I107" i="39" s="1"/>
  <c r="J107" i="39" s="1"/>
  <c r="K107" i="39" s="1"/>
  <c r="L107" i="39" s="1"/>
  <c r="M107" i="39" s="1"/>
  <c r="U25" i="39"/>
  <c r="AB27" i="39"/>
  <c r="U31" i="39"/>
  <c r="S25" i="39"/>
  <c r="J21" i="39"/>
  <c r="F21" i="39"/>
  <c r="S21" i="39" s="1"/>
  <c r="G95" i="39"/>
  <c r="H21" i="39"/>
  <c r="U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U9" i="37"/>
  <c r="AA13" i="37"/>
  <c r="AA12" i="37"/>
  <c r="AA9" i="37"/>
  <c r="H10" i="37"/>
  <c r="U10" i="37" s="1"/>
  <c r="H60" i="37"/>
  <c r="F63" i="37"/>
  <c r="F11" i="37"/>
  <c r="S11" i="37"/>
  <c r="AB8" i="34"/>
  <c r="W41" i="34"/>
  <c r="AC42" i="34"/>
  <c r="U39" i="34"/>
  <c r="AB41" i="34"/>
  <c r="W34" i="34"/>
  <c r="U15" i="34"/>
  <c r="S13" i="34"/>
  <c r="H10" i="34"/>
  <c r="U10" i="34" s="1"/>
  <c r="F11" i="34"/>
  <c r="S11" i="34" s="1"/>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BA13" i="3"/>
  <c r="AZ13" i="3" s="1"/>
  <c r="E10" i="6"/>
  <c r="BA5" i="3"/>
  <c r="E11" i="6"/>
  <c r="BL17" i="3"/>
  <c r="AZ17" i="3" s="1"/>
  <c r="BL13" i="3"/>
  <c r="BL5" i="3" s="1"/>
  <c r="J56" i="9"/>
  <c r="J57" i="9" s="1"/>
  <c r="J59" i="9" s="1"/>
  <c r="J61" i="9" s="1"/>
  <c r="A24" i="51"/>
  <c r="B18" i="72" s="1"/>
  <c r="E14" i="6"/>
  <c r="E5" i="6"/>
  <c r="D9" i="11" s="1"/>
  <c r="C9" i="11" s="1"/>
  <c r="P10" i="1"/>
  <c r="D101" i="43"/>
  <c r="D106" i="43" s="1"/>
  <c r="E32" i="6"/>
  <c r="L19" i="6"/>
  <c r="G1" i="68"/>
  <c r="K1" i="12"/>
  <c r="F30" i="6"/>
  <c r="S2" i="43"/>
  <c r="AR12" i="1"/>
  <c r="T12" i="1"/>
  <c r="T10" i="1"/>
  <c r="E19" i="69"/>
  <c r="E19" i="68"/>
  <c r="E19" i="11"/>
  <c r="E1" i="73"/>
  <c r="G41" i="69"/>
  <c r="G22" i="69"/>
  <c r="G41" i="68"/>
  <c r="G22" i="68"/>
  <c r="G27" i="12"/>
  <c r="G26" i="12"/>
  <c r="G41" i="11"/>
  <c r="G22" i="11"/>
  <c r="G25" i="12"/>
  <c r="C100" i="43"/>
  <c r="E81" i="43"/>
  <c r="B79" i="43" s="1"/>
  <c r="E48" i="43"/>
  <c r="B46" i="43" s="1"/>
  <c r="E70" i="43"/>
  <c r="B68" i="43" s="1"/>
  <c r="F100" i="43"/>
  <c r="H17" i="43"/>
  <c r="G6" i="1"/>
  <c r="H81" i="43"/>
  <c r="H88" i="43"/>
  <c r="H71" i="43"/>
  <c r="C17" i="43"/>
  <c r="F33" i="43"/>
  <c r="K17" i="43"/>
  <c r="F34" i="43"/>
  <c r="N6" i="43"/>
  <c r="N3" i="43"/>
  <c r="F38" i="43"/>
  <c r="F37" i="43"/>
  <c r="M9" i="43"/>
  <c r="N5" i="43"/>
  <c r="M12" i="43"/>
  <c r="B19" i="53"/>
  <c r="B37" i="72" s="1"/>
  <c r="C7" i="39"/>
  <c r="C68" i="39" s="1"/>
  <c r="C7" i="35"/>
  <c r="C7" i="33"/>
  <c r="C58" i="33" s="1"/>
  <c r="C7" i="21"/>
  <c r="C58" i="21" s="1"/>
  <c r="C7" i="40"/>
  <c r="C63" i="40" s="1"/>
  <c r="D63" i="40" s="1"/>
  <c r="E63" i="40" s="1"/>
  <c r="E65" i="40" s="1"/>
  <c r="M47" i="9"/>
  <c r="G19" i="43"/>
  <c r="O19" i="43" s="1"/>
  <c r="T35" i="4"/>
  <c r="A19" i="51"/>
  <c r="B14" i="72" s="1"/>
  <c r="C46" i="36"/>
  <c r="C59" i="34"/>
  <c r="D59" i="34" s="1"/>
  <c r="E59" i="34" s="1"/>
  <c r="C52" i="37"/>
  <c r="A4" i="51"/>
  <c r="B6" i="72" s="1"/>
  <c r="C48" i="35"/>
  <c r="C4" i="12"/>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C45" i="34"/>
  <c r="AA30" i="34"/>
  <c r="AB45" i="34"/>
  <c r="AB36" i="34"/>
  <c r="AC14" i="34"/>
  <c r="AC32" i="34"/>
  <c r="AC29" i="34"/>
  <c r="W29" i="34"/>
  <c r="W46" i="34"/>
  <c r="AC46" i="34"/>
  <c r="S32" i="34"/>
  <c r="U30" i="34"/>
  <c r="AB30" i="34"/>
  <c r="U38" i="34"/>
  <c r="AC40" i="34"/>
  <c r="S8" i="34"/>
  <c r="U9" i="34"/>
  <c r="S46" i="34"/>
  <c r="AA46" i="34"/>
  <c r="U32" i="34"/>
  <c r="U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D9" i="69"/>
  <c r="C9" i="69" s="1"/>
  <c r="AR11" i="1"/>
  <c r="T9" i="1"/>
  <c r="S7" i="1"/>
  <c r="AR7" i="1" s="1"/>
  <c r="E7" i="70"/>
  <c r="AA39" i="40"/>
  <c r="S39" i="40"/>
  <c r="S12" i="33"/>
  <c r="J32" i="39"/>
  <c r="AC32" i="39" s="1"/>
  <c r="H32" i="39"/>
  <c r="AA32" i="39"/>
  <c r="AB21" i="39"/>
  <c r="AA21" i="39"/>
  <c r="AC21" i="39"/>
  <c r="W21" i="39"/>
  <c r="S26" i="35"/>
  <c r="AB9" i="35"/>
  <c r="AA9" i="35"/>
  <c r="S9" i="35"/>
  <c r="AC26" i="35"/>
  <c r="W26" i="35"/>
  <c r="U26" i="35"/>
  <c r="S17" i="37"/>
  <c r="J19" i="37"/>
  <c r="G75" i="37"/>
  <c r="S19" i="37"/>
  <c r="AA19" i="37"/>
  <c r="AA23" i="37"/>
  <c r="J23" i="37"/>
  <c r="W23" i="37" s="1"/>
  <c r="J10" i="37"/>
  <c r="AC10" i="37" s="1"/>
  <c r="I60" i="37"/>
  <c r="G63" i="37"/>
  <c r="H63" i="37" s="1"/>
  <c r="H11" i="37"/>
  <c r="AB10" i="37"/>
  <c r="H11" i="34"/>
  <c r="AB11" i="34" s="1"/>
  <c r="J10" i="34"/>
  <c r="AC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S6" i="43"/>
  <c r="S7" i="43"/>
  <c r="AQ8" i="1"/>
  <c r="L27" i="6"/>
  <c r="AP7" i="1"/>
  <c r="M7" i="1"/>
  <c r="O7" i="1" s="1"/>
  <c r="AB45" i="21"/>
  <c r="W33" i="21"/>
  <c r="S33" i="21"/>
  <c r="AA33" i="21"/>
  <c r="AC32" i="21"/>
  <c r="U9" i="21"/>
  <c r="AA32" i="21"/>
  <c r="S32" i="21"/>
  <c r="W9" i="21"/>
  <c r="AC9" i="21"/>
  <c r="AB32" i="21"/>
  <c r="U32" i="21"/>
  <c r="S10" i="21"/>
  <c r="U32" i="39"/>
  <c r="AB32" i="39"/>
  <c r="W32" i="39"/>
  <c r="W19" i="37"/>
  <c r="AC19" i="37"/>
  <c r="AC23" i="37"/>
  <c r="AB11" i="37"/>
  <c r="U11" i="37"/>
  <c r="I63" i="37"/>
  <c r="J63" i="37" s="1"/>
  <c r="K63" i="37" s="1"/>
  <c r="L63" i="37" s="1"/>
  <c r="M63" i="37" s="1"/>
  <c r="J11" i="37"/>
  <c r="W10" i="37"/>
  <c r="J11" i="34"/>
  <c r="W36" i="33"/>
  <c r="U36" i="33"/>
  <c r="AB36" i="33"/>
  <c r="W27" i="33"/>
  <c r="AC27" i="33"/>
  <c r="W25" i="33"/>
  <c r="AC25" i="33"/>
  <c r="S23" i="33"/>
  <c r="AB19" i="33"/>
  <c r="U19" i="33"/>
  <c r="AA17" i="33"/>
  <c r="S17" i="33"/>
  <c r="AB17" i="33"/>
  <c r="AB23" i="21"/>
  <c r="AC23" i="21"/>
  <c r="W23" i="21"/>
  <c r="AC11" i="37"/>
  <c r="W11" i="37"/>
  <c r="R7" i="1"/>
  <c r="F34" i="11"/>
  <c r="F11" i="12"/>
  <c r="C23" i="12" s="1"/>
  <c r="F34" i="68"/>
  <c r="R8" i="1"/>
  <c r="AE7" i="1"/>
  <c r="AE8" i="1"/>
  <c r="AG6" i="1"/>
  <c r="H109" i="9"/>
  <c r="H112" i="9"/>
  <c r="D21" i="53" s="1"/>
  <c r="B39" i="72" s="1"/>
  <c r="H111" i="9"/>
  <c r="D126" i="9"/>
  <c r="I14" i="74" s="1"/>
  <c r="B8" i="74" s="1"/>
  <c r="D19" i="53"/>
  <c r="B38" i="72"/>
  <c r="D20" i="53"/>
  <c r="B40" i="72"/>
  <c r="AD3" i="71"/>
  <c r="J1" i="73"/>
  <c r="H77" i="43"/>
  <c r="H76" i="43"/>
  <c r="H51" i="43"/>
  <c r="M4" i="43"/>
  <c r="M5" i="43"/>
  <c r="N12" i="43"/>
  <c r="N11" i="43"/>
  <c r="M10" i="43"/>
  <c r="M2" i="43"/>
  <c r="M7" i="43"/>
  <c r="H70" i="43"/>
  <c r="N9" i="43"/>
  <c r="M8" i="43"/>
  <c r="C6" i="43" s="1"/>
  <c r="N10" i="43"/>
  <c r="H74" i="43"/>
  <c r="M6" i="43"/>
  <c r="N7" i="43"/>
  <c r="N4" i="43"/>
  <c r="N2" i="43"/>
  <c r="N17" i="43"/>
  <c r="L17" i="43"/>
  <c r="O17" i="43"/>
  <c r="M17" i="43"/>
  <c r="E17" i="43"/>
  <c r="D58" i="21"/>
  <c r="E58" i="21" s="1"/>
  <c r="F58" i="21" s="1"/>
  <c r="G58" i="21" s="1"/>
  <c r="H58" i="21" s="1"/>
  <c r="I58" i="21" s="1"/>
  <c r="J58" i="21" s="1"/>
  <c r="K58" i="21" s="1"/>
  <c r="L58" i="21" s="1"/>
  <c r="M58" i="21" s="1"/>
  <c r="N58" i="21" s="1"/>
  <c r="O58" i="21" s="1"/>
  <c r="AB14" i="71"/>
  <c r="X12" i="71"/>
  <c r="X11" i="71"/>
  <c r="AA12" i="71"/>
  <c r="AA11" i="71"/>
  <c r="X15" i="71"/>
  <c r="Y11" i="71"/>
  <c r="Z11" i="71" s="1"/>
  <c r="AB12" i="71"/>
  <c r="AB11" i="71"/>
  <c r="F13" i="71"/>
  <c r="F12" i="71"/>
  <c r="F11" i="71" s="1"/>
  <c r="F10" i="71" s="1"/>
  <c r="F9" i="71" s="1"/>
  <c r="Y12" i="71"/>
  <c r="Z12" i="71" s="1"/>
  <c r="X3" i="71"/>
  <c r="E13" i="71"/>
  <c r="E12" i="71" s="1"/>
  <c r="E11" i="71" s="1"/>
  <c r="E10" i="71" s="1"/>
  <c r="E9" i="71" s="1"/>
  <c r="E8" i="71" s="1"/>
  <c r="AO8" i="1"/>
  <c r="E2" i="68"/>
  <c r="B13" i="76"/>
  <c r="D2" i="37"/>
  <c r="E9" i="76"/>
  <c r="F3" i="73"/>
  <c r="D2" i="21"/>
  <c r="B9" i="76"/>
  <c r="D2" i="35"/>
  <c r="F43" i="67"/>
  <c r="F38" i="67"/>
  <c r="L48" i="67"/>
  <c r="B8" i="76"/>
  <c r="F16" i="67"/>
  <c r="M28" i="67"/>
  <c r="F4" i="73"/>
  <c r="M29" i="67"/>
  <c r="E10" i="76"/>
  <c r="AO11" i="1"/>
  <c r="F26" i="15"/>
  <c r="F40" i="15"/>
  <c r="F42" i="67"/>
  <c r="F37" i="67"/>
  <c r="F16" i="15"/>
  <c r="E12" i="76"/>
  <c r="B11" i="76"/>
  <c r="E11" i="76"/>
  <c r="F37" i="15"/>
  <c r="F5" i="73"/>
  <c r="AO12" i="1"/>
  <c r="M21" i="67"/>
  <c r="M24" i="67"/>
  <c r="M8" i="15"/>
  <c r="E13" i="76"/>
  <c r="AO7" i="1"/>
  <c r="F6" i="73"/>
  <c r="F20" i="31"/>
  <c r="AO13" i="1"/>
  <c r="F13" i="15"/>
  <c r="J15" i="67"/>
  <c r="M22" i="67"/>
  <c r="E7" i="76"/>
  <c r="F40" i="67"/>
  <c r="B10" i="76"/>
  <c r="F7" i="73"/>
  <c r="F7" i="67"/>
  <c r="F38" i="15"/>
  <c r="F35" i="67"/>
  <c r="M8" i="67"/>
  <c r="M23" i="67"/>
  <c r="L47" i="67"/>
  <c r="D5" i="73"/>
  <c r="L47" i="15"/>
  <c r="F6" i="67"/>
  <c r="AO9" i="1"/>
  <c r="E2" i="69"/>
  <c r="B12" i="76"/>
  <c r="B7" i="76"/>
  <c r="D2" i="33"/>
  <c r="F42" i="15"/>
  <c r="D2" i="34"/>
  <c r="C76" i="67"/>
  <c r="AO10" i="1"/>
  <c r="E8" i="76"/>
  <c r="D2" i="36"/>
  <c r="M27" i="15"/>
  <c r="C5" i="11" l="1"/>
  <c r="E7" i="71"/>
  <c r="E6" i="71" s="1"/>
  <c r="E5" i="71" s="1"/>
  <c r="V8" i="71"/>
  <c r="H110" i="9"/>
  <c r="D18" i="53" s="1"/>
  <c r="B35" i="72" s="1"/>
  <c r="D16" i="53"/>
  <c r="AZ521" i="3"/>
  <c r="V12" i="71"/>
  <c r="D124" i="9"/>
  <c r="W11" i="34"/>
  <c r="AC11" i="34"/>
  <c r="G30" i="6"/>
  <c r="G31" i="6" s="1"/>
  <c r="E28" i="6"/>
  <c r="K14" i="1" s="1"/>
  <c r="M14" i="1" s="1"/>
  <c r="O14" i="1" s="1"/>
  <c r="P14" i="1" s="1"/>
  <c r="AB23" i="40"/>
  <c r="U23" i="40"/>
  <c r="C36" i="69"/>
  <c r="F63" i="40"/>
  <c r="C77" i="9"/>
  <c r="C74" i="9" s="1"/>
  <c r="T8" i="1"/>
  <c r="S13" i="21"/>
  <c r="AA23" i="21"/>
  <c r="AC17" i="37"/>
  <c r="AC15" i="21"/>
  <c r="G5" i="3"/>
  <c r="B3" i="3" s="1"/>
  <c r="AB27" i="36"/>
  <c r="AA27" i="40"/>
  <c r="AB27" i="40"/>
  <c r="AA34" i="33"/>
  <c r="AA14" i="37"/>
  <c r="AA14" i="33"/>
  <c r="AA13" i="35"/>
  <c r="AB30" i="35"/>
  <c r="U30" i="35"/>
  <c r="AC34" i="35"/>
  <c r="W34" i="35"/>
  <c r="F34" i="35"/>
  <c r="H34" i="35"/>
  <c r="J36" i="35"/>
  <c r="H24" i="36"/>
  <c r="F25" i="37"/>
  <c r="AZ409" i="3"/>
  <c r="AZ416" i="3"/>
  <c r="AZ425" i="3"/>
  <c r="AZ432" i="3"/>
  <c r="AZ448" i="3"/>
  <c r="AZ452" i="3"/>
  <c r="AZ461" i="3"/>
  <c r="AZ463" i="3"/>
  <c r="AZ468" i="3"/>
  <c r="AZ470" i="3"/>
  <c r="AZ485" i="3"/>
  <c r="AZ216" i="3"/>
  <c r="AZ236" i="3"/>
  <c r="AZ252" i="3"/>
  <c r="AZ272" i="3"/>
  <c r="AZ276" i="3"/>
  <c r="AZ289" i="3"/>
  <c r="AZ294" i="3"/>
  <c r="AZ300" i="3"/>
  <c r="AZ122" i="3"/>
  <c r="AZ125" i="3"/>
  <c r="AZ22" i="3"/>
  <c r="AZ5" i="3" s="1"/>
  <c r="AZ54" i="3"/>
  <c r="AZ57" i="3"/>
  <c r="AZ70" i="3"/>
  <c r="A15" i="62"/>
  <c r="B61" i="72" s="1"/>
  <c r="AZ221" i="3"/>
  <c r="AZ103" i="3"/>
  <c r="AZ76" i="3"/>
  <c r="AZ90" i="3"/>
  <c r="AZ92" i="3"/>
  <c r="X25" i="71"/>
  <c r="X26" i="71"/>
  <c r="X27" i="71"/>
  <c r="AA31" i="71"/>
  <c r="AA29" i="71"/>
  <c r="C32" i="66"/>
  <c r="E26" i="66" s="1"/>
  <c r="D22" i="67"/>
  <c r="Y21" i="71"/>
  <c r="Z21" i="71" s="1"/>
  <c r="Y17" i="71"/>
  <c r="Z17" i="71" s="1"/>
  <c r="Y18" i="71"/>
  <c r="Z18" i="71" s="1"/>
  <c r="Y19" i="71"/>
  <c r="Z19" i="71" s="1"/>
  <c r="Y20" i="71"/>
  <c r="Z20" i="71" s="1"/>
  <c r="F22" i="71"/>
  <c r="F23" i="71" s="1"/>
  <c r="F24" i="71" s="1"/>
  <c r="V24" i="71" s="1"/>
  <c r="AA22" i="71"/>
  <c r="AA23" i="71"/>
  <c r="AA25" i="71"/>
  <c r="AA24" i="71"/>
  <c r="S60" i="71"/>
  <c r="B59" i="71"/>
  <c r="X16" i="71"/>
  <c r="Y16" i="71"/>
  <c r="Z16" i="71" s="1"/>
  <c r="AA15" i="71"/>
  <c r="X14" i="71"/>
  <c r="AA13" i="71"/>
  <c r="Y10" i="71"/>
  <c r="Z10" i="71" s="1"/>
  <c r="AB10" i="71"/>
  <c r="X9" i="71"/>
  <c r="AA9" i="71"/>
  <c r="AF12" i="43"/>
  <c r="AF10" i="43"/>
  <c r="Y14" i="71"/>
  <c r="Z14" i="71" s="1"/>
  <c r="AB15" i="71"/>
  <c r="X10" i="71"/>
  <c r="Y6" i="71"/>
  <c r="Z6" i="71" s="1"/>
  <c r="Y9" i="71"/>
  <c r="Z9" i="71" s="1"/>
  <c r="AB9" i="71"/>
  <c r="Y13" i="71"/>
  <c r="Z13" i="71" s="1"/>
  <c r="AA14" i="71"/>
  <c r="AB13" i="71"/>
  <c r="X13" i="71"/>
  <c r="AA10" i="71"/>
  <c r="X7" i="71"/>
  <c r="AA7" i="71"/>
  <c r="AB5" i="71"/>
  <c r="Y5" i="71"/>
  <c r="Z5" i="71" s="1"/>
  <c r="AA5" i="71"/>
  <c r="X5" i="71"/>
  <c r="AA16" i="71"/>
  <c r="AB16" i="71"/>
  <c r="B16" i="71"/>
  <c r="C16" i="71"/>
  <c r="Y15" i="71"/>
  <c r="Z15" i="71" s="1"/>
  <c r="AB7" i="71"/>
  <c r="AB6" i="71"/>
  <c r="AA6" i="71"/>
  <c r="X6" i="71"/>
  <c r="U25" i="34"/>
  <c r="J23" i="34"/>
  <c r="F23" i="34"/>
  <c r="AA23" i="34" s="1"/>
  <c r="F86" i="34"/>
  <c r="G86" i="34" s="1"/>
  <c r="H23" i="34"/>
  <c r="U23" i="34" s="1"/>
  <c r="H19" i="34"/>
  <c r="AB19" i="34" s="1"/>
  <c r="F19" i="34"/>
  <c r="F80" i="34"/>
  <c r="G80" i="34" s="1"/>
  <c r="H17" i="34"/>
  <c r="F17" i="34"/>
  <c r="AA17" i="34" s="1"/>
  <c r="J17" i="34"/>
  <c r="AB10" i="34"/>
  <c r="AC15" i="34"/>
  <c r="U11" i="34"/>
  <c r="H43" i="34"/>
  <c r="J43" i="34"/>
  <c r="G124" i="34"/>
  <c r="H124" i="34" s="1"/>
  <c r="I124" i="34" s="1"/>
  <c r="J124" i="34" s="1"/>
  <c r="K124" i="34" s="1"/>
  <c r="L124" i="34" s="1"/>
  <c r="M124" i="34" s="1"/>
  <c r="F43" i="34"/>
  <c r="H112" i="34"/>
  <c r="I112" i="34" s="1"/>
  <c r="J112" i="34" s="1"/>
  <c r="K112" i="34" s="1"/>
  <c r="L112" i="34" s="1"/>
  <c r="M112" i="34" s="1"/>
  <c r="H37" i="34"/>
  <c r="U37" i="34" s="1"/>
  <c r="F37" i="34"/>
  <c r="AA37" i="34" s="1"/>
  <c r="J37" i="34"/>
  <c r="AC37" i="34" s="1"/>
  <c r="W35" i="34"/>
  <c r="U28" i="34"/>
  <c r="Q16" i="1"/>
  <c r="E19" i="6"/>
  <c r="K6" i="1" s="1"/>
  <c r="V19" i="1"/>
  <c r="X19" i="1" s="1"/>
  <c r="D37" i="43"/>
  <c r="H37" i="43" s="1"/>
  <c r="V18" i="1"/>
  <c r="D29" i="43"/>
  <c r="D1" i="43" s="1"/>
  <c r="D102" i="43"/>
  <c r="D65" i="40"/>
  <c r="C65" i="40"/>
  <c r="J51" i="15"/>
  <c r="J59" i="43"/>
  <c r="J61" i="43"/>
  <c r="J62" i="43"/>
  <c r="J65" i="43"/>
  <c r="J67" i="43"/>
  <c r="E59" i="43"/>
  <c r="B57" i="43" s="1"/>
  <c r="C24" i="43" s="1"/>
  <c r="AC38" i="39"/>
  <c r="AC27" i="34"/>
  <c r="AA11" i="34"/>
  <c r="W25" i="34"/>
  <c r="S36" i="34"/>
  <c r="W33" i="34"/>
  <c r="AC39" i="34"/>
  <c r="S44" i="34"/>
  <c r="AB42" i="34"/>
  <c r="W47" i="34"/>
  <c r="W37" i="34"/>
  <c r="W31" i="34"/>
  <c r="AC36" i="34"/>
  <c r="AC28" i="34"/>
  <c r="W8" i="34"/>
  <c r="W9" i="34"/>
  <c r="W10" i="34"/>
  <c r="AB33" i="34"/>
  <c r="U27" i="34"/>
  <c r="AB35" i="34"/>
  <c r="AB47" i="34"/>
  <c r="U19" i="34"/>
  <c r="U29" i="34"/>
  <c r="AB44" i="34"/>
  <c r="AB37" i="34"/>
  <c r="U34" i="34"/>
  <c r="U21" i="34"/>
  <c r="AB13" i="34"/>
  <c r="U31" i="34"/>
  <c r="AB23" i="34"/>
  <c r="S37" i="34"/>
  <c r="S17" i="34"/>
  <c r="AA25" i="34"/>
  <c r="AA45" i="34"/>
  <c r="AA33" i="34"/>
  <c r="S35" i="34"/>
  <c r="AA41" i="34"/>
  <c r="S15" i="34"/>
  <c r="S21" i="34"/>
  <c r="AA31" i="34"/>
  <c r="AA40" i="34"/>
  <c r="S10" i="34"/>
  <c r="S23" i="34"/>
  <c r="AA29" i="34"/>
  <c r="S27" i="34"/>
  <c r="AA47" i="34"/>
  <c r="AA39" i="34"/>
  <c r="S28" i="34"/>
  <c r="AB8" i="39"/>
  <c r="G16" i="1"/>
  <c r="J10" i="40" s="1"/>
  <c r="AC10" i="40" s="1"/>
  <c r="D105" i="43"/>
  <c r="I104" i="43"/>
  <c r="I105" i="43"/>
  <c r="E64" i="39"/>
  <c r="E59" i="40"/>
  <c r="E61" i="39"/>
  <c r="E56" i="40"/>
  <c r="E347" i="3"/>
  <c r="AA6" i="3"/>
  <c r="E399" i="3"/>
  <c r="E280" i="3"/>
  <c r="E124" i="3"/>
  <c r="E311" i="3"/>
  <c r="E514" i="3"/>
  <c r="E570" i="3"/>
  <c r="M6" i="3"/>
  <c r="AB6" i="3"/>
  <c r="E387" i="3"/>
  <c r="E335" i="3"/>
  <c r="E215" i="3"/>
  <c r="E189" i="3"/>
  <c r="E13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AR9" i="1"/>
  <c r="AQ9" i="1"/>
  <c r="AQ11" i="1"/>
  <c r="T11" i="1"/>
  <c r="AQ10" i="1"/>
  <c r="AR10" i="1"/>
  <c r="E12" i="6"/>
  <c r="E15" i="6"/>
  <c r="E13" i="6"/>
  <c r="L101" i="43"/>
  <c r="L109" i="43" s="1"/>
  <c r="M101" i="43"/>
  <c r="E101" i="43"/>
  <c r="E104" i="43" s="1"/>
  <c r="S5" i="43"/>
  <c r="S4" i="43"/>
  <c r="E10" i="43"/>
  <c r="E8" i="43"/>
  <c r="E11" i="43"/>
  <c r="E9" i="43"/>
  <c r="H49" i="43"/>
  <c r="H48" i="43"/>
  <c r="H54" i="43"/>
  <c r="H55" i="43"/>
  <c r="H53" i="43"/>
  <c r="H84" i="43"/>
  <c r="H85" i="43"/>
  <c r="H82" i="43"/>
  <c r="AH10" i="43"/>
  <c r="AD10" i="43"/>
  <c r="Z10" i="43"/>
  <c r="AG10" i="43"/>
  <c r="AC10" i="43"/>
  <c r="H62" i="43"/>
  <c r="H66" i="43"/>
  <c r="H64" i="43"/>
  <c r="H67" i="43"/>
  <c r="H60" i="43"/>
  <c r="H65" i="43"/>
  <c r="H63" i="43"/>
  <c r="H59" i="43"/>
  <c r="H61" i="43"/>
  <c r="G17" i="43"/>
  <c r="C16" i="43" s="1"/>
  <c r="C5" i="43" s="1"/>
  <c r="P61" i="15"/>
  <c r="C94" i="9"/>
  <c r="C92" i="9"/>
  <c r="F30" i="69"/>
  <c r="F48" i="69" s="1"/>
  <c r="D68" i="9"/>
  <c r="M18" i="15"/>
  <c r="F52" i="9"/>
  <c r="F32" i="15"/>
  <c r="F60" i="15" s="1"/>
  <c r="F32" i="67"/>
  <c r="F60" i="67" s="1"/>
  <c r="F28" i="67"/>
  <c r="C28" i="67" s="1"/>
  <c r="C24" i="12"/>
  <c r="C30" i="69"/>
  <c r="C30" i="11"/>
  <c r="F54" i="9"/>
  <c r="F28" i="15"/>
  <c r="C28" i="15" s="1"/>
  <c r="C48" i="69"/>
  <c r="M18" i="67"/>
  <c r="F31" i="12"/>
  <c r="C31" i="12" s="1"/>
  <c r="F30" i="68"/>
  <c r="F53" i="9"/>
  <c r="C21" i="68"/>
  <c r="C21" i="69"/>
  <c r="T7" i="1"/>
  <c r="AQ7" i="1"/>
  <c r="C34" i="69"/>
  <c r="C35" i="69" s="1"/>
  <c r="P7" i="1"/>
  <c r="H16" i="1"/>
  <c r="D5" i="43"/>
  <c r="H78" i="43"/>
  <c r="H75" i="43"/>
  <c r="E62" i="39"/>
  <c r="E57" i="40"/>
  <c r="D3" i="34"/>
  <c r="M18" i="9"/>
  <c r="B118" i="9" s="1"/>
  <c r="B14" i="74" s="1"/>
  <c r="B1" i="74" s="1"/>
  <c r="C36" i="11"/>
  <c r="E53" i="3"/>
  <c r="E125" i="3"/>
  <c r="E175" i="3"/>
  <c r="E217" i="3"/>
  <c r="E319" i="3"/>
  <c r="E366" i="3"/>
  <c r="E530" i="3"/>
  <c r="E526" i="3"/>
  <c r="E501" i="3"/>
  <c r="E553" i="3"/>
  <c r="E343" i="3"/>
  <c r="E268" i="3"/>
  <c r="E153" i="3"/>
  <c r="E282" i="3"/>
  <c r="E305" i="3"/>
  <c r="E322" i="3"/>
  <c r="E426" i="3"/>
  <c r="N6" i="3"/>
  <c r="E508" i="3"/>
  <c r="AJ6" i="3"/>
  <c r="E328" i="3"/>
  <c r="E329"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F27" i="6"/>
  <c r="F31" i="6" s="1"/>
  <c r="E51" i="40"/>
  <c r="E56" i="39"/>
  <c r="E61" i="3"/>
  <c r="E185"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D19" i="12"/>
  <c r="C19" i="12" s="1"/>
  <c r="F27" i="69"/>
  <c r="C47" i="69" s="1"/>
  <c r="D45" i="69" s="1"/>
  <c r="F28" i="12"/>
  <c r="C29" i="12" s="1"/>
  <c r="D28" i="12" s="1"/>
  <c r="F27" i="11"/>
  <c r="I109" i="43"/>
  <c r="I102" i="43"/>
  <c r="I106" i="43"/>
  <c r="I103" i="43"/>
  <c r="D109" i="43"/>
  <c r="D103" i="43"/>
  <c r="D104" i="43"/>
  <c r="D107" i="43"/>
  <c r="F22" i="43"/>
  <c r="F101" i="43"/>
  <c r="E22" i="43"/>
  <c r="B113" i="43"/>
  <c r="K101" i="43"/>
  <c r="N101" i="43"/>
  <c r="G101" i="43"/>
  <c r="C101" i="43"/>
  <c r="J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E105" i="43"/>
  <c r="M109" i="43"/>
  <c r="M104" i="43"/>
  <c r="M107" i="43"/>
  <c r="M105" i="43"/>
  <c r="L105" i="43"/>
  <c r="T13" i="1"/>
  <c r="O8" i="1"/>
  <c r="P8" i="1" s="1"/>
  <c r="O11" i="1"/>
  <c r="P11" i="1" s="1"/>
  <c r="E30" i="6"/>
  <c r="K15" i="1"/>
  <c r="K16" i="1" s="1"/>
  <c r="O9" i="1"/>
  <c r="P9" i="1" s="1"/>
  <c r="C8" i="74"/>
  <c r="D12" i="52"/>
  <c r="D127" i="9"/>
  <c r="D13" i="52" s="1"/>
  <c r="W10" i="40"/>
  <c r="C70" i="39"/>
  <c r="D68" i="39"/>
  <c r="H10" i="39"/>
  <c r="F59" i="34"/>
  <c r="G59" i="34" s="1"/>
  <c r="H59" i="34" s="1"/>
  <c r="I59" i="34" s="1"/>
  <c r="J59" i="34" s="1"/>
  <c r="K59" i="34" s="1"/>
  <c r="L59" i="34" s="1"/>
  <c r="M59" i="34" s="1"/>
  <c r="N59" i="34" s="1"/>
  <c r="O59" i="34" s="1"/>
  <c r="P59" i="34" s="1"/>
  <c r="Q59" i="34" s="1"/>
  <c r="R59" i="34" s="1"/>
  <c r="S59" i="34" s="1"/>
  <c r="T59" i="34" s="1"/>
  <c r="U59" i="34" s="1"/>
  <c r="V59" i="34" s="1"/>
  <c r="W59" i="34" s="1"/>
  <c r="D46" i="36"/>
  <c r="F7" i="21"/>
  <c r="J7" i="21"/>
  <c r="H7" i="21"/>
  <c r="F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B10" i="70"/>
  <c r="K1" i="73"/>
  <c r="I1" i="73"/>
  <c r="B39" i="1" s="1"/>
  <c r="F65" i="67"/>
  <c r="J20" i="67"/>
  <c r="B12" i="70"/>
  <c r="J53" i="67"/>
  <c r="J57" i="67"/>
  <c r="J55" i="67" s="1"/>
  <c r="J58" i="67" s="1"/>
  <c r="Q50" i="67" s="1"/>
  <c r="L56" i="67"/>
  <c r="I54" i="67"/>
  <c r="B7" i="70"/>
  <c r="F66" i="67"/>
  <c r="B11" i="70"/>
  <c r="L59" i="15"/>
  <c r="N59" i="15"/>
  <c r="M59" i="15"/>
  <c r="B8" i="70"/>
  <c r="F66" i="15"/>
  <c r="Q71" i="67"/>
  <c r="F70" i="67"/>
  <c r="F71" i="67"/>
  <c r="C27" i="15"/>
  <c r="F65" i="15"/>
  <c r="B9" i="70"/>
  <c r="N59" i="67"/>
  <c r="L59" i="67"/>
  <c r="L58" i="67"/>
  <c r="M59" i="67"/>
  <c r="B13" i="70"/>
  <c r="M7" i="67"/>
  <c r="F50" i="67"/>
  <c r="F59" i="67" s="1"/>
  <c r="F63" i="67"/>
  <c r="C62" i="67" s="1"/>
  <c r="C34" i="67"/>
  <c r="F68" i="67"/>
  <c r="F68" i="15"/>
  <c r="D4" i="73"/>
  <c r="M6" i="67"/>
  <c r="M24" i="15"/>
  <c r="M27" i="67"/>
  <c r="L48" i="15"/>
  <c r="F8" i="15"/>
  <c r="F43" i="15"/>
  <c r="F27" i="68"/>
  <c r="G1" i="73"/>
  <c r="M29" i="15"/>
  <c r="C36" i="68"/>
  <c r="D7" i="73"/>
  <c r="F9" i="15"/>
  <c r="M6" i="15"/>
  <c r="F41" i="67"/>
  <c r="F36" i="67"/>
  <c r="M9" i="67"/>
  <c r="F26" i="67"/>
  <c r="D6" i="73"/>
  <c r="J15" i="15"/>
  <c r="M23" i="15"/>
  <c r="M28" i="15"/>
  <c r="C76" i="15"/>
  <c r="C14" i="67"/>
  <c r="C17" i="67"/>
  <c r="F36" i="15"/>
  <c r="M26" i="15"/>
  <c r="F8" i="67"/>
  <c r="M22" i="15"/>
  <c r="F9" i="67"/>
  <c r="F13" i="67"/>
  <c r="C16" i="67"/>
  <c r="F7" i="15"/>
  <c r="D3" i="73"/>
  <c r="M26" i="67"/>
  <c r="M9" i="15"/>
  <c r="D9" i="68"/>
  <c r="J10" i="39" l="1"/>
  <c r="C27" i="67"/>
  <c r="C6" i="67"/>
  <c r="C32" i="67" s="1"/>
  <c r="F51" i="67"/>
  <c r="C49" i="67" s="1"/>
  <c r="F64" i="67"/>
  <c r="F69" i="67"/>
  <c r="F64" i="15"/>
  <c r="Q71" i="15"/>
  <c r="F51" i="15"/>
  <c r="J57" i="15"/>
  <c r="J55" i="15" s="1"/>
  <c r="J58" i="15" s="1"/>
  <c r="Q50" i="15" s="1"/>
  <c r="J53" i="15"/>
  <c r="L56" i="15" s="1"/>
  <c r="I54" i="15"/>
  <c r="L58" i="15"/>
  <c r="Q60" i="15" s="1"/>
  <c r="E20" i="43"/>
  <c r="M28" i="43" s="1"/>
  <c r="E3" i="6"/>
  <c r="AY6" i="3"/>
  <c r="C19" i="43"/>
  <c r="C15" i="71"/>
  <c r="T16" i="71"/>
  <c r="D16" i="71"/>
  <c r="U16" i="71" s="1"/>
  <c r="N59" i="71"/>
  <c r="B58" i="71"/>
  <c r="AA25" i="37"/>
  <c r="S25" i="37"/>
  <c r="AC36" i="35"/>
  <c r="W36" i="35"/>
  <c r="AA34" i="35"/>
  <c r="S34" i="35"/>
  <c r="E583" i="3"/>
  <c r="E336" i="3"/>
  <c r="E293" i="3"/>
  <c r="E559" i="3"/>
  <c r="V6" i="3"/>
  <c r="E320" i="3"/>
  <c r="E230" i="3"/>
  <c r="E254" i="3"/>
  <c r="E228" i="3"/>
  <c r="E181" i="3"/>
  <c r="E157"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X6" i="3"/>
  <c r="E246" i="3"/>
  <c r="E358" i="3"/>
  <c r="E551" i="3"/>
  <c r="E407" i="3"/>
  <c r="E294" i="3"/>
  <c r="E130" i="3"/>
  <c r="E148" i="3"/>
  <c r="E269" i="3"/>
  <c r="E122" i="3"/>
  <c r="E120" i="3"/>
  <c r="E45" i="3"/>
  <c r="E277" i="3"/>
  <c r="E224" i="3"/>
  <c r="E193" i="3"/>
  <c r="E313" i="3"/>
  <c r="E519" i="3"/>
  <c r="E532" i="3"/>
  <c r="E560" i="3"/>
  <c r="E437" i="3"/>
  <c r="E472" i="3"/>
  <c r="E481" i="3"/>
  <c r="E527" i="3"/>
  <c r="E512" i="3"/>
  <c r="E438" i="3"/>
  <c r="E408" i="3"/>
  <c r="E440" i="3"/>
  <c r="E451" i="3"/>
  <c r="E490" i="3"/>
  <c r="E360" i="3"/>
  <c r="E376" i="3"/>
  <c r="E556" i="3"/>
  <c r="AH6" i="3"/>
  <c r="E497" i="3"/>
  <c r="E571" i="3"/>
  <c r="E89" i="3"/>
  <c r="E177" i="3"/>
  <c r="E133" i="3"/>
  <c r="E330" i="3"/>
  <c r="K6" i="3"/>
  <c r="Q6" i="3"/>
  <c r="E573" i="3"/>
  <c r="E529" i="3"/>
  <c r="E458" i="3"/>
  <c r="E474" i="3"/>
  <c r="E507" i="3"/>
  <c r="E406" i="3"/>
  <c r="E422" i="3"/>
  <c r="E424" i="3"/>
  <c r="E457" i="3"/>
  <c r="E465" i="3"/>
  <c r="E288" i="3"/>
  <c r="E344" i="3"/>
  <c r="E562" i="3"/>
  <c r="E587" i="3"/>
  <c r="W6" i="3"/>
  <c r="AE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21" i="3"/>
  <c r="H14" i="74"/>
  <c r="B7" i="74" s="1"/>
  <c r="D10" i="52"/>
  <c r="D125" i="9"/>
  <c r="D11" i="52" s="1"/>
  <c r="J6" i="67"/>
  <c r="J18" i="67" s="1"/>
  <c r="C7" i="74"/>
  <c r="B15" i="71"/>
  <c r="B14" i="71" s="1"/>
  <c r="B13" i="71" s="1"/>
  <c r="B12" i="71" s="1"/>
  <c r="S16" i="71"/>
  <c r="AB24" i="36"/>
  <c r="U24" i="36"/>
  <c r="AB34" i="35"/>
  <c r="U34" i="35"/>
  <c r="F65" i="40"/>
  <c r="G63" i="40"/>
  <c r="D17" i="53"/>
  <c r="B36" i="72" s="1"/>
  <c r="B34" i="72"/>
  <c r="W23" i="34"/>
  <c r="AC23" i="34"/>
  <c r="AA19" i="34"/>
  <c r="S19" i="34"/>
  <c r="W17" i="34"/>
  <c r="AC17" i="34"/>
  <c r="U17" i="34"/>
  <c r="AB17" i="34"/>
  <c r="AA43" i="34"/>
  <c r="S43" i="34"/>
  <c r="W43" i="34"/>
  <c r="AC43" i="34"/>
  <c r="AB43" i="34"/>
  <c r="U43" i="34"/>
  <c r="F71" i="15"/>
  <c r="F50" i="15"/>
  <c r="M7" i="15"/>
  <c r="J6" i="15" s="1"/>
  <c r="J18" i="15" s="1"/>
  <c r="M6" i="1"/>
  <c r="X18" i="1"/>
  <c r="X20" i="1" s="1"/>
  <c r="U6" i="1" s="1"/>
  <c r="H7" i="34"/>
  <c r="C29" i="69"/>
  <c r="D27" i="69" s="1"/>
  <c r="D22" i="43"/>
  <c r="C21" i="43" s="1"/>
  <c r="E102" i="43"/>
  <c r="E103" i="43"/>
  <c r="E106" i="43"/>
  <c r="L106" i="43"/>
  <c r="L103" i="43"/>
  <c r="L107" i="43"/>
  <c r="E60" i="40"/>
  <c r="E65" i="39"/>
  <c r="H10" i="40"/>
  <c r="AB10" i="40" s="1"/>
  <c r="F10" i="39"/>
  <c r="L104" i="43"/>
  <c r="L102" i="43"/>
  <c r="E109" i="43"/>
  <c r="E107" i="43"/>
  <c r="E16" i="6"/>
  <c r="M106" i="43"/>
  <c r="M103" i="43"/>
  <c r="M102" i="43"/>
  <c r="E58" i="40"/>
  <c r="E63" i="39"/>
  <c r="E66" i="39" s="1"/>
  <c r="C7" i="43"/>
  <c r="F45" i="68"/>
  <c r="C47" i="68"/>
  <c r="D45" i="68" s="1"/>
  <c r="C9" i="68"/>
  <c r="F48" i="68"/>
  <c r="C30" i="68"/>
  <c r="C48" i="68"/>
  <c r="C29" i="68"/>
  <c r="D27" i="68" s="1"/>
  <c r="C38" i="69"/>
  <c r="F45" i="69"/>
  <c r="AC6" i="3"/>
  <c r="E27" i="6"/>
  <c r="AY98" i="3"/>
  <c r="AY82" i="3"/>
  <c r="AY18" i="3"/>
  <c r="AY191" i="3"/>
  <c r="AY171" i="3"/>
  <c r="AY132" i="3"/>
  <c r="AY90" i="3"/>
  <c r="AY31" i="3"/>
  <c r="AY163" i="3"/>
  <c r="AY292" i="3"/>
  <c r="AY75"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103" i="3"/>
  <c r="AY67" i="3"/>
  <c r="AY50" i="3"/>
  <c r="AY196" i="3"/>
  <c r="AY160" i="3"/>
  <c r="AY139" i="3"/>
  <c r="AY289" i="3"/>
  <c r="AY74" i="3"/>
  <c r="AY183" i="3"/>
  <c r="AY123" i="3"/>
  <c r="AY261"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33" i="3"/>
  <c r="BE6" i="3"/>
  <c r="AY97" i="3"/>
  <c r="AY92" i="3"/>
  <c r="AY61" i="3"/>
  <c r="AY76" i="3"/>
  <c r="AY44"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9" i="3"/>
  <c r="AY553" i="3"/>
  <c r="AY77" i="3"/>
  <c r="AY60" i="3"/>
  <c r="AY206" i="3"/>
  <c r="AY170" i="3"/>
  <c r="AY149" i="3"/>
  <c r="AY299" i="3"/>
  <c r="AY263" i="3"/>
  <c r="AY246" i="3"/>
  <c r="AY392" i="3"/>
  <c r="AY357"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1" i="3"/>
  <c r="AY108" i="3"/>
  <c r="AY45" i="3"/>
  <c r="AY28" i="3"/>
  <c r="AY201" i="3"/>
  <c r="AY138" i="3"/>
  <c r="AY118" i="3"/>
  <c r="AY294" i="3"/>
  <c r="AY231" i="3"/>
  <c r="AY214" i="3"/>
  <c r="AY381"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E6" i="3" s="1"/>
  <c r="AC10" i="39"/>
  <c r="W10" i="39"/>
  <c r="H107" i="43"/>
  <c r="H106" i="43"/>
  <c r="H105" i="43"/>
  <c r="H102" i="43"/>
  <c r="H104" i="43"/>
  <c r="H103" i="43"/>
  <c r="H109" i="43"/>
  <c r="J104" i="43"/>
  <c r="J105" i="43"/>
  <c r="J107" i="43"/>
  <c r="J102" i="43"/>
  <c r="J106" i="43"/>
  <c r="J109" i="43"/>
  <c r="J103" i="43"/>
  <c r="G105" i="43"/>
  <c r="G102" i="43"/>
  <c r="G107" i="43"/>
  <c r="G104" i="43"/>
  <c r="G109" i="43"/>
  <c r="G106" i="43"/>
  <c r="G103" i="43"/>
  <c r="K103" i="43"/>
  <c r="K102" i="43"/>
  <c r="K106" i="43"/>
  <c r="K104" i="43"/>
  <c r="K109" i="43"/>
  <c r="K107" i="43"/>
  <c r="K105" i="43"/>
  <c r="C29" i="11"/>
  <c r="D27" i="11" s="1"/>
  <c r="C47" i="11"/>
  <c r="D45" i="11" s="1"/>
  <c r="C104" i="43"/>
  <c r="C106" i="43"/>
  <c r="C107" i="43"/>
  <c r="C103" i="43"/>
  <c r="C102" i="43"/>
  <c r="C109" i="43"/>
  <c r="C105" i="43"/>
  <c r="N102" i="43"/>
  <c r="N105" i="43"/>
  <c r="N107" i="43"/>
  <c r="N106" i="43"/>
  <c r="N104" i="43"/>
  <c r="N109" i="43"/>
  <c r="N103"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7" i="43"/>
  <c r="F109" i="43"/>
  <c r="F106" i="43"/>
  <c r="F105" i="43"/>
  <c r="F7" i="34"/>
  <c r="AA7" i="34" s="1"/>
  <c r="R49" i="34" s="1"/>
  <c r="J7" i="34"/>
  <c r="AC7" i="34" s="1"/>
  <c r="V49" i="34" s="1"/>
  <c r="I49" i="34" s="1"/>
  <c r="E68" i="39"/>
  <c r="D70" i="39"/>
  <c r="AB10" i="39"/>
  <c r="U10" i="39"/>
  <c r="AA7" i="33"/>
  <c r="R48" i="33" s="1"/>
  <c r="S7" i="33"/>
  <c r="E48" i="35"/>
  <c r="S10" i="40"/>
  <c r="AA10" i="40"/>
  <c r="AB7" i="21"/>
  <c r="T48" i="21" s="1"/>
  <c r="G48" i="21" s="1"/>
  <c r="U7" i="21"/>
  <c r="AA7" i="21"/>
  <c r="R48" i="21" s="1"/>
  <c r="S7" i="21"/>
  <c r="E46" i="36"/>
  <c r="U7" i="34"/>
  <c r="AB7" i="34"/>
  <c r="U7" i="33"/>
  <c r="AB7" i="33"/>
  <c r="T48" i="33" s="1"/>
  <c r="G48" i="33" s="1"/>
  <c r="W7" i="33"/>
  <c r="AC7" i="33"/>
  <c r="V48" i="33" s="1"/>
  <c r="I48" i="33" s="1"/>
  <c r="E52" i="37"/>
  <c r="U10" i="40"/>
  <c r="AA10" i="39"/>
  <c r="S10" i="39"/>
  <c r="W7" i="21"/>
  <c r="AC7" i="21"/>
  <c r="V48" i="21" s="1"/>
  <c r="I48" i="21" s="1"/>
  <c r="M17" i="67"/>
  <c r="M17" i="15"/>
  <c r="F59" i="15"/>
  <c r="P24" i="43"/>
  <c r="B66" i="40" s="1"/>
  <c r="P21" i="43"/>
  <c r="P25" i="43"/>
  <c r="P23" i="43"/>
  <c r="B71" i="39" s="1"/>
  <c r="C15" i="67"/>
  <c r="C18" i="67"/>
  <c r="B40" i="1"/>
  <c r="Q60" i="67"/>
  <c r="Q73" i="67"/>
  <c r="M11" i="67"/>
  <c r="J10" i="67" s="1"/>
  <c r="F11" i="15"/>
  <c r="M11" i="15"/>
  <c r="F11" i="67"/>
  <c r="F1" i="67"/>
  <c r="Q52" i="67"/>
  <c r="Q61" i="67"/>
  <c r="Q74" i="67"/>
  <c r="Q74" i="15"/>
  <c r="Q61" i="15"/>
  <c r="C16" i="15"/>
  <c r="N28" i="43" l="1"/>
  <c r="G20" i="43" s="1"/>
  <c r="C20" i="43" s="1"/>
  <c r="C49" i="15"/>
  <c r="Q52" i="15"/>
  <c r="Q73" i="15"/>
  <c r="P28" i="43"/>
  <c r="F1" i="15"/>
  <c r="J5" i="67"/>
  <c r="J24" i="67" s="1"/>
  <c r="O28" i="43"/>
  <c r="G65" i="40"/>
  <c r="H63" i="40"/>
  <c r="C17" i="4"/>
  <c r="B4" i="52" s="1"/>
  <c r="B43" i="72" s="1"/>
  <c r="D3" i="21"/>
  <c r="D37" i="11"/>
  <c r="C37" i="11" s="1"/>
  <c r="E6" i="6"/>
  <c r="D3" i="33"/>
  <c r="D3" i="37"/>
  <c r="D19" i="11"/>
  <c r="C19" i="11" s="1"/>
  <c r="D14" i="12"/>
  <c r="B11" i="71"/>
  <c r="B10" i="71" s="1"/>
  <c r="B9" i="71" s="1"/>
  <c r="B8" i="71" s="1"/>
  <c r="S12" i="71"/>
  <c r="N58" i="71"/>
  <c r="N57" i="71"/>
  <c r="C14" i="71"/>
  <c r="D15" i="71"/>
  <c r="AY87" i="3"/>
  <c r="AY51" i="3"/>
  <c r="AY34" i="3"/>
  <c r="AY207" i="3"/>
  <c r="AY144" i="3"/>
  <c r="AY124" i="3"/>
  <c r="AY95" i="3"/>
  <c r="AY42" i="3"/>
  <c r="AY152" i="3"/>
  <c r="AY281" i="3"/>
  <c r="AY111" i="3"/>
  <c r="AY83" i="3"/>
  <c r="AY66" i="3"/>
  <c r="AY23" i="3"/>
  <c r="AY176" i="3"/>
  <c r="AY155" i="3"/>
  <c r="AY115" i="3"/>
  <c r="AY59" i="3"/>
  <c r="AY188" i="3"/>
  <c r="AY131" i="3"/>
  <c r="AY276" i="3"/>
  <c r="AY58" i="3"/>
  <c r="T49" i="34"/>
  <c r="G49" i="34" s="1"/>
  <c r="G53" i="34" s="1"/>
  <c r="H53" i="34" s="1"/>
  <c r="J10" i="15"/>
  <c r="J5" i="15" s="1"/>
  <c r="J24" i="15" s="1"/>
  <c r="O6" i="1"/>
  <c r="M16" i="1"/>
  <c r="W7" i="34"/>
  <c r="S7" i="34"/>
  <c r="D19" i="6"/>
  <c r="M19" i="9" s="1"/>
  <c r="C118" i="9" s="1"/>
  <c r="C14" i="74" s="1"/>
  <c r="D26" i="6"/>
  <c r="C18" i="4"/>
  <c r="D8" i="6"/>
  <c r="D23" i="6"/>
  <c r="D14" i="6"/>
  <c r="D25" i="6"/>
  <c r="D15" i="6"/>
  <c r="D22" i="6"/>
  <c r="D21" i="6"/>
  <c r="D24" i="6"/>
  <c r="D20" i="6"/>
  <c r="D12" i="6"/>
  <c r="D11" i="6"/>
  <c r="D13" i="6"/>
  <c r="D28" i="6"/>
  <c r="E61" i="40"/>
  <c r="D9" i="6"/>
  <c r="D10" i="6"/>
  <c r="D29" i="6"/>
  <c r="D5" i="6"/>
  <c r="K25" i="6"/>
  <c r="M25" i="6" s="1"/>
  <c r="I25" i="6" s="1"/>
  <c r="S25" i="6" s="1"/>
  <c r="K23" i="6"/>
  <c r="M23" i="6" s="1"/>
  <c r="I23" i="6" s="1"/>
  <c r="S23" i="6" s="1"/>
  <c r="K24" i="6"/>
  <c r="M24" i="6" s="1"/>
  <c r="I24" i="6" s="1"/>
  <c r="K19" i="6"/>
  <c r="S6" i="1" s="1"/>
  <c r="K21" i="6"/>
  <c r="M21" i="6" s="1"/>
  <c r="I21" i="6" s="1"/>
  <c r="K20" i="6"/>
  <c r="M20" i="6" s="1"/>
  <c r="I20" i="6" s="1"/>
  <c r="K26" i="6"/>
  <c r="M26" i="6" s="1"/>
  <c r="I26" i="6" s="1"/>
  <c r="E31" i="6"/>
  <c r="K22" i="6"/>
  <c r="M22" i="6" s="1"/>
  <c r="I22" i="6" s="1"/>
  <c r="C115" i="43"/>
  <c r="D113" i="43" s="1"/>
  <c r="F68" i="39"/>
  <c r="E70" i="39"/>
  <c r="E49" i="34"/>
  <c r="I52" i="21"/>
  <c r="J52" i="21" s="1"/>
  <c r="I52" i="33"/>
  <c r="J52" i="33" s="1"/>
  <c r="G52" i="33"/>
  <c r="H52" i="33" s="1"/>
  <c r="G53" i="33"/>
  <c r="H53" i="33" s="1"/>
  <c r="I53" i="34"/>
  <c r="J53" i="34" s="1"/>
  <c r="I54" i="34"/>
  <c r="J54" i="34" s="1"/>
  <c r="F52" i="37"/>
  <c r="F46" i="36"/>
  <c r="R49" i="21"/>
  <c r="E48" i="21"/>
  <c r="G52" i="21"/>
  <c r="H52" i="21" s="1"/>
  <c r="G53" i="21"/>
  <c r="H53" i="21" s="1"/>
  <c r="F48" i="35"/>
  <c r="R49" i="33"/>
  <c r="E48" i="33"/>
  <c r="I53" i="33" s="1"/>
  <c r="J53" i="33" s="1"/>
  <c r="C19" i="67"/>
  <c r="C20" i="67" s="1"/>
  <c r="C26" i="67" s="1"/>
  <c r="C53" i="67"/>
  <c r="C48" i="67" s="1"/>
  <c r="C10" i="67"/>
  <c r="C5" i="67" s="1"/>
  <c r="C53" i="15"/>
  <c r="F25" i="12"/>
  <c r="F22" i="69"/>
  <c r="F41" i="69" s="1"/>
  <c r="F24" i="67"/>
  <c r="C24" i="67" s="1"/>
  <c r="F22" i="11"/>
  <c r="F22" i="68"/>
  <c r="F24" i="15"/>
  <c r="C24" i="15" s="1"/>
  <c r="F6" i="15"/>
  <c r="D10" i="68"/>
  <c r="C17" i="15"/>
  <c r="AE6" i="1"/>
  <c r="F41" i="15" s="1"/>
  <c r="R50" i="34" l="1"/>
  <c r="E41" i="43"/>
  <c r="C41" i="43" s="1"/>
  <c r="C39" i="43" s="1"/>
  <c r="J26" i="67"/>
  <c r="J29" i="67" s="1"/>
  <c r="C48" i="15"/>
  <c r="C60" i="15" s="1"/>
  <c r="C6" i="15"/>
  <c r="C32" i="15" s="1"/>
  <c r="C13" i="71"/>
  <c r="D14" i="71"/>
  <c r="B7" i="71"/>
  <c r="B6" i="71" s="1"/>
  <c r="B5" i="71" s="1"/>
  <c r="S8" i="71"/>
  <c r="D17" i="12"/>
  <c r="C17" i="12" s="1"/>
  <c r="C14" i="12"/>
  <c r="D6" i="6"/>
  <c r="D20" i="12"/>
  <c r="C20" i="12" s="1"/>
  <c r="D10" i="69"/>
  <c r="D10" i="11"/>
  <c r="C10" i="11" s="1"/>
  <c r="H65" i="40"/>
  <c r="I63" i="40"/>
  <c r="C20" i="11"/>
  <c r="C28" i="11" s="1"/>
  <c r="C27" i="11" s="1"/>
  <c r="G54" i="34"/>
  <c r="H54" i="34" s="1"/>
  <c r="J26" i="15"/>
  <c r="J29" i="15" s="1"/>
  <c r="C10" i="15"/>
  <c r="C5" i="15" s="1"/>
  <c r="C38" i="15" s="1"/>
  <c r="N16" i="1"/>
  <c r="L16" i="1"/>
  <c r="C34" i="11"/>
  <c r="P6" i="1"/>
  <c r="P16" i="1" s="1"/>
  <c r="C11" i="12" s="1"/>
  <c r="O16" i="1"/>
  <c r="F69" i="15"/>
  <c r="D30" i="6"/>
  <c r="C10" i="68"/>
  <c r="B29" i="1" s="1"/>
  <c r="D19" i="68"/>
  <c r="D37" i="68" s="1"/>
  <c r="C37" i="68" s="1"/>
  <c r="E6" i="70"/>
  <c r="E2" i="70" s="1"/>
  <c r="T12" i="43"/>
  <c r="V12" i="43" s="1"/>
  <c r="C36" i="43"/>
  <c r="C37" i="43"/>
  <c r="T4" i="43"/>
  <c r="V4" i="43" s="1"/>
  <c r="T6" i="43"/>
  <c r="V6" i="43" s="1"/>
  <c r="C34" i="43"/>
  <c r="T7" i="43"/>
  <c r="V7" i="43" s="1"/>
  <c r="T16" i="43"/>
  <c r="V16" i="43" s="1"/>
  <c r="T8" i="43"/>
  <c r="V8" i="43" s="1"/>
  <c r="T14" i="43"/>
  <c r="V14" i="43" s="1"/>
  <c r="T11" i="43"/>
  <c r="V11" i="43" s="1"/>
  <c r="C35" i="43"/>
  <c r="T9" i="43"/>
  <c r="V9" i="43" s="1"/>
  <c r="T15" i="43"/>
  <c r="V15" i="43" s="1"/>
  <c r="C29" i="43"/>
  <c r="T10" i="43"/>
  <c r="V10" i="43" s="1"/>
  <c r="C33" i="43"/>
  <c r="T13" i="43"/>
  <c r="V13" i="43" s="1"/>
  <c r="T2" i="43"/>
  <c r="V2" i="43" s="1"/>
  <c r="T5" i="43"/>
  <c r="V5" i="43" s="1"/>
  <c r="T3" i="43"/>
  <c r="V3" i="43" s="1"/>
  <c r="S16" i="1"/>
  <c r="AR6" i="1"/>
  <c r="AQ6" i="1"/>
  <c r="T6" i="1"/>
  <c r="H25" i="6"/>
  <c r="R25" i="6" s="1"/>
  <c r="C19" i="68"/>
  <c r="S22" i="6"/>
  <c r="H22" i="6"/>
  <c r="R22" i="6" s="1"/>
  <c r="S26" i="6"/>
  <c r="H26" i="6"/>
  <c r="R26" i="6" s="1"/>
  <c r="S21" i="6"/>
  <c r="H21" i="6"/>
  <c r="R21" i="6" s="1"/>
  <c r="S24" i="6"/>
  <c r="H24" i="6"/>
  <c r="R24" i="6" s="1"/>
  <c r="H23" i="6"/>
  <c r="R23" i="6" s="1"/>
  <c r="A7" i="51"/>
  <c r="B7" i="72" s="1"/>
  <c r="C4" i="52"/>
  <c r="B45" i="72" s="1"/>
  <c r="A10" i="51"/>
  <c r="B9" i="72" s="1"/>
  <c r="D27" i="6"/>
  <c r="S20" i="6"/>
  <c r="H20" i="6"/>
  <c r="R20" i="6" s="1"/>
  <c r="M19" i="6"/>
  <c r="K27" i="6"/>
  <c r="D16" i="6"/>
  <c r="G68" i="39"/>
  <c r="F70" i="39"/>
  <c r="C49" i="33"/>
  <c r="B2" i="33" s="1"/>
  <c r="B3" i="33" s="1"/>
  <c r="C48" i="33"/>
  <c r="E52" i="21"/>
  <c r="F52" i="21" s="1"/>
  <c r="E53" i="21"/>
  <c r="F53" i="21" s="1"/>
  <c r="I53" i="21"/>
  <c r="J53" i="21" s="1"/>
  <c r="E54" i="34"/>
  <c r="F54" i="34" s="1"/>
  <c r="E53" i="34"/>
  <c r="F53" i="34" s="1"/>
  <c r="E53" i="33"/>
  <c r="F53" i="33" s="1"/>
  <c r="E52" i="33"/>
  <c r="F52" i="33" s="1"/>
  <c r="G48" i="35"/>
  <c r="C48" i="21"/>
  <c r="C49" i="21"/>
  <c r="B2" i="21" s="1"/>
  <c r="B3" i="21" s="1"/>
  <c r="G46" i="36"/>
  <c r="G52" i="37"/>
  <c r="C50" i="34"/>
  <c r="B2" i="34" s="1"/>
  <c r="B3" i="34" s="1"/>
  <c r="C49" i="34"/>
  <c r="R24" i="31" s="1"/>
  <c r="F41" i="68"/>
  <c r="C26" i="69"/>
  <c r="D22" i="69" s="1"/>
  <c r="C44" i="69"/>
  <c r="D41" i="69" s="1"/>
  <c r="C44" i="68"/>
  <c r="D41" i="68" s="1"/>
  <c r="C26" i="68"/>
  <c r="D22" i="68" s="1"/>
  <c r="C24" i="68"/>
  <c r="C26" i="12"/>
  <c r="D25" i="12" s="1"/>
  <c r="C44" i="11"/>
  <c r="D41" i="11" s="1"/>
  <c r="C23" i="11"/>
  <c r="C24" i="11"/>
  <c r="C25" i="11"/>
  <c r="C26" i="11"/>
  <c r="D22" i="11" s="1"/>
  <c r="C38" i="67"/>
  <c r="C66" i="67"/>
  <c r="C60" i="67"/>
  <c r="C23" i="67"/>
  <c r="C29" i="67" s="1"/>
  <c r="C14" i="15"/>
  <c r="C34" i="68"/>
  <c r="S24" i="31" l="1"/>
  <c r="R29" i="31"/>
  <c r="S29" i="31" s="1"/>
  <c r="R25" i="31"/>
  <c r="S25" i="31" s="1"/>
  <c r="R26" i="31"/>
  <c r="S26" i="31" s="1"/>
  <c r="R27" i="31"/>
  <c r="S27" i="31" s="1"/>
  <c r="R28" i="31"/>
  <c r="S28" i="31" s="1"/>
  <c r="C38" i="43"/>
  <c r="E38" i="43" s="1"/>
  <c r="C8" i="68"/>
  <c r="C66" i="15"/>
  <c r="C10" i="69"/>
  <c r="C8" i="69" s="1"/>
  <c r="C5" i="69" s="1"/>
  <c r="C23" i="69" s="1"/>
  <c r="D19" i="69"/>
  <c r="C12" i="71"/>
  <c r="D13" i="71"/>
  <c r="I65" i="40"/>
  <c r="J63" i="40"/>
  <c r="C38" i="11"/>
  <c r="C35" i="11"/>
  <c r="F50" i="11"/>
  <c r="F50" i="68"/>
  <c r="F50" i="69"/>
  <c r="C15" i="12"/>
  <c r="C12" i="12"/>
  <c r="D31" i="6"/>
  <c r="I6" i="6" s="1"/>
  <c r="C11" i="39" s="1"/>
  <c r="F11" i="39" s="1"/>
  <c r="C38" i="68"/>
  <c r="C35" i="68"/>
  <c r="C18" i="15"/>
  <c r="C15" i="15"/>
  <c r="C18" i="12"/>
  <c r="T16" i="1"/>
  <c r="G33" i="43"/>
  <c r="I33" i="43" s="1"/>
  <c r="E33" i="43"/>
  <c r="C30" i="43"/>
  <c r="E30" i="43" s="1"/>
  <c r="E29" i="43"/>
  <c r="E37" i="43"/>
  <c r="G37" i="43"/>
  <c r="I37" i="43" s="1"/>
  <c r="G39" i="43"/>
  <c r="I39" i="43" s="1"/>
  <c r="E39" i="43"/>
  <c r="E35" i="43"/>
  <c r="G35" i="43"/>
  <c r="I35" i="43" s="1"/>
  <c r="G34" i="43"/>
  <c r="I34" i="43" s="1"/>
  <c r="E34" i="43"/>
  <c r="E36" i="43"/>
  <c r="G36" i="43"/>
  <c r="I36" i="43" s="1"/>
  <c r="M27" i="6"/>
  <c r="I19" i="6"/>
  <c r="L18" i="9" s="1"/>
  <c r="H68" i="39"/>
  <c r="G70" i="39"/>
  <c r="H52" i="37"/>
  <c r="H46" i="36"/>
  <c r="H48" i="35"/>
  <c r="I48" i="35" s="1"/>
  <c r="J48" i="35" s="1"/>
  <c r="K48" i="35" s="1"/>
  <c r="L48" i="35" s="1"/>
  <c r="M48" i="35" s="1"/>
  <c r="N48" i="35" s="1"/>
  <c r="O48" i="35" s="1"/>
  <c r="J7" i="35"/>
  <c r="C33" i="15"/>
  <c r="C22" i="11"/>
  <c r="C31" i="11" s="1"/>
  <c r="C36" i="67"/>
  <c r="C33" i="67"/>
  <c r="C31" i="67" s="1"/>
  <c r="J14" i="67"/>
  <c r="C13" i="67"/>
  <c r="J19" i="67"/>
  <c r="J17" i="67" s="1"/>
  <c r="C57" i="67"/>
  <c r="Q49" i="67"/>
  <c r="J59" i="67"/>
  <c r="J60" i="67" s="1"/>
  <c r="S22" i="31" l="1"/>
  <c r="G38" i="43"/>
  <c r="I38" i="43" s="1"/>
  <c r="C11" i="71"/>
  <c r="T12" i="71"/>
  <c r="D12" i="71"/>
  <c r="U12" i="71" s="1"/>
  <c r="C19" i="69"/>
  <c r="D37" i="69"/>
  <c r="C37" i="69" s="1"/>
  <c r="C33" i="69" s="1"/>
  <c r="K63" i="40"/>
  <c r="J65" i="40"/>
  <c r="C16" i="12"/>
  <c r="C21" i="12" s="1"/>
  <c r="C22" i="12" s="1"/>
  <c r="C30" i="12" s="1"/>
  <c r="C28" i="12" s="1"/>
  <c r="C33" i="11"/>
  <c r="I5" i="6"/>
  <c r="H11" i="39"/>
  <c r="U11" i="39" s="1"/>
  <c r="J11" i="39"/>
  <c r="W11" i="39" s="1"/>
  <c r="AA11" i="39"/>
  <c r="S11" i="39"/>
  <c r="AB11" i="39"/>
  <c r="AC11" i="39"/>
  <c r="C19" i="15"/>
  <c r="C20" i="15" s="1"/>
  <c r="C26" i="15" s="1"/>
  <c r="C33" i="68"/>
  <c r="C39" i="68" s="1"/>
  <c r="C26" i="43"/>
  <c r="C6" i="68" s="1"/>
  <c r="C27" i="43"/>
  <c r="S19" i="6"/>
  <c r="S27" i="6" s="1"/>
  <c r="H19" i="6"/>
  <c r="L19" i="9" s="1"/>
  <c r="I27" i="6"/>
  <c r="I68" i="39"/>
  <c r="H70" i="39"/>
  <c r="AC7" i="35"/>
  <c r="V38" i="35" s="1"/>
  <c r="I38" i="35" s="1"/>
  <c r="W7" i="35"/>
  <c r="I46" i="36"/>
  <c r="J46" i="36" s="1"/>
  <c r="K46" i="36" s="1"/>
  <c r="L46" i="36" s="1"/>
  <c r="M46" i="36" s="1"/>
  <c r="N46" i="36" s="1"/>
  <c r="O46" i="36" s="1"/>
  <c r="F7" i="36" s="1"/>
  <c r="F7" i="35"/>
  <c r="H7" i="36"/>
  <c r="I52" i="37"/>
  <c r="H7" i="35"/>
  <c r="J13" i="67"/>
  <c r="J23" i="67" s="1"/>
  <c r="J22" i="67"/>
  <c r="C61" i="67"/>
  <c r="C59" i="67" s="1"/>
  <c r="C64" i="67"/>
  <c r="Q48" i="67"/>
  <c r="L46" i="67"/>
  <c r="C56" i="67"/>
  <c r="C65" i="67" s="1"/>
  <c r="C75" i="67"/>
  <c r="Q70" i="67"/>
  <c r="C37" i="67"/>
  <c r="C30" i="67" s="1"/>
  <c r="C39" i="67" s="1"/>
  <c r="E6" i="76"/>
  <c r="L51" i="67"/>
  <c r="R22" i="31" l="1"/>
  <c r="B20" i="31"/>
  <c r="B21" i="31" s="1"/>
  <c r="K65" i="40"/>
  <c r="L63" i="40"/>
  <c r="C24" i="69"/>
  <c r="C20" i="69"/>
  <c r="C42" i="69"/>
  <c r="C39" i="69"/>
  <c r="C10" i="71"/>
  <c r="D11" i="71"/>
  <c r="C39" i="11"/>
  <c r="C42" i="11"/>
  <c r="C42" i="68"/>
  <c r="B2" i="43"/>
  <c r="B3" i="43" s="1"/>
  <c r="C23" i="15"/>
  <c r="C29" i="15" s="1"/>
  <c r="C27" i="12"/>
  <c r="C25" i="12" s="1"/>
  <c r="C32" i="12" s="1"/>
  <c r="B2" i="12" s="1"/>
  <c r="B3" i="12" s="1"/>
  <c r="C46" i="68"/>
  <c r="C45" i="68" s="1"/>
  <c r="C43" i="68"/>
  <c r="E2" i="76"/>
  <c r="R19" i="6"/>
  <c r="H27" i="6"/>
  <c r="J68" i="39"/>
  <c r="I70" i="39"/>
  <c r="AB7" i="35"/>
  <c r="T38" i="35" s="1"/>
  <c r="G38" i="35" s="1"/>
  <c r="U7" i="35"/>
  <c r="J52" i="37"/>
  <c r="AA7" i="35"/>
  <c r="R38" i="35" s="1"/>
  <c r="S7" i="35"/>
  <c r="J7" i="36"/>
  <c r="U7" i="36"/>
  <c r="AB7" i="36"/>
  <c r="T36" i="36" s="1"/>
  <c r="G36" i="36" s="1"/>
  <c r="AA7" i="36"/>
  <c r="R36" i="36" s="1"/>
  <c r="S7" i="36"/>
  <c r="I42" i="35"/>
  <c r="J42" i="35" s="1"/>
  <c r="J16" i="67"/>
  <c r="J25" i="67" s="1"/>
  <c r="C80" i="67"/>
  <c r="C79" i="67" s="1"/>
  <c r="C58" i="67"/>
  <c r="C67" i="67" s="1"/>
  <c r="C68" i="67" s="1"/>
  <c r="Q69" i="67"/>
  <c r="Q68" i="67" s="1"/>
  <c r="C40" i="67"/>
  <c r="B6" i="76"/>
  <c r="C41" i="68" l="1"/>
  <c r="C49" i="68" s="1"/>
  <c r="C51" i="68" s="1"/>
  <c r="C43" i="69"/>
  <c r="C41" i="69" s="1"/>
  <c r="C46" i="69"/>
  <c r="C45" i="69" s="1"/>
  <c r="C28" i="69"/>
  <c r="C27" i="69" s="1"/>
  <c r="C25" i="69"/>
  <c r="C22" i="69" s="1"/>
  <c r="M63" i="40"/>
  <c r="L65" i="40"/>
  <c r="C9" i="71"/>
  <c r="D10" i="71"/>
  <c r="C46" i="11"/>
  <c r="C45" i="11" s="1"/>
  <c r="C43" i="11"/>
  <c r="C41" i="11" s="1"/>
  <c r="B2" i="76"/>
  <c r="B3" i="76" s="1"/>
  <c r="J14" i="15"/>
  <c r="C36" i="15"/>
  <c r="C13" i="15"/>
  <c r="J19" i="15"/>
  <c r="C57" i="15"/>
  <c r="Q49" i="15"/>
  <c r="J59" i="15"/>
  <c r="J60" i="15" s="1"/>
  <c r="Q48" i="15" s="1"/>
  <c r="R27" i="6"/>
  <c r="R6" i="1"/>
  <c r="J70" i="39"/>
  <c r="K68" i="39"/>
  <c r="R37" i="36"/>
  <c r="E36" i="36"/>
  <c r="G40" i="36"/>
  <c r="H40" i="36" s="1"/>
  <c r="W7" i="36"/>
  <c r="AC7" i="36"/>
  <c r="V36" i="36" s="1"/>
  <c r="I36" i="36" s="1"/>
  <c r="R39" i="35"/>
  <c r="E38" i="35"/>
  <c r="K52" i="37"/>
  <c r="G42" i="35"/>
  <c r="H42" i="35" s="1"/>
  <c r="G43" i="35"/>
  <c r="H43" i="35" s="1"/>
  <c r="Q67" i="67"/>
  <c r="L57" i="67"/>
  <c r="L60" i="67" s="1"/>
  <c r="C45" i="67"/>
  <c r="C46" i="67" s="1"/>
  <c r="C71" i="67"/>
  <c r="C43" i="67"/>
  <c r="D2" i="67"/>
  <c r="Q47" i="67"/>
  <c r="Q53" i="67" s="1"/>
  <c r="Q56" i="67"/>
  <c r="Q65" i="67"/>
  <c r="C83" i="67"/>
  <c r="C82" i="67" s="1"/>
  <c r="F35" i="15"/>
  <c r="M21" i="15"/>
  <c r="C31" i="69" l="1"/>
  <c r="C49" i="69"/>
  <c r="C51" i="69" s="1"/>
  <c r="C8" i="71"/>
  <c r="D9" i="71"/>
  <c r="N63" i="40"/>
  <c r="M65" i="40"/>
  <c r="C49" i="11"/>
  <c r="C51" i="11" s="1"/>
  <c r="C52" i="11" s="1"/>
  <c r="B2" i="11" s="1"/>
  <c r="B3" i="11" s="1"/>
  <c r="C64" i="15"/>
  <c r="C61" i="15"/>
  <c r="C56" i="15"/>
  <c r="C65" i="15" s="1"/>
  <c r="C37" i="15"/>
  <c r="Q70" i="15"/>
  <c r="C75" i="15"/>
  <c r="J22" i="15"/>
  <c r="J13" i="15"/>
  <c r="J23" i="15" s="1"/>
  <c r="J20" i="15"/>
  <c r="J17" i="15" s="1"/>
  <c r="C34" i="15"/>
  <c r="C31" i="15" s="1"/>
  <c r="F63" i="15"/>
  <c r="C62" i="15" s="1"/>
  <c r="R16" i="1"/>
  <c r="K70" i="39"/>
  <c r="L68" i="39"/>
  <c r="E43" i="35"/>
  <c r="F43" i="35" s="1"/>
  <c r="E42" i="35"/>
  <c r="F42" i="35" s="1"/>
  <c r="I43" i="35"/>
  <c r="J43" i="35" s="1"/>
  <c r="I40" i="36"/>
  <c r="J40" i="36" s="1"/>
  <c r="I41" i="36"/>
  <c r="J41" i="36" s="1"/>
  <c r="G41" i="36"/>
  <c r="H41" i="36" s="1"/>
  <c r="E40" i="36"/>
  <c r="F40" i="36" s="1"/>
  <c r="E41" i="36"/>
  <c r="F41" i="36" s="1"/>
  <c r="L52" i="37"/>
  <c r="M52" i="37" s="1"/>
  <c r="N52" i="37" s="1"/>
  <c r="O52" i="37" s="1"/>
  <c r="F7" i="37" s="1"/>
  <c r="H7" i="37"/>
  <c r="C38" i="35"/>
  <c r="C39" i="35"/>
  <c r="B2" i="35" s="1"/>
  <c r="B3" i="35" s="1"/>
  <c r="C36" i="36"/>
  <c r="C37" i="36"/>
  <c r="B2" i="36" s="1"/>
  <c r="B3" i="36" s="1"/>
  <c r="Q66" i="67"/>
  <c r="Q75" i="67" s="1"/>
  <c r="Q57" i="67"/>
  <c r="Q62" i="67" s="1"/>
  <c r="B2" i="67"/>
  <c r="B3" i="67"/>
  <c r="C52" i="69" l="1"/>
  <c r="B2" i="69" s="1"/>
  <c r="B3" i="69" s="1"/>
  <c r="N65" i="40"/>
  <c r="O63" i="40"/>
  <c r="O65" i="40" s="1"/>
  <c r="F7" i="40" s="1"/>
  <c r="C7" i="71"/>
  <c r="T8" i="71"/>
  <c r="D8" i="71"/>
  <c r="U8" i="71" s="1"/>
  <c r="J7" i="40"/>
  <c r="H7" i="40"/>
  <c r="C56" i="11"/>
  <c r="C57" i="11" s="1"/>
  <c r="J7" i="37"/>
  <c r="W7" i="37" s="1"/>
  <c r="C59" i="15"/>
  <c r="C58" i="15" s="1"/>
  <c r="C67" i="15" s="1"/>
  <c r="C68" i="15" s="1"/>
  <c r="C71" i="15" s="1"/>
  <c r="C30" i="15"/>
  <c r="C39" i="15" s="1"/>
  <c r="C80" i="15" s="1"/>
  <c r="C79" i="15" s="1"/>
  <c r="J16" i="15"/>
  <c r="J25" i="15" s="1"/>
  <c r="L57" i="15"/>
  <c r="L60" i="15" s="1"/>
  <c r="L70" i="39"/>
  <c r="M68" i="39"/>
  <c r="S7" i="37"/>
  <c r="AA7" i="37"/>
  <c r="R42" i="37" s="1"/>
  <c r="U7" i="37"/>
  <c r="AB7" i="37"/>
  <c r="T42" i="37" s="1"/>
  <c r="G42" i="37" s="1"/>
  <c r="AC7" i="37"/>
  <c r="V42" i="37" s="1"/>
  <c r="I42" i="37" s="1"/>
  <c r="L51" i="15"/>
  <c r="C57" i="69" l="1"/>
  <c r="C56" i="69" s="1"/>
  <c r="AC7" i="40"/>
  <c r="V42" i="40" s="1"/>
  <c r="I42" i="40" s="1"/>
  <c r="W7" i="40"/>
  <c r="S7" i="40"/>
  <c r="AA7" i="40"/>
  <c r="R42" i="40" s="1"/>
  <c r="AB7" i="40"/>
  <c r="T42" i="40" s="1"/>
  <c r="G42" i="40" s="1"/>
  <c r="U7" i="40"/>
  <c r="C6" i="71"/>
  <c r="D7" i="71"/>
  <c r="C40" i="15"/>
  <c r="Q65" i="15" s="1"/>
  <c r="Q67" i="15"/>
  <c r="Q69" i="15"/>
  <c r="Q68" i="15" s="1"/>
  <c r="L46" i="15"/>
  <c r="Q57" i="15"/>
  <c r="Q66" i="15"/>
  <c r="M70" i="39"/>
  <c r="N68" i="39"/>
  <c r="I46" i="37"/>
  <c r="J46" i="37" s="1"/>
  <c r="G46" i="37"/>
  <c r="H46" i="37" s="1"/>
  <c r="G47" i="37"/>
  <c r="H47" i="37" s="1"/>
  <c r="R43" i="37"/>
  <c r="E42" i="37"/>
  <c r="I47" i="37" s="1"/>
  <c r="J47" i="37" s="1"/>
  <c r="R43" i="40" l="1"/>
  <c r="E42" i="40"/>
  <c r="D6" i="71"/>
  <c r="C5" i="71"/>
  <c r="G47" i="40"/>
  <c r="H47" i="40" s="1"/>
  <c r="G46" i="40"/>
  <c r="H46" i="40" s="1"/>
  <c r="I46" i="40"/>
  <c r="J46" i="40" s="1"/>
  <c r="I47" i="40"/>
  <c r="J47" i="40" s="1"/>
  <c r="C43" i="15"/>
  <c r="C46" i="15"/>
  <c r="Q47" i="15"/>
  <c r="Q53" i="15" s="1"/>
  <c r="Q75" i="15"/>
  <c r="B2" i="15"/>
  <c r="C83" i="15"/>
  <c r="C82" i="15" s="1"/>
  <c r="Q56" i="15"/>
  <c r="Q62" i="15" s="1"/>
  <c r="O68" i="39"/>
  <c r="O70" i="39" s="1"/>
  <c r="N70" i="39"/>
  <c r="F7" i="39" s="1"/>
  <c r="C42" i="37"/>
  <c r="C43" i="37"/>
  <c r="B2" i="37" s="1"/>
  <c r="B3" i="37" s="1"/>
  <c r="E47" i="37"/>
  <c r="F47" i="37" s="1"/>
  <c r="E46" i="37"/>
  <c r="F46" i="37" s="1"/>
  <c r="D19" i="9"/>
  <c r="AO6" i="1"/>
  <c r="D5" i="71" l="1"/>
  <c r="M20" i="43"/>
  <c r="E47" i="40"/>
  <c r="F47" i="40" s="1"/>
  <c r="E46" i="40"/>
  <c r="F46" i="40" s="1"/>
  <c r="C42" i="40"/>
  <c r="C43" i="40"/>
  <c r="B3" i="15"/>
  <c r="D102" i="9"/>
  <c r="D21" i="9"/>
  <c r="B6" i="70"/>
  <c r="B2" i="70" s="1"/>
  <c r="B3" i="70" s="1"/>
  <c r="S7" i="39"/>
  <c r="AA7" i="39"/>
  <c r="R47" i="39" s="1"/>
  <c r="H7" i="39"/>
  <c r="J7" i="39"/>
  <c r="D34" i="9"/>
  <c r="D20" i="9"/>
  <c r="D35" i="9"/>
  <c r="B56" i="40" l="1"/>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103" i="9"/>
  <c r="W7" i="39"/>
  <c r="AC7" i="39"/>
  <c r="V47" i="39" s="1"/>
  <c r="I47" i="39" s="1"/>
  <c r="E47" i="39"/>
  <c r="U7" i="39"/>
  <c r="AB7" i="39"/>
  <c r="T47" i="39" s="1"/>
  <c r="G47" i="39" s="1"/>
  <c r="R48" i="39" l="1"/>
  <c r="C48" i="39" s="1"/>
  <c r="G51" i="39"/>
  <c r="H51" i="39" s="1"/>
  <c r="G52" i="39"/>
  <c r="H52" i="39" s="1"/>
  <c r="E51" i="39"/>
  <c r="F51" i="39" s="1"/>
  <c r="E52" i="39"/>
  <c r="F52" i="39" s="1"/>
  <c r="I52" i="39"/>
  <c r="J52" i="39" s="1"/>
  <c r="I51" i="39"/>
  <c r="J51" i="39" s="1"/>
  <c r="C47" i="39" l="1"/>
  <c r="B59" i="39"/>
  <c r="F59" i="39" s="1"/>
  <c r="B58" i="39"/>
  <c r="F58" i="39" s="1"/>
  <c r="B60" i="39"/>
  <c r="F60" i="39" s="1"/>
  <c r="B65" i="39"/>
  <c r="F65" i="39" s="1"/>
  <c r="B62" i="39"/>
  <c r="F62" i="39" s="1"/>
  <c r="B56" i="39"/>
  <c r="F56" i="39" s="1"/>
  <c r="B63" i="39"/>
  <c r="F63" i="39" s="1"/>
  <c r="B57" i="39"/>
  <c r="F57" i="39" s="1"/>
  <c r="B61" i="39"/>
  <c r="F61" i="39" s="1"/>
  <c r="B64" i="39"/>
  <c r="F64" i="39" s="1"/>
  <c r="F66" i="39" l="1"/>
  <c r="B2" i="39" l="1"/>
  <c r="B3" i="39" s="1"/>
  <c r="C7" i="68"/>
  <c r="C5" i="68" s="1"/>
  <c r="C20" i="68" l="1"/>
  <c r="C25" i="68" s="1"/>
  <c r="C23" i="68"/>
  <c r="C28" i="68" l="1"/>
  <c r="C27" i="68" s="1"/>
  <c r="C22" i="68"/>
  <c r="C31" i="68" l="1"/>
  <c r="C52" i="68" s="1"/>
  <c r="C57" i="68" s="1"/>
  <c r="C56" i="68" s="1"/>
  <c r="B2" i="68" l="1"/>
  <c r="C19" i="9"/>
  <c r="B3" i="68"/>
  <c r="C102" i="9" l="1"/>
  <c r="C21" i="9"/>
  <c r="D22" i="9"/>
  <c r="G19" i="9"/>
  <c r="C20" i="9"/>
  <c r="G20" i="9" l="1"/>
  <c r="C32" i="9" s="1"/>
  <c r="C35" i="9" s="1"/>
  <c r="C34" i="9" s="1"/>
  <c r="C103" i="9"/>
  <c r="F2" i="77"/>
  <c r="F6" i="77" s="1"/>
  <c r="G21" i="9"/>
  <c r="E2" i="77" l="1"/>
  <c r="D118" i="9" l="1"/>
  <c r="F118" i="9"/>
  <c r="F119" i="9" s="1"/>
  <c r="F5" i="52" s="1"/>
  <c r="B53" i="72" s="1"/>
  <c r="H118" i="9"/>
  <c r="F4" i="52" l="1"/>
  <c r="B51" i="72" s="1"/>
  <c r="G118" i="9"/>
  <c r="G4" i="52" s="1"/>
  <c r="B52" i="72" s="1"/>
  <c r="C104" i="9"/>
  <c r="H119" i="9"/>
  <c r="H5" i="52" s="1"/>
  <c r="I118" i="9"/>
  <c r="H101" i="9"/>
  <c r="H4" i="52"/>
  <c r="D14" i="74"/>
  <c r="D4" i="52"/>
  <c r="B47" i="72" s="1"/>
  <c r="D119" i="9"/>
  <c r="D5" i="52" s="1"/>
  <c r="B49" i="72" s="1"/>
  <c r="E14" i="74" l="1"/>
  <c r="F14" i="74"/>
  <c r="M48" i="9"/>
  <c r="H107" i="9"/>
  <c r="D5" i="53"/>
  <c r="D45" i="9"/>
  <c r="C105" i="9"/>
  <c r="E118" i="9"/>
  <c r="E4" i="52" s="1"/>
  <c r="B48" i="72" s="1"/>
  <c r="I4" i="52"/>
  <c r="H102" i="9"/>
  <c r="D7" i="53" s="1"/>
  <c r="B21" i="72" s="1"/>
  <c r="D52" i="9" l="1"/>
  <c r="C78" i="9"/>
  <c r="C73" i="9" s="1"/>
  <c r="C72" i="9"/>
  <c r="C85" i="9"/>
  <c r="D53" i="9"/>
  <c r="C93" i="9"/>
  <c r="C86" i="9" s="1"/>
  <c r="D55" i="9"/>
  <c r="M53" i="9" s="1"/>
  <c r="C64" i="9"/>
  <c r="C63" i="9" s="1"/>
  <c r="C67" i="9" s="1"/>
  <c r="D13" i="53"/>
  <c r="H108" i="9"/>
  <c r="D15" i="53" s="1"/>
  <c r="B31" i="72" s="1"/>
  <c r="D122" i="9"/>
  <c r="M49" i="9"/>
  <c r="B20" i="72"/>
  <c r="D6" i="53"/>
  <c r="B22" i="72" s="1"/>
  <c r="C79" i="9" l="1"/>
  <c r="C80" i="9" s="1"/>
  <c r="E80" i="9" s="1"/>
  <c r="E81" i="9" s="1"/>
  <c r="G14" i="74"/>
  <c r="D8" i="52"/>
  <c r="D123" i="9"/>
  <c r="D9" i="52" s="1"/>
  <c r="B30" i="72"/>
  <c r="D14" i="53"/>
  <c r="B32" i="72" s="1"/>
  <c r="L65" i="9"/>
  <c r="M65" i="9" s="1"/>
  <c r="L64" i="9"/>
  <c r="M64" i="9" s="1"/>
  <c r="L66" i="9"/>
  <c r="M66" i="9" s="1"/>
  <c r="L68" i="9"/>
  <c r="M68" i="9" s="1"/>
  <c r="L63" i="9"/>
  <c r="M63" i="9" s="1"/>
  <c r="L67" i="9"/>
  <c r="M67" i="9" s="1"/>
  <c r="D59" i="9"/>
  <c r="M55" i="9" s="1"/>
  <c r="C68" i="9"/>
  <c r="D54" i="9" s="1"/>
  <c r="C95" i="9"/>
  <c r="C96" i="9" l="1"/>
  <c r="E96" i="9" s="1"/>
  <c r="E97" i="9" s="1"/>
  <c r="C81" i="9"/>
  <c r="M69" i="9"/>
  <c r="N69" i="9" s="1"/>
  <c r="C97" i="9" l="1"/>
  <c r="D58" i="9" s="1"/>
  <c r="D56" i="9" s="1"/>
  <c r="M54" i="9" s="1"/>
  <c r="N57" i="9" s="1"/>
  <c r="N58" i="9" s="1"/>
  <c r="P57" i="9" l="1"/>
  <c r="N59" i="9"/>
  <c r="N61" i="9" s="1"/>
  <c r="N60" i="9" l="1"/>
  <c r="C15" i="74" l="1"/>
  <c r="B2" i="74" s="1"/>
  <c r="D8" i="74" l="1"/>
  <c r="D7" i="74"/>
  <c r="D15" i="74" l="1"/>
  <c r="G15" i="74" l="1"/>
  <c r="B6" i="74" s="1"/>
  <c r="F15" i="74"/>
  <c r="B5" i="74"/>
  <c r="E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<sst xmlns="http://schemas.openxmlformats.org/spreadsheetml/2006/main" count="7646" uniqueCount="3288">
  <si>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</si>
  <si>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</si>
  <si>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</si>
  <si>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</si>
  <si>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</si>
  <si>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</si>
  <si>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</si>
  <si>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</si>
  <si>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</si>
  <si>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</si>
  <si>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</si>
  <si>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</si>
  <si>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</si>
  <si>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</si>
  <si>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</si>
  <si>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</si>
  <si>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</si>
  <si>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</si>
  <si>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</si>
  <si>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</si>
  <si>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</si>
  <si>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</si>
  <si>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</si>
  <si>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</si>
  <si>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</si>
  <si>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</si>
  <si>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</si>
  <si>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</si>
  <si>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</si>
  <si>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</si>
  <si>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</si>
  <si>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</si>
  <si>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</si>
  <si>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</si>
  <si>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</si>
  <si>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</si>
  <si>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</si>
  <si>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</si>
  <si>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</si>
  <si>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</si>
  <si>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</si>
  <si>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</si>
  <si>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</si>
  <si>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</si>
  <si>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</si>
  <si>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</si>
  <si>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</si>
  <si>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</si>
  <si>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</si>
  <si>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</si>
  <si>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</si>
  <si>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</si>
  <si>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</si>
  <si>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</si>
  <si>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</si>
  <si>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</si>
  <si>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</si>
  <si>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</si>
  <si>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</si>
  <si>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</si>
  <si>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</si>
  <si>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</si>
  <si>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</si>
  <si>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</si>
  <si>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</si>
  <si>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</si>
  <si>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</si>
  <si>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</si>
  <si>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</si>
  <si>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</si>
  <si>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</si>
  <si>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</si>
  <si>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</si>
  <si>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</si>
  <si>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</si>
  <si>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</si>
  <si>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</si>
  <si>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</si>
  <si>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</si>
  <si>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</si>
  <si>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</si>
  <si>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</si>
  <si>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</si>
  <si>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</si>
  <si>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</si>
  <si>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</si>
  <si>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</si>
  <si>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</si>
  <si>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</si>
  <si>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</si>
  <si>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</si>
  <si>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</si>
  <si>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</si>
  <si>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</si>
  <si>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</si>
  <si>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</si>
  <si>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</si>
  <si>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</si>
  <si>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</si>
  <si>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</si>
  <si>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</si>
  <si>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</si>
  <si>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</si>
  <si>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</si>
  <si>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</si>
  <si>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</si>
  <si>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</si>
  <si>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</si>
  <si>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</si>
  <si>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</si>
  <si>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</si>
  <si>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</si>
  <si>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</si>
  <si>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</si>
  <si>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</si>
  <si>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</si>
  <si>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</si>
  <si>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</si>
  <si>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</si>
  <si>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</si>
  <si>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</si>
  <si>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</si>
  <si>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</si>
  <si>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</si>
  <si>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</si>
  <si>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</si>
  <si>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</si>
  <si>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</si>
  <si>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</si>
  <si>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</si>
  <si>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</si>
  <si>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</si>
  <si>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</si>
  <si>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</si>
  <si>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</si>
  <si>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</si>
  <si>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</si>
  <si>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</si>
  <si>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</si>
  <si>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</si>
  <si>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</si>
  <si>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</si>
  <si>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</si>
  <si>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</si>
  <si>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</si>
  <si>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</si>
  <si>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</si>
  <si>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</si>
  <si>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</si>
  <si>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</si>
  <si>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</si>
  <si>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</si>
  <si>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</si>
  <si>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</si>
  <si>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</si>
  <si>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</si>
  <si>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</si>
  <si>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</si>
  <si>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</si>
  <si>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</si>
  <si>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</si>
  <si>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</si>
  <si>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</si>
  <si>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</si>
  <si>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</si>
  <si>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</si>
  <si>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</si>
  <si>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</si>
  <si>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</si>
  <si>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</si>
  <si>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</si>
  <si>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</si>
  <si>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</si>
  <si>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</si>
  <si>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</si>
  <si>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</si>
  <si>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</si>
  <si>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</si>
  <si>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</si>
  <si>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</si>
  <si>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</si>
  <si>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</si>
  <si>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</si>
  <si>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</si>
  <si>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</si>
  <si>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</si>
  <si>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</si>
  <si>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</si>
  <si>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</si>
  <si>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</si>
  <si>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</si>
  <si>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</si>
  <si>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</si>
  <si>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</si>
  <si>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</si>
  <si>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</si>
  <si>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</si>
  <si>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</si>
  <si>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</si>
  <si>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</si>
  <si>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</si>
  <si>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</si>
  <si>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</si>
  <si>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</si>
  <si>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</si>
  <si>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</si>
  <si>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</si>
  <si>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</si>
  <si>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</si>
  <si>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</si>
  <si>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</si>
  <si>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</si>
  <si>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</si>
  <si>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</si>
  <si>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</si>
  <si>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</si>
  <si>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</si>
  <si>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</si>
  <si>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</si>
  <si>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</si>
  <si>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</si>
  <si>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</si>
  <si>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</si>
  <si>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</si>
  <si>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</si>
  <si>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</si>
  <si>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</si>
  <si>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</si>
  <si>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</si>
  <si>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</si>
  <si>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</si>
  <si>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</si>
  <si>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</si>
  <si>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</si>
  <si>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</si>
  <si>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</si>
  <si>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</si>
  <si>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</si>
  <si>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</si>
  <si>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</si>
  <si>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</si>
  <si>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</si>
  <si>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</si>
  <si>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</si>
  <si>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</si>
  <si>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</si>
  <si>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</si>
  <si>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</si>
  <si>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</si>
  <si>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</si>
  <si>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</si>
  <si>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</si>
  <si>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</si>
  <si>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</si>
  <si>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</si>
  <si>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</si>
  <si>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</si>
  <si>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</si>
  <si>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</si>
  <si>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</si>
  <si>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</si>
  <si>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</si>
  <si>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</si>
  <si>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</si>
  <si>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</si>
  <si>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</si>
  <si>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</si>
  <si>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</si>
  <si>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</si>
  <si>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</si>
  <si>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</si>
  <si>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</si>
  <si>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</si>
  <si>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</si>
  <si>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</si>
  <si>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</si>
  <si>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</si>
  <si>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</si>
  <si>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</si>
  <si>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</si>
  <si>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</si>
  <si>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</si>
  <si>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</si>
  <si>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</si>
  <si>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</si>
  <si>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</si>
  <si>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</si>
  <si>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</si>
  <si>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</si>
  <si>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</si>
  <si>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</si>
  <si>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</si>
  <si>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</si>
  <si>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</si>
  <si>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</si>
  <si>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</si>
  <si>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</si>
  <si>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</si>
  <si>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</si>
  <si>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</si>
  <si>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</si>
  <si>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</si>
  <si>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</si>
  <si>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</si>
  <si>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</si>
  <si>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</si>
  <si>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</si>
  <si>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</si>
  <si>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</si>
  <si>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</si>
  <si>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</si>
  <si>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</si>
  <si>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</si>
  <si>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</si>
  <si>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</si>
  <si>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</si>
  <si>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</si>
  <si>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</si>
  <si>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</si>
  <si>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</si>
  <si>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</si>
  <si>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</si>
  <si>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</si>
  <si>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</si>
  <si>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</si>
  <si>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</si>
  <si>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</si>
  <si>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</si>
  <si>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</si>
  <si>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</si>
  <si>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</si>
  <si>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</si>
  <si>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</si>
  <si>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</si>
  <si>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</si>
  <si>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</si>
  <si>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</si>
  <si>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</si>
  <si>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</si>
  <si>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</si>
  <si>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</si>
  <si>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</si>
  <si>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</si>
  <si>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</si>
  <si>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</si>
  <si>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</si>
  <si>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</si>
  <si>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</si>
  <si>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</si>
  <si>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</si>
  <si>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</si>
  <si>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</si>
  <si>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</si>
  <si>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</si>
  <si>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</si>
  <si>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</si>
  <si>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</si>
  <si>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</si>
  <si>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</si>
  <si>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</si>
  <si>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</si>
  <si>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</si>
  <si>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</si>
  <si>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</si>
  <si>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</si>
  <si>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</si>
  <si>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</si>
  <si>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</si>
  <si>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</si>
  <si>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</si>
  <si>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</si>
  <si>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</si>
  <si>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</si>
  <si>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</si>
  <si>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</si>
  <si>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</si>
  <si>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</si>
  <si>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</si>
  <si>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</si>
  <si>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</si>
  <si>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</si>
  <si>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</si>
  <si>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</si>
  <si>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</si>
  <si>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</si>
  <si>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</si>
  <si>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</si>
  <si>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</si>
  <si>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</si>
  <si>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</si>
  <si>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</si>
  <si>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</si>
  <si>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</si>
  <si>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</si>
  <si>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</si>
  <si>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</si>
  <si>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</si>
  <si>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</si>
  <si>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</si>
  <si>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</si>
  <si>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</si>
  <si>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</si>
  <si>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</si>
  <si>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</si>
  <si>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</si>
  <si>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</si>
  <si>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</si>
  <si>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</si>
  <si>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</si>
  <si>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</si>
  <si>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</si>
  <si>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</si>
  <si>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</si>
  <si>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</si>
  <si>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</si>
  <si>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</si>
  <si>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</si>
  <si>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</si>
  <si>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</si>
  <si>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</si>
  <si>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</si>
  <si>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</si>
  <si>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</si>
  <si>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</si>
  <si>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</si>
  <si>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</si>
  <si>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</si>
  <si>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</si>
  <si>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</si>
  <si>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</si>
  <si>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</si>
  <si>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</si>
  <si>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</si>
  <si>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</si>
  <si>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</si>
  <si>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</si>
  <si>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</si>
  <si>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</si>
  <si>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</si>
  <si>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</si>
  <si>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</si>
  <si>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</si>
  <si>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</si>
  <si>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</si>
  <si>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</si>
  <si>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</si>
  <si>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</si>
  <si>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</si>
  <si>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</si>
  <si>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</si>
  <si>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</si>
  <si>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</si>
  <si>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</si>
  <si>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</si>
  <si>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</si>
  <si>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</si>
  <si>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</si>
  <si>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</si>
  <si>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</si>
  <si>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</si>
  <si>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</si>
  <si>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</si>
  <si>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</si>
  <si>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</si>
  <si>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</si>
  <si>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</si>
  <si>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</si>
  <si>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</si>
  <si>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</si>
  <si>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</si>
  <si>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</si>
  <si>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</si>
  <si>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</si>
  <si>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</si>
  <si>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</si>
  <si>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</si>
  <si>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</si>
  <si>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</si>
  <si>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</si>
  <si>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</si>
  <si>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</si>
  <si>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</si>
  <si>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</si>
  <si>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</si>
  <si>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</si>
  <si>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</si>
  <si>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</si>
  <si>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</si>
  <si>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</si>
  <si>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</si>
  <si>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</si>
  <si>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</si>
  <si>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</si>
  <si>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</si>
  <si>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</si>
  <si>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</si>
  <si>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</si>
  <si>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</si>
  <si>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</si>
  <si>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</si>
  <si>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</si>
  <si>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</si>
  <si>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</si>
  <si>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</si>
  <si>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</si>
  <si>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</si>
  <si>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</si>
  <si>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</si>
  <si>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</si>
  <si>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</si>
  <si>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</si>
  <si>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</si>
  <si>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</si>
  <si>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</si>
  <si>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</si>
  <si>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</si>
  <si>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</si>
  <si>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</si>
  <si>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</si>
  <si>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</si>
  <si>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</si>
  <si>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</si>
  <si>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</si>
  <si>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</si>
  <si>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</si>
  <si>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</si>
  <si>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</si>
  <si>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</si>
  <si>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</si>
  <si>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</si>
  <si>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</si>
  <si>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</si>
  <si>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</si>
  <si>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</si>
  <si>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</si>
  <si>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</si>
  <si>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</si>
  <si>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</si>
  <si>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</si>
  <si>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</si>
  <si>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</si>
  <si>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</si>
  <si>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</si>
  <si>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</si>
  <si>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</si>
  <si>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</si>
  <si>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</si>
  <si>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</si>
  <si>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</si>
  <si>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</si>
  <si>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</si>
  <si>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</si>
  <si>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</si>
  <si>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</si>
  <si>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</si>
  <si>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</si>
  <si>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</si>
  <si>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</si>
  <si>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</si>
  <si>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</si>
  <si>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</si>
  <si>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</si>
  <si>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</si>
  <si>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</si>
  <si>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</si>
  <si>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</si>
  <si>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</si>
  <si>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</si>
  <si>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</si>
  <si>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</si>
  <si>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</si>
  <si>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</si>
  <si>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</si>
  <si>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</si>
  <si>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</si>
  <si>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</si>
  <si>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</si>
  <si>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</si>
  <si>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</si>
  <si>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</si>
  <si>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</si>
  <si>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</si>
  <si>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</si>
  <si>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</si>
  <si>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</si>
  <si>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</si>
  <si>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</si>
  <si>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</si>
  <si>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</si>
  <si>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</si>
  <si>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</si>
  <si>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</si>
  <si>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</si>
  <si>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</si>
  <si>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</si>
  <si>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</si>
  <si>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</si>
  <si>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</si>
  <si>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</si>
  <si>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</si>
  <si>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</si>
  <si>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</si>
  <si>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</si>
  <si>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</si>
  <si>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</si>
  <si>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</si>
  <si>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</si>
  <si>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</si>
  <si>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</si>
  <si>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</si>
  <si>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</si>
  <si>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</si>
  <si>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</si>
  <si>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</si>
  <si>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</si>
  <si>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</si>
  <si>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</si>
  <si>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</si>
  <si>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</si>
  <si>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</si>
  <si>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</si>
  <si>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</si>
  <si>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</si>
  <si>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</si>
  <si>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</si>
  <si>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</si>
  <si>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</si>
  <si>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</si>
  <si>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</si>
  <si>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</si>
  <si>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</si>
  <si>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</si>
  <si>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</si>
  <si>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</si>
  <si>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</si>
  <si>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</si>
  <si>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</si>
  <si>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</si>
  <si>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</si>
  <si>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</si>
  <si>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</si>
  <si>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</si>
  <si>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</si>
  <si>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</si>
  <si>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</si>
  <si>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</si>
  <si>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</si>
  <si>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</si>
  <si>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</si>
  <si>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</si>
  <si>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</si>
  <si>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</si>
  <si>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</si>
  <si>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</si>
  <si>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</si>
  <si>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</si>
  <si>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</si>
  <si>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</si>
  <si>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</si>
  <si>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</si>
  <si>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</si>
  <si>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</si>
  <si>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</si>
  <si>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</si>
  <si>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</si>
  <si>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</si>
  <si>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</si>
  <si>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</si>
  <si>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</si>
  <si>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</si>
  <si>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</si>
  <si>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</si>
  <si>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</si>
  <si>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</si>
  <si>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</si>
  <si>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</si>
  <si>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</si>
  <si>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</si>
  <si>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</si>
  <si>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</si>
  <si>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</si>
  <si>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</si>
  <si>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</si>
  <si>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</si>
  <si>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</si>
  <si>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</si>
  <si>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</si>
  <si>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</si>
  <si>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</si>
  <si>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</si>
  <si>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</si>
  <si>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</si>
  <si>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</si>
  <si>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</si>
  <si>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</si>
  <si>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</si>
  <si>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</si>
  <si>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</si>
  <si>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</si>
  <si>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</si>
  <si>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</si>
  <si>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</si>
  <si>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</si>
  <si>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</si>
  <si>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</si>
  <si>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</si>
  <si>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</si>
  <si>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</si>
  <si>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</si>
  <si>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</si>
  <si>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</si>
  <si>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</si>
  <si>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</si>
  <si>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</si>
  <si>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</si>
  <si>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</si>
  <si>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</si>
  <si>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</si>
  <si>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</si>
  <si>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</si>
  <si>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</si>
  <si>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</si>
  <si>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</si>
  <si>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</si>
  <si>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</si>
  <si>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</si>
  <si>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</si>
  <si>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</si>
  <si>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</si>
  <si>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</si>
  <si>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</si>
  <si>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</si>
  <si>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</si>
  <si>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</si>
  <si>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</si>
  <si>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</si>
  <si>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</si>
  <si>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</si>
  <si>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</si>
  <si>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</si>
  <si>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</si>
  <si>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</si>
  <si>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</si>
  <si>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</si>
  <si>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</si>
  <si>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</si>
  <si>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</si>
  <si>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</si>
  <si>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</si>
  <si>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</si>
  <si>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</si>
  <si>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</si>
  <si>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</si>
  <si>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</si>
  <si>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</si>
  <si>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</si>
  <si>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</si>
  <si>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</si>
  <si>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</si>
  <si>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</si>
  <si>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</si>
  <si>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</si>
  <si>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</si>
  <si>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</si>
  <si>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</si>
  <si>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</si>
  <si>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</si>
  <si>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</si>
  <si>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</si>
  <si>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</si>
  <si>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</si>
  <si>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</si>
  <si>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</si>
  <si>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</si>
  <si>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</si>
  <si>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</si>
  <si>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</si>
  <si>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</si>
  <si>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</si>
  <si>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</si>
  <si>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</si>
  <si>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</si>
  <si>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</si>
  <si>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</si>
  <si>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</si>
  <si>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</si>
  <si>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</si>
  <si>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</si>
  <si>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</si>
  <si>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</si>
  <si>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</si>
  <si>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</si>
  <si>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</si>
  <si>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</si>
  <si>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</si>
  <si>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</si>
  <si>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</si>
  <si>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</si>
  <si>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</si>
  <si>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</si>
  <si>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</si>
  <si>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</si>
  <si>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</si>
  <si>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</si>
  <si>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</si>
  <si>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</si>
  <si>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</si>
  <si>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</si>
  <si>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</si>
  <si>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</si>
  <si>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</si>
  <si>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</si>
  <si>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</si>
  <si>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</si>
  <si>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</si>
  <si>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</si>
  <si>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</si>
  <si>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</si>
  <si>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</si>
  <si>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</si>
  <si>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</si>
  <si>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</si>
  <si>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</si>
  <si>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</si>
  <si>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</si>
  <si>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</si>
  <si>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</si>
  <si>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</si>
  <si>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</si>
  <si>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</si>
  <si>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</si>
  <si>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</si>
  <si>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</si>
  <si>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</si>
  <si>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</si>
  <si>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</si>
  <si>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</si>
  <si>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</si>
  <si>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</si>
  <si>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</si>
  <si>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</si>
  <si>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</si>
  <si>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</si>
  <si>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</si>
  <si>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</si>
  <si>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</si>
  <si>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</si>
  <si>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</si>
  <si>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</si>
  <si>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</si>
  <si>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</si>
  <si>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</si>
  <si>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</si>
  <si>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</si>
  <si>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</si>
  <si>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</si>
  <si>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</si>
  <si>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</si>
  <si>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</si>
  <si>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</si>
  <si>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</si>
  <si>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</si>
  <si>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</si>
  <si>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</si>
  <si>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</si>
  <si>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</si>
  <si>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</si>
  <si>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</si>
  <si>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</si>
  <si>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</si>
  <si>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</si>
  <si>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</si>
  <si>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</si>
  <si>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</si>
  <si>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</si>
  <si>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</si>
  <si>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</si>
  <si>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</si>
  <si>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</si>
  <si>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</si>
  <si>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</si>
  <si>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</si>
  <si>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</si>
  <si>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</si>
  <si>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</si>
  <si>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</si>
  <si>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</si>
  <si>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</si>
  <si>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</si>
  <si>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</si>
  <si>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</si>
  <si>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</si>
  <si>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</si>
  <si>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</si>
  <si>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</si>
  <si>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</si>
  <si>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</si>
  <si>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</si>
  <si>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</si>
  <si>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</si>
  <si>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</si>
  <si>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</si>
  <si>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</si>
  <si>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</si>
  <si>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</si>
  <si>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</si>
  <si>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</si>
  <si>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</si>
  <si>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</si>
  <si>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</si>
  <si>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</si>
  <si>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</si>
  <si>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</si>
  <si>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</si>
  <si>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</si>
  <si>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</si>
  <si>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</si>
  <si>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</si>
  <si>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</si>
  <si>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</si>
  <si>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</si>
  <si>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</si>
  <si>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</si>
  <si>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</si>
  <si>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</si>
  <si>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</si>
  <si>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</si>
  <si>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</si>
  <si>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</si>
  <si>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</si>
  <si>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</si>
  <si>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</si>
  <si>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</si>
  <si>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</si>
  <si>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</si>
  <si>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</si>
  <si>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</si>
  <si>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</si>
  <si>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</si>
  <si>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</si>
  <si>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</si>
  <si>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</si>
  <si>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</si>
  <si>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</si>
  <si>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</si>
  <si>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</si>
  <si>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</si>
  <si>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</si>
  <si>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</si>
  <si>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</si>
  <si>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</si>
  <si>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</si>
  <si>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</si>
  <si>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</si>
  <si>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</si>
  <si>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</si>
  <si>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</si>
  <si>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</si>
  <si>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</si>
  <si>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</si>
  <si>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</si>
  <si>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</si>
  <si>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</si>
  <si>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</si>
  <si>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</si>
  <si>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</si>
  <si>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</si>
  <si>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</si>
  <si>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</si>
  <si>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</si>
  <si>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</si>
  <si>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</si>
  <si>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</si>
  <si>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</si>
  <si>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</si>
  <si>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</si>
  <si>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</si>
  <si>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</si>
  <si>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</si>
  <si>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</si>
  <si>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</si>
  <si>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</si>
  <si>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</si>
  <si>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</si>
  <si>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</si>
  <si>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</si>
  <si>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</si>
  <si>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</si>
  <si>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</si>
  <si>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</si>
  <si>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</si>
  <si>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</si>
  <si>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</si>
  <si>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</si>
  <si>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</si>
  <si>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</si>
  <si>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</si>
  <si>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</si>
  <si>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</si>
  <si>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</si>
  <si>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</si>
  <si>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</si>
  <si>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</si>
  <si>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</si>
  <si>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</si>
  <si>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</si>
  <si>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</si>
  <si>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</si>
  <si>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</si>
  <si>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</si>
  <si>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</si>
  <si>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</si>
  <si>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</si>
  <si>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</si>
  <si>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</si>
  <si>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</si>
  <si>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</si>
  <si>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</si>
  <si>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</si>
  <si>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</si>
  <si>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</si>
  <si>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</si>
  <si>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</si>
  <si>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</si>
  <si>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</si>
  <si>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</si>
  <si>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</si>
  <si>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</si>
  <si>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</si>
  <si>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</si>
  <si>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</si>
  <si>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</si>
  <si>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</si>
  <si>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</si>
  <si>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</si>
  <si>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</si>
  <si>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</si>
  <si>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</si>
  <si>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</si>
  <si>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</si>
  <si>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</si>
  <si>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</si>
  <si>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</si>
  <si>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</si>
  <si>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</si>
  <si>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</si>
  <si>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</si>
  <si>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</si>
  <si>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</si>
  <si>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</si>
  <si>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</si>
  <si>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</si>
  <si>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</si>
  <si>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</si>
  <si>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</si>
  <si>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</si>
  <si>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</si>
  <si>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</si>
  <si>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</si>
  <si>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</si>
  <si>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</si>
  <si>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</si>
  <si>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</si>
  <si>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</si>
  <si>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</si>
  <si>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</si>
  <si>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</si>
  <si>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</si>
  <si>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</si>
  <si>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</si>
  <si>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</si>
  <si>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</si>
  <si>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</si>
  <si>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</si>
  <si>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</si>
  <si>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</si>
  <si>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</si>
  <si>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</si>
  <si>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</si>
  <si>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</si>
  <si>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</si>
  <si>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</si>
  <si>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</si>
  <si>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</si>
  <si>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</si>
  <si>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</si>
  <si>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</si>
  <si>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</si>
  <si>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</si>
  <si>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</si>
  <si>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</si>
  <si>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</si>
  <si>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</si>
  <si>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</si>
  <si>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</si>
  <si>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</si>
  <si>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</si>
  <si>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</si>
  <si>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</si>
  <si>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</si>
  <si>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</si>
  <si>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</si>
  <si>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</si>
  <si>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</si>
  <si>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</si>
  <si>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</si>
  <si>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</si>
  <si>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</si>
  <si>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</si>
  <si>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</si>
  <si>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</si>
  <si>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</si>
  <si>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</si>
  <si>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</si>
  <si>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</si>
  <si>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</si>
  <si>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</si>
  <si>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</si>
  <si>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</si>
  <si>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</si>
  <si>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</si>
  <si>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</si>
  <si>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</si>
  <si>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</si>
  <si>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</si>
  <si>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</si>
  <si>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</si>
  <si>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</si>
  <si>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</si>
  <si>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</si>
  <si>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</si>
  <si>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</si>
  <si>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</si>
  <si>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</si>
  <si>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</si>
  <si>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</si>
  <si>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</si>
  <si>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</si>
  <si>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</si>
  <si>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</si>
  <si>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</si>
  <si>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</si>
  <si>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</si>
  <si>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</si>
  <si>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</si>
  <si>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</si>
  <si>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</si>
  <si>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</si>
  <si>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</si>
  <si>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</si>
  <si>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</si>
  <si>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</si>
  <si>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</si>
  <si>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</si>
  <si>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</si>
  <si>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</si>
  <si>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</si>
  <si>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</si>
  <si>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</si>
  <si>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</si>
  <si>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</si>
  <si>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</si>
  <si>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</si>
  <si>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</si>
  <si>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</si>
  <si>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</si>
  <si>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</si>
  <si>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</si>
  <si>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</si>
  <si>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</si>
  <si>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</si>
  <si>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</si>
  <si>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</si>
  <si>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</si>
  <si>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</si>
  <si>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</si>
  <si>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</si>
  <si>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</si>
  <si>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</si>
  <si>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</si>
  <si>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</si>
  <si>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</si>
  <si>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</si>
  <si>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</si>
  <si>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</si>
  <si>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</si>
  <si>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</si>
  <si>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</si>
  <si>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</si>
  <si>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</si>
  <si>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</si>
  <si>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</si>
  <si>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</si>
  <si>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</si>
  <si>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</si>
  <si>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</si>
  <si>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</si>
  <si>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</si>
  <si>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</si>
  <si>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</si>
  <si>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</si>
  <si>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</si>
  <si>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</si>
  <si>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</si>
  <si>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</si>
  <si>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</si>
  <si>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</si>
  <si>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</si>
  <si>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</si>
  <si>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</si>
  <si>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</si>
  <si>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</si>
  <si>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</si>
  <si>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</si>
  <si>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</si>
  <si>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</si>
  <si>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</si>
  <si>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</si>
  <si>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</si>
  <si>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</si>
  <si>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</si>
  <si>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</si>
  <si>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</si>
  <si>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</si>
  <si>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</si>
  <si>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</si>
  <si>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</si>
  <si>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</si>
  <si>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</si>
  <si>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</si>
  <si>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</si>
  <si>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</si>
  <si>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</si>
  <si>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</si>
  <si>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</si>
  <si>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</si>
  <si>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</si>
  <si>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</si>
  <si>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</si>
  <si>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</si>
  <si>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</si>
  <si>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</si>
  <si>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</si>
  <si>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</si>
  <si>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</si>
  <si>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</si>
  <si>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</si>
  <si>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</si>
  <si>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</si>
  <si>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</si>
  <si>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</si>
  <si>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</si>
  <si>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</si>
  <si>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</si>
  <si>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</si>
  <si>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</si>
  <si>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</si>
  <si>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</si>
  <si>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</si>
  <si>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</si>
  <si>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</si>
  <si>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</si>
  <si>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</si>
  <si>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</si>
  <si>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</si>
  <si>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</si>
  <si>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</si>
  <si>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</si>
  <si>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</si>
  <si>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</si>
  <si>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</si>
  <si>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</si>
  <si>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</si>
  <si>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</si>
  <si>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</si>
  <si>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</si>
  <si>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</si>
  <si>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</si>
  <si>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</si>
  <si>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</si>
  <si>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</si>
  <si>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</si>
  <si>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</si>
  <si>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</si>
  <si>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</si>
  <si>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</si>
  <si>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</si>
  <si>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</si>
  <si>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</si>
  <si>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</si>
  <si>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</si>
  <si>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</si>
  <si>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</si>
  <si>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</si>
  <si>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</si>
  <si>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</si>
  <si>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</si>
  <si>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</si>
  <si>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</si>
  <si>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</si>
  <si>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</si>
  <si>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</si>
  <si>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</si>
  <si>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</si>
  <si>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</si>
  <si>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</si>
  <si>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</si>
  <si>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</si>
  <si>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</si>
  <si>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</si>
  <si>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</si>
  <si>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</si>
  <si>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</si>
  <si>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</si>
  <si>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</si>
  <si>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</si>
  <si>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</si>
  <si>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</si>
  <si>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</si>
  <si>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</si>
  <si>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</si>
  <si>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</si>
  <si>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</si>
  <si>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</si>
  <si>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</si>
  <si>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</si>
  <si>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</si>
  <si>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</si>
  <si>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</si>
  <si>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</si>
  <si>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</si>
  <si>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</si>
  <si>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</si>
  <si>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</si>
  <si>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</si>
  <si>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</si>
  <si>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</si>
  <si>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</si>
  <si>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</si>
  <si>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</si>
  <si>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</si>
  <si>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</si>
  <si>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</si>
  <si>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</si>
  <si>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</si>
  <si>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</si>
  <si>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</si>
  <si>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</si>
  <si>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</si>
  <si>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</si>
  <si>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</si>
  <si>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</si>
  <si>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</si>
  <si>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</si>
  <si>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</si>
  <si>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</si>
  <si>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</si>
  <si>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</si>
  <si>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</si>
  <si>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</si>
  <si>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</si>
  <si>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</si>
  <si>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</si>
  <si>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</si>
  <si>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</si>
  <si>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</si>
  <si>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</si>
  <si>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</si>
  <si>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</si>
  <si>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</si>
  <si>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</si>
  <si>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</si>
  <si>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</si>
  <si>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</si>
  <si>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</si>
  <si>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</si>
  <si>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</si>
  <si>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</si>
  <si>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</si>
  <si>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</si>
  <si>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</si>
  <si>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</si>
  <si>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</si>
  <si>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</si>
  <si>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</si>
  <si>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</si>
  <si>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</si>
  <si>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</si>
  <si>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</si>
  <si>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</si>
  <si>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</si>
  <si>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</si>
  <si>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</si>
  <si>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</si>
  <si>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</si>
  <si>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</si>
  <si>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</si>
  <si>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</si>
  <si>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</si>
  <si>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</si>
  <si>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</si>
  <si>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</si>
  <si>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</si>
  <si>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</si>
  <si>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</si>
  <si>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</si>
  <si>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</si>
  <si>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</si>
  <si>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</si>
  <si>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</si>
  <si>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</si>
  <si>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</si>
  <si>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</si>
  <si>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</si>
  <si>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</si>
  <si>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</si>
  <si>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</si>
  <si>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</si>
  <si>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</si>
  <si>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</si>
  <si>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</si>
  <si>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</si>
  <si>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</si>
  <si>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</si>
  <si>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</si>
  <si>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</si>
  <si>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</si>
  <si>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</si>
  <si>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</si>
  <si>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</si>
  <si>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</si>
  <si>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</si>
  <si>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</si>
  <si>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</si>
  <si>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</si>
  <si>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</si>
  <si>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</si>
  <si>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</si>
  <si>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</si>
  <si>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</si>
  <si>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</si>
  <si>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</si>
  <si>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</si>
  <si>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</si>
  <si>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</si>
  <si>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</si>
  <si>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</si>
  <si>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</si>
  <si>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</si>
  <si>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</si>
  <si>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</si>
  <si>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</si>
  <si>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</si>
  <si>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</si>
  <si>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</si>
  <si>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</si>
  <si>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</si>
  <si>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</si>
  <si>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</si>
  <si>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</si>
  <si>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</si>
  <si>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</si>
  <si>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</si>
  <si>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</si>
  <si>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</si>
  <si>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</si>
  <si>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</si>
  <si>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</si>
  <si>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</si>
  <si>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</si>
  <si>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</si>
  <si>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</si>
  <si>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</si>
  <si>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</si>
  <si>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</si>
  <si>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</si>
  <si>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</si>
  <si>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</si>
  <si>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</si>
  <si>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</si>
  <si>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</si>
  <si>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</si>
  <si>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</si>
  <si>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</si>
  <si>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</si>
  <si>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</si>
  <si>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</si>
  <si>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</si>
  <si>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</si>
  <si>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</si>
  <si>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</si>
  <si>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</si>
  <si>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</si>
  <si>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</si>
  <si>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</si>
  <si>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</si>
  <si>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</si>
  <si>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</si>
  <si>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</si>
  <si>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</si>
  <si>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</si>
  <si>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</si>
  <si>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</si>
  <si>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</si>
  <si>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</si>
  <si>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</si>
  <si>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</si>
  <si>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</si>
  <si>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</si>
  <si>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</si>
  <si>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</si>
  <si>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</si>
  <si>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</si>
  <si>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</si>
  <si>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</si>
  <si>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</si>
  <si>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</si>
  <si>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</si>
  <si>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</si>
  <si>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</si>
  <si>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</si>
  <si>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</si>
  <si>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</si>
  <si>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</si>
  <si>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</si>
  <si>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</si>
  <si>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</si>
  <si>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</si>
  <si>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</si>
  <si>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</si>
  <si>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</si>
  <si>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</si>
  <si>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</si>
  <si>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</si>
  <si>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</si>
  <si>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</si>
  <si>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</si>
  <si>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</si>
  <si>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</si>
  <si>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</si>
  <si>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</si>
  <si>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</si>
  <si>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</si>
  <si>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</si>
  <si>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</si>
  <si>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</si>
  <si>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</si>
  <si>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</si>
  <si>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</si>
  <si>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</si>
  <si>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</si>
  <si>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</si>
  <si>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</si>
  <si>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</si>
  <si>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</si>
  <si>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</si>
  <si>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</si>
  <si>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</si>
  <si>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</si>
  <si>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</si>
  <si>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</si>
  <si>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</si>
  <si>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</si>
  <si>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</si>
  <si>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</si>
  <si>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</si>
  <si>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</si>
  <si>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</si>
  <si>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</si>
  <si>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</si>
  <si>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</si>
  <si>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</si>
  <si>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</si>
  <si>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</si>
  <si>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</si>
  <si>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</si>
  <si>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</si>
  <si>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</si>
  <si>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</si>
  <si>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</si>
  <si>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</si>
  <si>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</si>
  <si>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</si>
  <si>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</si>
  <si>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</si>
  <si>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</si>
  <si>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</si>
  <si>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</si>
  <si>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</si>
  <si>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</si>
  <si>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</si>
  <si>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</si>
  <si>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</si>
  <si>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</si>
  <si>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</si>
  <si>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</si>
  <si>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</si>
  <si>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</si>
  <si>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</si>
  <si>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</si>
  <si>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</si>
  <si>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</si>
  <si>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</si>
  <si>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</si>
  <si>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</si>
  <si>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</si>
  <si>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</si>
  <si>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</si>
  <si>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</si>
  <si>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</si>
  <si>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</si>
  <si>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</si>
  <si>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</si>
  <si>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</si>
  <si>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</si>
  <si>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</si>
  <si>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</si>
  <si>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</si>
  <si>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</si>
  <si>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</si>
  <si>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</si>
  <si>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</si>
  <si>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</si>
  <si>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</si>
  <si>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</si>
  <si>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</si>
  <si>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</si>
  <si>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</si>
  <si>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</si>
  <si>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</si>
  <si>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</si>
  <si>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</si>
  <si>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</si>
  <si>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</si>
  <si>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</si>
  <si>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</si>
  <si>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</si>
  <si>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</si>
  <si>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</si>
  <si>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</si>
  <si>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</si>
  <si>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</si>
  <si>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</si>
  <si>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</si>
  <si>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</si>
  <si>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</si>
  <si>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</si>
  <si>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</si>
  <si>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</si>
  <si>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</si>
  <si>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</si>
  <si>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</si>
  <si>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</si>
  <si>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</si>
  <si>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</si>
  <si>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</si>
  <si>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</si>
  <si>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</si>
  <si>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</si>
  <si>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</si>
  <si>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</si>
  <si>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</si>
  <si>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</si>
  <si>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</si>
  <si>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</si>
  <si>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</si>
  <si>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</si>
  <si>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</si>
  <si>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</si>
  <si>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</si>
  <si>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</si>
  <si>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</si>
  <si>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</si>
  <si>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</si>
  <si>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</si>
  <si>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</si>
  <si>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</si>
  <si>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</si>
  <si>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</si>
  <si>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</si>
  <si>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</si>
  <si>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</si>
  <si>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</si>
  <si>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</si>
  <si>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</si>
  <si>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</si>
  <si>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</si>
  <si>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</si>
  <si>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</si>
  <si>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</si>
  <si>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</si>
  <si>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</si>
  <si>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</si>
  <si>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</si>
  <si>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</si>
  <si>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</si>
  <si>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</si>
  <si>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</si>
  <si>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</si>
  <si>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</si>
  <si>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</si>
  <si>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</si>
  <si>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</si>
  <si>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</si>
  <si>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</si>
  <si>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</si>
  <si>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</si>
  <si>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</si>
  <si>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</si>
  <si>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</si>
  <si>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</si>
  <si>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</si>
  <si>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</si>
  <si>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</si>
  <si>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</si>
  <si>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</si>
  <si>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</si>
  <si>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</si>
  <si>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</si>
  <si>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</si>
  <si>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</si>
  <si>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</si>
  <si>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</si>
  <si>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</si>
  <si>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</si>
  <si>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</si>
  <si>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</si>
  <si>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</si>
  <si>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</si>
  <si>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</si>
  <si>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</si>
  <si>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</si>
  <si>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</si>
  <si>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</si>
  <si>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</si>
  <si>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</si>
  <si>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</si>
  <si>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</si>
  <si>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</si>
  <si>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</si>
  <si>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</si>
  <si>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</si>
  <si>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</si>
  <si>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</si>
  <si>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</si>
  <si>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</si>
  <si>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</si>
  <si>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</si>
  <si>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</si>
  <si>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</si>
  <si>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</si>
  <si>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</si>
  <si>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</si>
  <si>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</si>
  <si>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</si>
  <si>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</si>
  <si>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</si>
  <si>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</si>
  <si>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</si>
  <si>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</si>
  <si>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</si>
  <si>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</si>
  <si>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</si>
  <si>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</si>
  <si>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</si>
  <si>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</si>
  <si>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</si>
  <si>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</si>
  <si>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</si>
  <si>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</si>
  <si>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</si>
  <si>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</si>
  <si>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</si>
  <si>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</si>
  <si>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</si>
  <si>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</si>
  <si>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</si>
  <si>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</si>
  <si>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</si>
  <si>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</si>
  <si>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</si>
  <si>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</si>
  <si>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</si>
  <si>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</si>
  <si>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</si>
  <si>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</si>
  <si>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</si>
  <si>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</si>
  <si>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</si>
  <si>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</si>
  <si>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</si>
  <si>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</si>
  <si>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</si>
  <si>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</si>
  <si>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</si>
  <si>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</si>
  <si>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</si>
  <si>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</si>
  <si>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</si>
  <si>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</si>
  <si>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</si>
  <si>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</si>
  <si>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</si>
  <si>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</si>
  <si>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</si>
  <si>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</si>
  <si>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</si>
  <si>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</si>
  <si>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</si>
  <si>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</si>
  <si>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</si>
  <si>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</si>
  <si>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</si>
  <si>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</si>
  <si>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</si>
  <si>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</si>
  <si>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</si>
  <si>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</si>
  <si>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</si>
  <si>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</si>
  <si>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</si>
  <si>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</si>
  <si>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</si>
  <si>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</si>
  <si>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</si>
  <si>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</si>
  <si>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</si>
  <si>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</si>
  <si>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</si>
  <si>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</si>
  <si>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</si>
  <si>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</si>
  <si>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</si>
  <si>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</si>
  <si>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</si>
  <si>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</si>
  <si>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</si>
  <si>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</si>
  <si>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</si>
  <si>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</si>
  <si>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</si>
  <si>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</si>
  <si>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</si>
  <si>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</si>
  <si>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</si>
  <si>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</si>
  <si>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</si>
  <si>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</si>
  <si>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</si>
  <si>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</si>
  <si>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</si>
  <si>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</si>
  <si>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</si>
  <si>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</si>
  <si>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</si>
  <si>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</si>
  <si>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</si>
  <si>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</si>
  <si>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</si>
  <si>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</si>
  <si>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</si>
  <si>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</si>
  <si>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</si>
  <si>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</si>
  <si>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</si>
  <si>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</si>
  <si>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</si>
  <si>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</si>
  <si>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</si>
  <si>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</si>
  <si>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</si>
  <si>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</si>
  <si>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</si>
  <si>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</si>
  <si>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</si>
  <si>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</si>
  <si>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</si>
  <si>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</si>
  <si>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</si>
  <si>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</si>
  <si>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</si>
  <si>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</si>
  <si>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</si>
  <si>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</si>
  <si>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</si>
  <si>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</si>
  <si>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</si>
  <si>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</si>
  <si>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</si>
  <si>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</si>
  <si>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</si>
  <si>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</si>
  <si>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</si>
  <si>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</si>
  <si>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</si>
  <si>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</si>
  <si>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</si>
  <si>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</si>
  <si>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</si>
  <si>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</si>
  <si>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</si>
  <si>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</si>
  <si>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</si>
  <si>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</si>
  <si>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</si>
  <si>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</si>
  <si>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</si>
  <si>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</si>
  <si>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</si>
  <si>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</si>
  <si>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</si>
  <si>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</si>
  <si>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</si>
  <si>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</si>
  <si>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</si>
  <si>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</si>
  <si>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</si>
  <si>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</si>
  <si>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</si>
  <si>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</si>
  <si>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</si>
  <si>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</si>
  <si>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</si>
  <si>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</si>
  <si>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</si>
  <si>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</si>
  <si>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</si>
  <si>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</si>
  <si>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</si>
  <si>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</si>
  <si>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</si>
  <si>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</si>
  <si>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</si>
  <si>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</si>
  <si>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</si>
  <si>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</si>
  <si>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</si>
  <si>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</si>
  <si>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</si>
  <si>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</si>
  <si>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</si>
  <si>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</si>
  <si>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</si>
  <si>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</si>
  <si>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</si>
  <si>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</si>
  <si>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</si>
  <si>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</si>
  <si>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</si>
  <si>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</si>
  <si>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</si>
  <si>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</si>
  <si>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</si>
  <si>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</si>
  <si>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</si>
  <si>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</si>
  <si>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</si>
  <si>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</si>
  <si>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</si>
  <si>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</si>
  <si>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</si>
  <si>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</si>
  <si>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</si>
  <si>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</si>
  <si>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</si>
  <si>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</si>
  <si>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</si>
  <si>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</si>
  <si>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</si>
  <si>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</si>
  <si>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</si>
  <si>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</si>
  <si>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</si>
  <si>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</si>
  <si>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</si>
  <si>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</si>
  <si>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</si>
  <si>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</si>
  <si>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</si>
  <si>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</si>
  <si>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</si>
  <si>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</si>
  <si>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</si>
  <si>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</si>
  <si>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</si>
  <si>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</si>
  <si>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</si>
  <si>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</si>
  <si>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</si>
  <si>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</si>
  <si>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</si>
  <si>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</si>
  <si>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</si>
  <si>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</si>
  <si>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</si>
  <si>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</si>
  <si>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</si>
  <si>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</si>
  <si>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</si>
  <si>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</si>
  <si>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</si>
  <si>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</si>
  <si>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</si>
  <si>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</si>
  <si>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</si>
  <si>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</si>
  <si>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</si>
  <si>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</si>
  <si>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</si>
  <si>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</si>
  <si>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</si>
  <si>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</si>
  <si>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</si>
  <si>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</si>
  <si>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</si>
  <si>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</si>
  <si>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</si>
  <si>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</si>
  <si>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</si>
  <si>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</si>
  <si>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</si>
  <si>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</si>
  <si>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</si>
  <si>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</si>
  <si>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</si>
  <si>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</si>
  <si>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</si>
  <si>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</si>
  <si>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</si>
  <si>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</si>
  <si>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</si>
  <si>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</si>
  <si>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</si>
  <si>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</si>
  <si>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</si>
  <si>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</si>
  <si>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</si>
  <si>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</si>
  <si>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</si>
  <si>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</si>
  <si>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</si>
  <si>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</si>
  <si>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</si>
  <si>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</si>
  <si>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</si>
  <si>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</si>
  <si>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</si>
  <si>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</si>
  <si>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</si>
  <si>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</si>
  <si>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</si>
  <si>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</si>
  <si>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</si>
  <si>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</si>
  <si>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</si>
  <si>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</si>
  <si>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</si>
  <si>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</si>
  <si>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</si>
  <si>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</si>
  <si>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</si>
  <si>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</si>
  <si>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</si>
  <si>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</si>
  <si>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</si>
  <si>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</si>
  <si>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</si>
  <si>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</si>
  <si>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</si>
  <si>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</si>
  <si>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</si>
  <si>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</si>
  <si>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</si>
  <si>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</si>
  <si>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</si>
  <si>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</si>
  <si>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</si>
  <si>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</si>
  <si>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</si>
  <si>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</si>
  <si>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</si>
  <si>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</si>
  <si>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</si>
  <si>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</si>
  <si>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</si>
  <si>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</si>
  <si>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</si>
  <si>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</si>
  <si>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</si>
  <si>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</si>
  <si>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</si>
  <si>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</si>
  <si>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</si>
  <si>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</si>
  <si>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</si>
  <si>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</si>
  <si>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</si>
  <si>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</si>
  <si>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</si>
  <si>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</si>
  <si>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</si>
  <si>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</si>
  <si>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</si>
  <si>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</si>
  <si>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</si>
  <si>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</si>
  <si>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</si>
  <si>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</si>
  <si>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</si>
  <si>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</si>
  <si>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</si>
  <si>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</si>
  <si>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</si>
  <si>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</si>
  <si>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</si>
  <si>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</si>
  <si>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</si>
  <si>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</si>
  <si>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</si>
  <si>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</si>
  <si>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</si>
  <si>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</si>
  <si>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</si>
  <si>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</si>
  <si>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</si>
  <si>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</si>
  <si>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</si>
  <si>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</si>
  <si>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</si>
  <si>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</si>
  <si>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</si>
  <si>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</si>
  <si>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</si>
  <si>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</si>
  <si>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</si>
  <si>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</si>
  <si>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</si>
  <si>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</si>
  <si>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</si>
  <si>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</si>
  <si>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</si>
  <si>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</si>
  <si>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</si>
  <si>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</si>
  <si>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</si>
  <si>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</si>
  <si>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</si>
  <si>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</si>
  <si>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</si>
  <si>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</si>
  <si>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</si>
  <si>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</si>
  <si>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</si>
  <si>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</si>
  <si>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</si>
  <si>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</si>
  <si>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</si>
  <si>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</si>
  <si>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</si>
  <si>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</si>
  <si>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</si>
  <si>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</si>
  <si>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</si>
  <si>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</si>
  <si>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</si>
  <si>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</si>
  <si>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</si>
  <si>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</si>
  <si>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</si>
  <si>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</si>
  <si>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</si>
  <si>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</si>
  <si>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</si>
  <si>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</si>
  <si>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</si>
  <si>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</si>
  <si>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</si>
  <si>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</si>
  <si>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</si>
  <si>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</si>
  <si>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</si>
  <si>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</si>
  <si>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</si>
  <si>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</si>
  <si>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</si>
  <si>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</si>
  <si>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</si>
  <si>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</si>
  <si>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</si>
  <si>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</si>
  <si>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</si>
  <si>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</si>
  <si>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</si>
  <si>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</si>
  <si>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</si>
  <si>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</si>
  <si>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</si>
  <si>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</si>
  <si>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</si>
  <si>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</si>
  <si>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</si>
  <si>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</si>
  <si>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</si>
  <si>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</si>
  <si>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</si>
  <si>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</si>
  <si>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</si>
  <si>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</si>
  <si>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</si>
  <si>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</si>
  <si>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</si>
  <si>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</si>
  <si>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</si>
  <si>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</si>
  <si>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</si>
  <si>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</si>
  <si>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</si>
  <si>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</si>
  <si>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</si>
  <si>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</si>
  <si>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</si>
  <si>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</si>
  <si>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</si>
  <si>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</si>
  <si>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</si>
  <si>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</si>
  <si>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</si>
  <si>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</si>
  <si>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</si>
  <si>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</si>
  <si>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</si>
  <si>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</si>
  <si>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</si>
  <si>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</si>
  <si>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</si>
  <si>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</si>
  <si>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</si>
  <si>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</si>
  <si>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</si>
  <si>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</si>
  <si>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</si>
  <si>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</si>
  <si>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</si>
  <si>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</si>
  <si>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</si>
  <si>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</si>
  <si>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</si>
  <si>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</si>
  <si>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</si>
  <si>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</si>
  <si>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</si>
  <si>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</si>
  <si>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</si>
  <si>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</si>
  <si>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</si>
  <si>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</si>
  <si>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</si>
  <si>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</si>
  <si>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</si>
  <si>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</si>
  <si>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</si>
  <si>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</si>
  <si>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</si>
  <si>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</si>
  <si>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</si>
  <si>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</si>
  <si>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</si>
  <si>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</si>
  <si>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</si>
  <si>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</si>
  <si>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</si>
  <si>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</si>
  <si>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</si>
  <si>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</si>
  <si>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</si>
  <si>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</si>
  <si>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</si>
  <si>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</si>
  <si>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</si>
  <si>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</si>
  <si>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</si>
  <si>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</si>
  <si>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</si>
  <si>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</si>
  <si>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</si>
  <si>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</si>
  <si>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</si>
  <si>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</si>
  <si>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</si>
  <si>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</si>
  <si>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</si>
  <si>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</si>
  <si>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</si>
  <si>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</si>
  <si>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</si>
  <si>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</si>
  <si>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</si>
  <si>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</si>
  <si>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</si>
  <si>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</si>
  <si>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</si>
  <si>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</si>
  <si>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</si>
  <si>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</si>
  <si>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</si>
  <si>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</si>
  <si>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</si>
  <si>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</si>
  <si>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</si>
  <si>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</si>
  <si>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</si>
  <si>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</si>
  <si>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</si>
  <si>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</si>
  <si>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</si>
  <si>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</si>
  <si>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</si>
  <si>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</si>
  <si>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</si>
  <si>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</si>
  <si>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</si>
  <si>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</si>
  <si>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</si>
  <si>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</si>
  <si>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</si>
  <si>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</si>
  <si>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</si>
  <si>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</si>
  <si>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</si>
  <si>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</si>
  <si>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</si>
  <si>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</si>
  <si>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</si>
  <si>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</si>
  <si>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</si>
  <si>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</si>
  <si>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</si>
  <si>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</si>
  <si>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</si>
  <si>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</si>
  <si>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</si>
  <si>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</si>
  <si>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</si>
  <si>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</si>
  <si>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</si>
  <si>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</si>
  <si>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</si>
  <si>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</si>
  <si>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</si>
  <si>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</si>
  <si>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</si>
  <si>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</si>
  <si>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</si>
  <si>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</si>
  <si>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</si>
  <si>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</si>
  <si>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</si>
  <si>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</si>
  <si>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</si>
  <si>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</si>
  <si>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</si>
  <si>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</si>
  <si>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</si>
  <si>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</si>
  <si>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</si>
  <si>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</si>
  <si>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</si>
  <si>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</si>
  <si>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</si>
  <si>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</si>
  <si>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</si>
  <si>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</si>
  <si>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</si>
  <si>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</si>
  <si>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</si>
  <si>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</si>
  <si>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</si>
  <si>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</si>
  <si>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</si>
  <si>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</si>
  <si>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</si>
  <si>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</si>
  <si>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</si>
  <si>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</si>
  <si>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</si>
  <si>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</si>
  <si>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</si>
  <si>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</si>
  <si>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</si>
  <si>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</si>
  <si>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</si>
  <si>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</si>
  <si>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</si>
  <si>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</si>
  <si>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</si>
  <si>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</si>
  <si>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</si>
  <si>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</si>
  <si>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</si>
  <si>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</si>
  <si>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</si>
  <si>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</si>
  <si>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</si>
  <si>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</si>
  <si>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</si>
  <si>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</si>
  <si>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</si>
  <si>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</si>
  <si>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</si>
  <si>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</si>
  <si>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</si>
  <si>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</si>
  <si>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</si>
  <si>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</si>
  <si>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</si>
  <si>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</si>
  <si>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</si>
  <si>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</si>
  <si>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</si>
  <si>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</si>
  <si>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</si>
  <si>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</si>
  <si>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</si>
  <si>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</si>
  <si>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</si>
  <si>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</si>
  <si>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</si>
  <si>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</si>
  <si>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</si>
  <si>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</si>
  <si>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</si>
  <si>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</si>
  <si>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</si>
  <si>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</si>
  <si>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</si>
  <si>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</si>
  <si>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</si>
  <si>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</si>
  <si>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</si>
  <si>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</si>
  <si>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</si>
  <si>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</si>
  <si>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</si>
  <si>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</si>
  <si>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</si>
  <si>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</si>
  <si>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</si>
  <si>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</si>
  <si>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</si>
  <si>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</si>
  <si>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</si>
  <si>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</si>
  <si>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</si>
  <si>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</si>
  <si>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</si>
  <si>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</si>
  <si>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</si>
  <si>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</si>
  <si>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</si>
  <si>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</si>
  <si>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</si>
  <si>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</si>
  <si>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</si>
  <si>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</si>
  <si>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</si>
  <si>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</si>
  <si>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</si>
  <si>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</si>
  <si>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</si>
  <si>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</si>
  <si>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</si>
  <si>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</si>
  <si>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</si>
  <si>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</si>
  <si>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</si>
  <si>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</si>
  <si>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</si>
  <si>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</si>
  <si>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</si>
  <si>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</si>
  <si>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</si>
  <si>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</si>
  <si>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</si>
  <si>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</si>
  <si>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</si>
  <si>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</si>
  <si>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</si>
  <si>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</si>
  <si>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</si>
  <si>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</si>
  <si>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</si>
  <si>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</si>
  <si>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</si>
  <si>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</si>
  <si>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</si>
  <si>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</si>
  <si>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</si>
  <si>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</si>
  <si>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</si>
  <si>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</si>
  <si>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</si>
  <si>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</si>
  <si>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</si>
  <si>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</si>
  <si>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</si>
  <si>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</si>
  <si>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</si>
  <si>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</si>
  <si>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</si>
  <si>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</si>
  <si>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</si>
  <si>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</si>
  <si>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</si>
  <si>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</si>
  <si>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</si>
  <si>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</si>
  <si>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</si>
  <si>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</si>
  <si>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</si>
  <si>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</si>
  <si>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</si>
  <si>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</si>
  <si>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</si>
  <si>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</si>
  <si>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</si>
  <si>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</si>
  <si>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</si>
  <si>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</si>
  <si>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</si>
  <si>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</si>
  <si>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</si>
  <si>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</si>
  <si>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</si>
  <si>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</si>
  <si>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</si>
  <si>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</si>
  <si>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</si>
  <si>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</si>
  <si>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</si>
  <si>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</si>
  <si>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</si>
  <si>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</si>
  <si>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</si>
  <si>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</si>
  <si>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</si>
  <si>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</si>
  <si>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</si>
  <si>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</si>
  <si>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</si>
  <si>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</si>
  <si>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</si>
  <si>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</si>
  <si>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</si>
  <si>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</si>
  <si>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</si>
  <si>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</si>
  <si>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</si>
  <si>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</si>
  <si>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</si>
  <si>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</si>
  <si>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</si>
  <si>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</si>
  <si>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</si>
  <si>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</si>
  <si>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</si>
  <si>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</si>
  <si>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</si>
  <si>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</si>
  <si>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</si>
  <si>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</si>
  <si>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</si>
  <si>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</si>
  <si>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</si>
  <si>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</si>
  <si>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</si>
  <si>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</si>
  <si>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</si>
  <si>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</si>
  <si>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</si>
  <si>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</si>
  <si>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</si>
  <si>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</si>
  <si>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</si>
  <si>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</si>
  <si>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</si>
  <si>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</si>
  <si>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</si>
  <si>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</si>
  <si>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</si>
  <si>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</si>
  <si>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</si>
  <si>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</si>
  <si>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</si>
  <si>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</si>
  <si>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</si>
  <si>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</si>
  <si>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</si>
  <si>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</si>
  <si>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</si>
  <si>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</si>
  <si>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</si>
  <si>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</si>
  <si>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</si>
  <si>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</si>
  <si>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</si>
  <si>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</si>
  <si>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</si>
  <si>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</si>
  <si>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</si>
  <si>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</si>
  <si>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</si>
  <si>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</si>
  <si>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</si>
  <si>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</si>
  <si>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</si>
  <si>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</si>
  <si>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</si>
  <si>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</si>
  <si>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</si>
  <si>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</si>
  <si>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</si>
  <si>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</si>
  <si>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</si>
  <si>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</si>
  <si>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</si>
  <si>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</si>
  <si>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</si>
  <si>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</si>
  <si>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</si>
  <si>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</si>
  <si>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</si>
  <si>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</si>
  <si>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</si>
  <si>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</si>
  <si>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</si>
  <si>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</si>
  <si>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</si>
  <si>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</si>
  <si>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</si>
  <si>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</si>
  <si>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</si>
  <si>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</si>
  <si>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</si>
  <si>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</si>
  <si>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</si>
  <si>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</si>
  <si>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</si>
  <si>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</si>
  <si>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</si>
  <si>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</si>
  <si>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</si>
  <si>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</si>
  <si>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</si>
  <si>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</si>
  <si>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</si>
  <si>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</si>
  <si>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</si>
  <si>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</si>
  <si>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</si>
  <si>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</si>
  <si>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</si>
  <si>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</si>
  <si>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</si>
  <si>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</si>
  <si>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</si>
  <si>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</si>
  <si>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</si>
  <si>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</si>
  <si>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</si>
  <si>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</si>
  <si>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</si>
  <si>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</si>
  <si>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</si>
  <si>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</si>
  <si>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</si>
  <si>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</si>
  <si>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</si>
  <si>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</si>
  <si>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</si>
  <si>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</si>
  <si>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</si>
  <si>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</si>
  <si>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</si>
  <si>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</si>
  <si>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</si>
  <si>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</si>
  <si>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</si>
  <si>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</si>
  <si>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</si>
  <si>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</si>
  <si>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</si>
  <si>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</si>
  <si>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</si>
  <si>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</si>
  <si>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</si>
  <si>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</si>
  <si>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</si>
  <si>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</si>
  <si>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</si>
  <si>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</si>
  <si>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</si>
  <si>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</si>
  <si>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</si>
  <si>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</si>
  <si>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</si>
  <si>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</si>
  <si>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</si>
  <si>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</si>
  <si>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</si>
  <si>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</si>
  <si>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</si>
  <si>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</si>
  <si>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</si>
  <si>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</si>
  <si>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</si>
  <si>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</si>
  <si>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</si>
  <si>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</si>
  <si>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</si>
  <si>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</si>
  <si>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</si>
  <si>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</si>
  <si>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</si>
  <si>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</si>
  <si>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</si>
  <si>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</si>
  <si>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</si>
  <si>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</si>
  <si>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</si>
  <si>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</si>
  <si>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</si>
  <si>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</si>
  <si>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</si>
  <si>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</si>
  <si>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</si>
  <si>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</si>
  <si>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</si>
  <si>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</si>
  <si>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</si>
  <si>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</si>
  <si>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</si>
  <si>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</si>
  <si>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</si>
  <si>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</si>
  <si>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</si>
  <si>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</si>
  <si>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</si>
  <si>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</si>
  <si>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</si>
  <si>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</si>
  <si>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</si>
  <si>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</si>
  <si>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</si>
  <si>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</si>
  <si>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</si>
  <si>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</si>
  <si>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</si>
  <si>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</si>
  <si>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</si>
  <si>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</si>
  <si>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</si>
  <si>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</si>
  <si>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</si>
  <si>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</si>
  <si>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</si>
  <si>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</si>
  <si>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</si>
  <si>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</si>
  <si>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</si>
  <si>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</si>
  <si>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</si>
  <si>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</si>
  <si>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</si>
  <si>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</si>
  <si>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</si>
  <si>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</si>
  <si>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</si>
  <si>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</si>
  <si>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</si>
  <si>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</si>
  <si>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</si>
  <si>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</si>
  <si>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</si>
  <si>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</si>
  <si>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</si>
  <si>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</si>
  <si>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</si>
  <si>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</si>
  <si>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</si>
  <si>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</si>
  <si>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</si>
  <si>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</si>
  <si>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</si>
  <si>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</si>
  <si>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</si>
  <si>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</si>
  <si>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</si>
  <si>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</si>
  <si>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</si>
  <si>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</si>
  <si>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</si>
  <si>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</si>
  <si>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</si>
  <si>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</si>
  <si>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</si>
  <si>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</si>
  <si>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</si>
  <si>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</si>
  <si>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</si>
  <si>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</si>
  <si>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</si>
  <si>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</si>
  <si>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</si>
  <si>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</si>
  <si>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</si>
  <si>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</si>
  <si>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</si>
  <si>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</si>
  <si>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</si>
  <si>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</si>
  <si>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</si>
  <si>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</si>
  <si>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</si>
  <si>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</si>
  <si>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</si>
  <si>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</si>
  <si>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</si>
  <si>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</si>
  <si>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</si>
  <si>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</si>
  <si>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</si>
  <si>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</si>
  <si>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</si>
  <si>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</si>
  <si>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</si>
  <si>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</si>
  <si>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</si>
  <si>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</si>
  <si>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</si>
  <si>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</si>
  <si>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</si>
  <si>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</si>
  <si>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</si>
  <si>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</si>
  <si>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</si>
  <si>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</si>
  <si>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</si>
  <si>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</si>
  <si>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</si>
  <si>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</si>
  <si>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</si>
  <si>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</si>
  <si>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</si>
  <si>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</si>
  <si>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</si>
  <si>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</si>
  <si>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</si>
  <si>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</si>
  <si>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</si>
  <si>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</si>
  <si>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</si>
  <si>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</si>
  <si>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</si>
  <si>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</si>
  <si>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</si>
  <si>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</si>
  <si>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</si>
  <si>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</si>
  <si>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</si>
  <si>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</si>
  <si>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</si>
  <si>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</si>
  <si>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</si>
  <si>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</si>
  <si>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</si>
  <si>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</si>
  <si>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</si>
  <si>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</si>
  <si>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</si>
  <si>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</si>
  <si>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</si>
  <si>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</si>
  <si>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</si>
  <si>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</si>
  <si>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</si>
  <si>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</si>
  <si>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</si>
  <si>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</si>
  <si>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</si>
  <si>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</si>
  <si>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</si>
  <si>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</si>
  <si>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</si>
  <si>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</si>
  <si>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</si>
  <si>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</si>
  <si>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</si>
  <si>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</si>
  <si>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</si>
  <si>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</si>
  <si>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</si>
  <si>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</si>
  <si>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</si>
  <si>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</si>
  <si>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</si>
  <si>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</si>
  <si>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</si>
  <si>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</si>
  <si>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</si>
  <si>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</si>
  <si>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</si>
  <si>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</si>
  <si>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</si>
  <si>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</si>
  <si>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</si>
  <si>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</si>
  <si>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</si>
  <si>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</si>
  <si>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</si>
  <si>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</si>
  <si>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</si>
  <si>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</si>
  <si>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</si>
  <si>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</si>
  <si>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</si>
  <si>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</si>
  <si>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</si>
  <si>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</si>
  <si>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</si>
  <si>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</si>
  <si>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</si>
  <si>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</si>
  <si>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</si>
  <si>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</si>
  <si>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</si>
  <si>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</si>
  <si>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</si>
  <si>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</si>
  <si>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</si>
  <si>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</si>
  <si>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</si>
  <si>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</si>
  <si>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</si>
  <si>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</si>
  <si>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</si>
  <si>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</si>
  <si>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</si>
  <si>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</si>
  <si>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</si>
  <si>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</si>
  <si>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</si>
  <si>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</si>
  <si>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</si>
  <si>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</si>
  <si>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</si>
  <si>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</si>
  <si>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</si>
  <si>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</si>
  <si>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</si>
  <si>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</si>
  <si>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</si>
  <si>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</si>
  <si>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</si>
  <si>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</si>
  <si>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</si>
  <si>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</si>
  <si>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</si>
  <si>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</si>
  <si>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</si>
  <si>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</si>
  <si>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</si>
  <si>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</si>
  <si>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</si>
  <si>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</si>
  <si>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</si>
  <si>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</si>
  <si>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</si>
  <si>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</si>
  <si>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</si>
  <si>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</si>
  <si>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</si>
  <si>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</si>
  <si>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</si>
  <si>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</si>
  <si>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</si>
  <si>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</si>
  <si>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</si>
  <si>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</si>
  <si>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</si>
  <si>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</si>
  <si>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</si>
  <si>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</si>
  <si>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</si>
  <si>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</si>
  <si>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</si>
  <si>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</si>
  <si>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</si>
  <si>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</si>
  <si>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</si>
  <si>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</si>
  <si>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</si>
  <si>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</si>
  <si>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</si>
  <si>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</si>
  <si>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</si>
  <si>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</si>
  <si>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</si>
  <si>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</si>
  <si>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</si>
  <si>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</si>
  <si>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</si>
  <si>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</si>
  <si>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</si>
  <si>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</si>
  <si>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</si>
  <si>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</si>
  <si>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</si>
  <si>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</si>
  <si>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</si>
  <si>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</si>
  <si>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</si>
  <si>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</si>
  <si>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</si>
  <si>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</si>
  <si>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</si>
  <si>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</si>
  <si>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</si>
  <si>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</si>
  <si>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</si>
  <si>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</si>
  <si>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</si>
  <si>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</si>
  <si>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</si>
  <si>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</si>
  <si>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</si>
  <si>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</si>
  <si>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</si>
  <si>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</si>
  <si>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</si>
  <si>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</si>
  <si>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</si>
  <si>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</si>
  <si>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</si>
  <si>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</si>
  <si>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</si>
  <si>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</si>
  <si>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</si>
  <si>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</si>
  <si>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</si>
  <si>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</si>
  <si>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</si>
  <si>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</si>
  <si>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</si>
  <si>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</si>
  <si>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</si>
  <si>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</si>
  <si>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</si>
  <si>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</si>
  <si>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</si>
  <si>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抵押</t>
  </si>
  <si>
    <t>房地产抵押价值</t>
  </si>
  <si>
    <t>北京市</t>
  </si>
  <si>
    <t>企业</t>
  </si>
  <si>
    <t>出让</t>
  </si>
  <si>
    <t>是</t>
  </si>
  <si>
    <t>地上</t>
  </si>
  <si>
    <t>地下</t>
  </si>
  <si>
    <t>办公项目</t>
  </si>
  <si>
    <t>现房</t>
  </si>
  <si>
    <t>办公</t>
    <phoneticPr fontId="8" type="noConversion"/>
  </si>
  <si>
    <t>成新度</t>
  </si>
  <si>
    <t>收益法</t>
  </si>
  <si>
    <t>押一</t>
  </si>
  <si>
    <t>按租金收入计税</t>
  </si>
  <si>
    <t>钢混</t>
  </si>
  <si>
    <t>非生产用房</t>
  </si>
  <si>
    <t>否</t>
  </si>
  <si>
    <t>未包含在土地购买价格中</t>
  </si>
  <si>
    <t>已包含在土地取得成本中</t>
  </si>
  <si>
    <t>科教用地</t>
  </si>
  <si>
    <t>与级别开发程度一致</t>
  </si>
  <si>
    <t>按公示增长率计算</t>
  </si>
  <si>
    <t>容积率修正</t>
  </si>
  <si>
    <t>楼号</t>
    <phoneticPr fontId="141" type="noConversion"/>
  </si>
  <si>
    <t>建筑面积</t>
    <phoneticPr fontId="141" type="noConversion"/>
  </si>
  <si>
    <t>楼层</t>
    <phoneticPr fontId="141" type="noConversion"/>
  </si>
  <si>
    <r>
      <t>负1至3层</t>
    </r>
    <r>
      <rPr>
        <sz val="11"/>
        <color theme="1"/>
        <rFont val="宋体"/>
        <family val="2"/>
        <charset val="134"/>
        <scheme val="minor"/>
      </rPr>
      <t/>
    </r>
    <phoneticPr fontId="141" type="noConversion"/>
  </si>
  <si>
    <t>地下1层</t>
    <phoneticPr fontId="141" type="noConversion"/>
  </si>
  <si>
    <t>附房层</t>
    <phoneticPr fontId="141" type="noConversion"/>
  </si>
  <si>
    <t>地下2层</t>
  </si>
  <si>
    <r>
      <t>负1至5层</t>
    </r>
    <r>
      <rPr>
        <sz val="11"/>
        <color theme="1"/>
        <rFont val="宋体"/>
        <family val="2"/>
        <charset val="134"/>
        <scheme val="minor"/>
      </rPr>
      <t/>
    </r>
    <phoneticPr fontId="141" type="noConversion"/>
  </si>
  <si>
    <r>
      <t>负2至1层</t>
    </r>
    <r>
      <rPr>
        <sz val="11"/>
        <color theme="1"/>
        <rFont val="宋体"/>
        <family val="2"/>
        <charset val="134"/>
        <scheme val="minor"/>
      </rPr>
      <t/>
    </r>
    <phoneticPr fontId="141" type="noConversion"/>
  </si>
  <si>
    <t>土地面积</t>
    <phoneticPr fontId="141" type="noConversion"/>
  </si>
  <si>
    <t>分摊土地面积</t>
    <phoneticPr fontId="141" type="noConversion"/>
  </si>
  <si>
    <t>项目局部</t>
  </si>
  <si>
    <t>地块名称</t>
  </si>
  <si>
    <t>城市</t>
  </si>
  <si>
    <t>用地性质</t>
  </si>
  <si>
    <t>建设用地面积(㎡)</t>
  </si>
  <si>
    <t>规划建筑面积(㎡)</t>
  </si>
  <si>
    <t>容积率</t>
  </si>
  <si>
    <t>出让方式</t>
  </si>
  <si>
    <t>详细规划</t>
  </si>
  <si>
    <t>成交日期</t>
  </si>
  <si>
    <t>成交价(万元)</t>
  </si>
  <si>
    <t>成交楼面价(元/㎡)</t>
  </si>
  <si>
    <t>溢价率</t>
  </si>
  <si>
    <t>受让单位</t>
  </si>
  <si>
    <t>土地星级</t>
  </si>
  <si>
    <t>土地面积</t>
    <phoneticPr fontId="141" type="noConversion"/>
  </si>
  <si>
    <t>容积率</t>
    <phoneticPr fontId="141" type="noConversion"/>
  </si>
  <si>
    <t>建筑面积</t>
    <phoneticPr fontId="141" type="noConversion"/>
  </si>
  <si>
    <t>北京市海淀区学院路北端A、B、C、J地块B4综合性商业金融服务业用地、B23研发设计用地</t>
  </si>
  <si>
    <t>商业/办公用地</t>
  </si>
  <si>
    <t>≤4.04</t>
  </si>
  <si>
    <t>招标</t>
  </si>
  <si>
    <t>B4综合性商业金融服务业用地、B23研发设计用地</t>
  </si>
  <si>
    <t>2019-12-02</t>
  </si>
  <si>
    <t>紫光集团有限公司、紫光股份有限公司、紫光国芯微电子股份有限公司和北京紫光科技服务集团有限公司联合体</t>
  </si>
  <si>
    <t>4星</t>
  </si>
  <si>
    <t>科研用地面积</t>
    <phoneticPr fontId="141" type="noConversion"/>
  </si>
  <si>
    <t>办公单价</t>
    <phoneticPr fontId="141" type="noConversion"/>
  </si>
  <si>
    <t>比例</t>
    <phoneticPr fontId="141" type="noConversion"/>
  </si>
  <si>
    <t>北京市海淀区西三旗1811-L04地块B4综合性商业金融服务业用地</t>
  </si>
  <si>
    <t>≤2.8</t>
  </si>
  <si>
    <t>挂牌</t>
  </si>
  <si>
    <t>B4综合性商业金融服务业用地</t>
  </si>
  <si>
    <t>2019-07-04</t>
  </si>
  <si>
    <t>北京润置商业运营管理有限公司</t>
  </si>
  <si>
    <t>5星</t>
  </si>
  <si>
    <t>商业办公用地面积</t>
    <phoneticPr fontId="141" type="noConversion"/>
  </si>
  <si>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</si>
  <si>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</si>
  <si>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</si>
  <si>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</si>
  <si>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</si>
  <si>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</si>
  <si>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</si>
  <si>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</si>
  <si>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</si>
  <si>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</si>
  <si>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</si>
  <si>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</si>
  <si>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</si>
  <si>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</si>
  <si>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</si>
  <si>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</si>
  <si>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</si>
  <si>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</si>
  <si>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</si>
  <si>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</si>
  <si>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</si>
  <si>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</si>
  <si>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</si>
  <si>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</si>
  <si>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</si>
  <si>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</si>
  <si>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</si>
  <si>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</si>
  <si>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</si>
  <si>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</si>
  <si>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</si>
  <si>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</si>
  <si>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</si>
  <si>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</si>
  <si>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</si>
  <si>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旅游设施</t>
  </si>
  <si>
    <t>2010-12-29</t>
  </si>
  <si>
    <t>北京旷怡园房地产有限公司</t>
  </si>
  <si>
    <t>2星</t>
  </si>
  <si>
    <t>海淀区清河406商业金融项目</t>
  </si>
  <si>
    <t>商业金融</t>
  </si>
  <si>
    <t>2010-07-01</t>
  </si>
  <si>
    <t>王中海</t>
  </si>
  <si>
    <t>海淀区北蜂窝商业金融项目</t>
  </si>
  <si>
    <t>商业金融用地</t>
  </si>
  <si>
    <t>2010-03-17</t>
  </si>
  <si>
    <t>北京住总正华开发建设集团有限公司和北京正华永兴房地产开发有限公司联合体</t>
  </si>
  <si>
    <t>正常</t>
  </si>
  <si>
    <t>加权平均</t>
  </si>
  <si>
    <t>海淀绿地中央广场</t>
  </si>
  <si>
    <t>中创芯中心</t>
  </si>
  <si>
    <t>40-50（含）</t>
  </si>
  <si>
    <t>较好</t>
  </si>
  <si>
    <t>七通</t>
  </si>
  <si>
    <t>标准写字楼</t>
  </si>
  <si>
    <t>精装</t>
  </si>
  <si>
    <t>甲级</t>
  </si>
  <si>
    <t>专业</t>
  </si>
  <si>
    <t>毛坯</t>
  </si>
  <si>
    <t>售价</t>
  </si>
  <si>
    <t>高速路</t>
  </si>
  <si>
    <t>主干道</t>
  </si>
  <si>
    <t>次干道</t>
  </si>
  <si>
    <t>支路</t>
  </si>
  <si>
    <t>企业独栋</t>
  </si>
  <si>
    <t>出售案例</t>
    <phoneticPr fontId="141" type="noConversion"/>
  </si>
  <si>
    <t>出租案例</t>
    <phoneticPr fontId="141" type="noConversion"/>
  </si>
  <si>
    <t>库房租金</t>
    <phoneticPr fontId="141" type="noConversion"/>
  </si>
  <si>
    <t>用途</t>
    <phoneticPr fontId="141" type="noConversion"/>
  </si>
  <si>
    <t>负1至5层</t>
    <phoneticPr fontId="141" type="noConversion"/>
  </si>
  <si>
    <t>办公</t>
    <phoneticPr fontId="141" type="noConversion"/>
  </si>
  <si>
    <t>车库</t>
    <phoneticPr fontId="141" type="noConversion"/>
  </si>
  <si>
    <t>合计</t>
    <phoneticPr fontId="141" type="noConversion"/>
  </si>
  <si>
    <t>评估单价（元/㎡）</t>
    <phoneticPr fontId="141" type="noConversion"/>
  </si>
  <si>
    <t>评估总价（万元）</t>
    <phoneticPr fontId="141" type="noConversion"/>
  </si>
  <si>
    <t>办公</t>
    <phoneticPr fontId="33" type="noConversion"/>
  </si>
  <si>
    <t>含人防29.35</t>
    <phoneticPr fontId="141" type="noConversion"/>
  </si>
  <si>
    <t>含人防1843.35</t>
    <phoneticPr fontId="141" type="noConversion"/>
  </si>
  <si>
    <t>5-310</t>
    <phoneticPr fontId="33" type="noConversion"/>
  </si>
  <si>
    <t>租约整理</t>
    <phoneticPr fontId="141" type="noConversion"/>
  </si>
  <si>
    <t>楼号</t>
    <phoneticPr fontId="141" type="noConversion"/>
  </si>
  <si>
    <t>楼层</t>
    <phoneticPr fontId="141" type="noConversion"/>
  </si>
  <si>
    <t>建筑面积</t>
    <phoneticPr fontId="141" type="noConversion"/>
  </si>
  <si>
    <t>租期起</t>
    <phoneticPr fontId="141" type="noConversion"/>
  </si>
  <si>
    <t>租期止</t>
    <phoneticPr fontId="141" type="noConversion"/>
  </si>
  <si>
    <r>
      <t>1</t>
    </r>
    <r>
      <rPr>
        <sz val="11"/>
        <color theme="1"/>
        <rFont val="宋体"/>
        <family val="3"/>
        <charset val="134"/>
        <scheme val="minor"/>
      </rPr>
      <t>-2</t>
    </r>
    <phoneticPr fontId="141" type="noConversion"/>
  </si>
  <si>
    <t>年租金（元）</t>
    <phoneticPr fontId="141" type="noConversion"/>
  </si>
  <si>
    <t>备注</t>
    <phoneticPr fontId="141" type="noConversion"/>
  </si>
  <si>
    <t>1层1290.6平方米，2层1178.23平方米。空调费用360449.18元，物业费180224.59元</t>
    <phoneticPr fontId="141" type="noConversion"/>
  </si>
  <si>
    <t>押金</t>
    <phoneticPr fontId="141" type="noConversion"/>
  </si>
  <si>
    <r>
      <t>3层和地下</t>
    </r>
    <r>
      <rPr>
        <sz val="11"/>
        <color theme="1"/>
        <rFont val="宋体"/>
        <family val="3"/>
        <charset val="134"/>
        <scheme val="minor"/>
      </rPr>
      <t>1层</t>
    </r>
    <phoneticPr fontId="141" type="noConversion"/>
  </si>
  <si>
    <t>承租方</t>
    <phoneticPr fontId="141" type="noConversion"/>
  </si>
  <si>
    <t>北京骏一在线孵化器有限公司</t>
    <phoneticPr fontId="141" type="noConversion"/>
  </si>
  <si>
    <t>5年8%递增，地下1层面积853平方米，租金按1元计算，地上3层面积1303.62平方米，租金按2.7元/平/太难计算</t>
    <phoneticPr fontId="141" type="noConversion"/>
  </si>
  <si>
    <t>联动天翼</t>
    <phoneticPr fontId="141" type="noConversion"/>
  </si>
  <si>
    <t>4层</t>
    <phoneticPr fontId="141" type="noConversion"/>
  </si>
  <si>
    <t>5层</t>
    <phoneticPr fontId="141" type="noConversion"/>
  </si>
  <si>
    <t>骏一在线</t>
    <phoneticPr fontId="141" type="noConversion"/>
  </si>
  <si>
    <t>原创与联通智网科技</t>
    <phoneticPr fontId="141" type="noConversion"/>
  </si>
  <si>
    <t>2号楼</t>
    <phoneticPr fontId="141" type="noConversion"/>
  </si>
  <si>
    <t>1号楼</t>
    <phoneticPr fontId="141" type="noConversion"/>
  </si>
  <si>
    <t>地上全部</t>
    <phoneticPr fontId="141" type="noConversion"/>
  </si>
  <si>
    <t>3号楼</t>
  </si>
  <si>
    <t>地下一层</t>
    <phoneticPr fontId="141" type="noConversion"/>
  </si>
  <si>
    <t>骏一投资</t>
    <phoneticPr fontId="141" type="noConversion"/>
  </si>
  <si>
    <t>地上全部</t>
    <phoneticPr fontId="141" type="noConversion"/>
  </si>
  <si>
    <t>骏一投资</t>
    <phoneticPr fontId="141" type="noConversion"/>
  </si>
  <si>
    <r>
      <t>8</t>
    </r>
    <r>
      <rPr>
        <sz val="11"/>
        <color theme="1"/>
        <rFont val="宋体"/>
        <family val="3"/>
        <charset val="134"/>
        <scheme val="minor"/>
      </rPr>
      <t>97平米</t>
    </r>
    <phoneticPr fontId="141" type="noConversion"/>
  </si>
  <si>
    <t>骏一代管，联动给租金的30%托管费</t>
    <phoneticPr fontId="141" type="noConversion"/>
  </si>
  <si>
    <t>第二年起，租金每年递增5%，含物业费</t>
    <phoneticPr fontId="141" type="noConversion"/>
  </si>
  <si>
    <t>租金（含税）3元/平米/天，物业费0.25，空调费0.25，30个地下车位</t>
    <phoneticPr fontId="141" type="noConversion"/>
  </si>
  <si>
    <t>地下租金1元</t>
    <phoneticPr fontId="141" type="noConversion"/>
  </si>
  <si>
    <t>租金地上</t>
    <phoneticPr fontId="4" type="noConversion"/>
  </si>
  <si>
    <t>租金地下</t>
    <phoneticPr fontId="4" type="noConversion"/>
  </si>
  <si>
    <t>位置</t>
    <phoneticPr fontId="4" type="noConversion"/>
  </si>
  <si>
    <t>面积</t>
    <phoneticPr fontId="4" type="noConversion"/>
  </si>
  <si>
    <t>租金全含</t>
    <phoneticPr fontId="4" type="noConversion"/>
  </si>
  <si>
    <t>一般</t>
  </si>
  <si>
    <t>差</t>
  </si>
  <si>
    <t>全部缴纳</t>
  </si>
  <si>
    <t>地上容积率</t>
    <phoneticPr fontId="141" type="noConversion"/>
  </si>
  <si>
    <t>自定义容积率</t>
  </si>
  <si>
    <t>科教</t>
    <phoneticPr fontId="33" type="noConversion"/>
  </si>
  <si>
    <r>
      <t>3</t>
    </r>
    <r>
      <rPr>
        <sz val="10"/>
        <color indexed="8"/>
        <rFont val="宋体"/>
        <family val="3"/>
        <charset val="134"/>
      </rPr>
      <t>号楼</t>
    </r>
    <phoneticPr fontId="4" type="noConversion"/>
  </si>
  <si>
    <t>第1-5年，2.7元，5年递增1次，每次8%,空调费0.22元，物业费按面积分摊，70个地下车位</t>
    <phoneticPr fontId="141" type="noConversion"/>
  </si>
  <si>
    <t>高区</t>
    <phoneticPr fontId="33" type="noConversion"/>
  </si>
  <si>
    <t>中区</t>
  </si>
  <si>
    <t>中区</t>
    <phoneticPr fontId="33" type="noConversion"/>
  </si>
  <si>
    <t>低区</t>
  </si>
  <si>
    <t>低区</t>
    <phoneticPr fontId="33" type="noConversion"/>
  </si>
  <si>
    <t>精装</t>
    <phoneticPr fontId="33" type="noConversion"/>
  </si>
  <si>
    <t>普装</t>
    <phoneticPr fontId="33" type="noConversion"/>
  </si>
  <si>
    <t>简装</t>
    <phoneticPr fontId="33" type="noConversion"/>
  </si>
  <si>
    <t>毛坯</t>
    <phoneticPr fontId="33" type="noConversion"/>
  </si>
  <si>
    <t>钢混</t>
    <phoneticPr fontId="33" type="noConversion"/>
  </si>
  <si>
    <t>标准</t>
  </si>
  <si>
    <t>标准</t>
    <phoneticPr fontId="33" type="noConversion"/>
  </si>
  <si>
    <t>好</t>
  </si>
  <si>
    <t>智享中心</t>
    <phoneticPr fontId="33" type="noConversion"/>
  </si>
  <si>
    <t>北清路</t>
    <phoneticPr fontId="33" type="noConversion"/>
  </si>
  <si>
    <t>紫雀路</t>
    <phoneticPr fontId="33" type="noConversion"/>
  </si>
  <si>
    <t>总价</t>
  </si>
  <si>
    <t>收益比率</t>
  </si>
  <si>
    <t>3层</t>
    <phoneticPr fontId="26" type="noConversion"/>
  </si>
  <si>
    <r>
      <rPr>
        <sz val="10"/>
        <color indexed="8"/>
        <rFont val="宋体"/>
        <family val="3"/>
        <charset val="134"/>
      </rPr>
      <t>地下</t>
    </r>
    <r>
      <rPr>
        <sz val="10"/>
        <color indexed="8"/>
        <rFont val="Arial"/>
        <family val="2"/>
      </rPr>
      <t>1</t>
    </r>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</si>
  <si>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</si>
  <si>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</si>
  <si>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</si>
  <si>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</si>
  <si>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6" type="noConversion"/>
  </si>
  <si>
    <t>高区</t>
  </si>
  <si>
    <t>高区</t>
    <phoneticPr fontId="26" type="noConversion"/>
  </si>
  <si>
    <t>中区</t>
    <phoneticPr fontId="26" type="noConversion"/>
  </si>
  <si>
    <t>低区</t>
    <phoneticPr fontId="26" type="noConversion"/>
  </si>
  <si>
    <t>地下办公</t>
  </si>
  <si>
    <t>地下办公</t>
    <phoneticPr fontId="26"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</si>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</sst>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10" applyAlignment="1"/>
    <xf numFmtId="0" fontId="99" fillId="0" borderId="16" xfId="10" applyBorder="1" applyAlignment="1">
      <alignment horizontal="center" vertical="center"/>
    </xf>
    <xf numFmtId="0" fontId="99" fillId="0" borderId="19" xfId="10" applyFont="1" applyBorder="1" applyAlignment="1">
      <alignment horizontal="center" vertical="center"/>
    </xf>
    <xf numFmtId="0" fontId="99" fillId="0" borderId="19" xfId="10" applyBorder="1" applyAlignment="1">
      <alignment horizontal="center" vertical="center"/>
    </xf>
    <xf numFmtId="0" fontId="99" fillId="0" borderId="31" xfId="10" applyBorder="1" applyAlignment="1">
      <alignment horizontal="center" vertical="center"/>
    </xf>
    <xf numFmtId="0" fontId="99" fillId="5" borderId="0" xfId="10" applyFill="1" applyAlignment="1"/>
    <xf numFmtId="0" fontId="99" fillId="5" borderId="18" xfId="10" applyFont="1" applyFill="1" applyBorder="1" applyAlignment="1">
      <alignment horizontal="center" vertical="center"/>
    </xf>
    <xf numFmtId="0" fontId="99" fillId="5" borderId="0" xfId="10" applyFill="1" applyBorder="1" applyAlignment="1">
      <alignment horizontal="center" vertical="center"/>
    </xf>
    <xf numFmtId="0" fontId="99" fillId="5" borderId="0" xfId="10" applyFont="1" applyFill="1" applyBorder="1" applyAlignment="1">
      <alignment horizontal="center" vertical="center"/>
    </xf>
    <xf numFmtId="0" fontId="99" fillId="5" borderId="56" xfId="10" applyFont="1" applyFill="1" applyBorder="1" applyAlignment="1">
      <alignment horizontal="center" vertical="center"/>
    </xf>
    <xf numFmtId="0" fontId="99" fillId="5" borderId="0" xfId="10" applyFont="1" applyFill="1" applyAlignment="1"/>
    <xf numFmtId="0" fontId="99" fillId="0" borderId="0" xfId="10">
      <alignment vertical="center"/>
    </xf>
    <xf numFmtId="0" fontId="99" fillId="0" borderId="0" xfId="10" applyFill="1" applyAlignment="1"/>
    <xf numFmtId="0" fontId="99" fillId="5" borderId="42" xfId="10" applyFont="1" applyFill="1" applyBorder="1" applyAlignment="1">
      <alignment horizontal="center" vertical="center"/>
    </xf>
    <xf numFmtId="0" fontId="99" fillId="5" borderId="47" xfId="10" applyFill="1" applyBorder="1" applyAlignment="1">
      <alignment horizontal="center" vertical="center"/>
    </xf>
    <xf numFmtId="0" fontId="99" fillId="5" borderId="43" xfId="10" applyFill="1" applyBorder="1" applyAlignment="1">
      <alignment horizontal="center" vertical="center"/>
    </xf>
    <xf numFmtId="0" fontId="135" fillId="0" borderId="51"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1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right" vertical="center"/>
    </xf>
    <xf numFmtId="0" fontId="99" fillId="0" borderId="0" xfId="0" applyFont="1" applyAlignment="1">
      <alignment horizontal="right" vertical="center"/>
    </xf>
    <xf numFmtId="190" fontId="47" fillId="6"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9" fillId="0" borderId="0" xfId="0" applyNumberFormat="1" applyFont="1">
      <alignment vertical="center"/>
    </xf>
    <xf numFmtId="14" fontId="99" fillId="0" borderId="0" xfId="0" applyNumberFormat="1" applyFont="1">
      <alignment vertical="center"/>
    </xf>
    <xf numFmtId="14" fontId="0" fillId="0" borderId="0" xfId="0" applyNumberFormat="1">
      <alignment vertical="center"/>
    </xf>
    <xf numFmtId="0" fontId="0" fillId="5" borderId="0" xfId="0" applyFill="1">
      <alignment vertical="center"/>
    </xf>
    <xf numFmtId="0" fontId="80" fillId="13" borderId="0" xfId="0" applyFont="1" applyFill="1" applyAlignment="1" applyProtection="1">
      <alignment vertical="center"/>
      <protection locked="0"/>
    </xf>
    <xf numFmtId="0" fontId="50" fillId="13" borderId="0" xfId="0" applyNumberFormat="1"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61" fillId="20" borderId="3" xfId="0" applyNumberFormat="1" applyFont="1" applyFill="1" applyBorder="1" applyAlignment="1" applyProtection="1">
      <alignment horizontal="center" vertical="center" wrapText="1"/>
      <protection locked="0"/>
    </xf>
    <xf numFmtId="0" fontId="53" fillId="20" borderId="38" xfId="0" applyNumberFormat="1" applyFont="1" applyFill="1" applyBorder="1" applyAlignment="1" applyProtection="1">
      <alignment vertical="center" wrapText="1"/>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2" fillId="0" borderId="37" xfId="0" applyFont="1" applyFill="1" applyBorder="1" applyAlignment="1" applyProtection="1">
      <alignment horizontal="center" vertical="center" wrapText="1"/>
      <protection locked="0"/>
    </xf>
    <xf numFmtId="0" fontId="176" fillId="0" borderId="48"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37"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190"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609600</xdr:colOff>
      <xdr:row>4</xdr:row>
      <xdr:rowOff>123825</xdr:rowOff>
    </xdr:from>
    <xdr:to>
      <xdr:col>24</xdr:col>
      <xdr:colOff>475296</xdr:colOff>
      <xdr:row>15</xdr:row>
      <xdr:rowOff>171208</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11163300" y="819150"/>
          <a:ext cx="7638096" cy="1933333"/>
        </a:xfrm>
        <a:prstGeom prst="rect">
          <a:avLst/>
        </a:prstGeom>
      </xdr:spPr>
    </xdr:pic>
    <xdr:clientData/>
  </xdr:twoCellAnchor>
  <xdr:twoCellAnchor editAs="oneCell">
    <xdr:from>
      <xdr:col>0</xdr:col>
      <xdr:colOff>0</xdr:colOff>
      <xdr:row>41</xdr:row>
      <xdr:rowOff>85725</xdr:rowOff>
    </xdr:from>
    <xdr:to>
      <xdr:col>13</xdr:col>
      <xdr:colOff>267470</xdr:colOff>
      <xdr:row>74</xdr:row>
      <xdr:rowOff>94341</xdr:rowOff>
    </xdr:to>
    <xdr:pic>
      <xdr:nvPicPr>
        <xdr:cNvPr id="4" name="图片 3">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2"/>
        <a:stretch>
          <a:fillRect/>
        </a:stretch>
      </xdr:blipFill>
      <xdr:spPr>
        <a:xfrm>
          <a:off x="0" y="7124700"/>
          <a:ext cx="10821170" cy="5666466"/>
        </a:xfrm>
        <a:prstGeom prst="rect">
          <a:avLst/>
        </a:prstGeom>
      </xdr:spPr>
    </xdr:pic>
    <xdr:clientData/>
  </xdr:twoCellAnchor>
  <xdr:twoCellAnchor editAs="oneCell">
    <xdr:from>
      <xdr:col>0</xdr:col>
      <xdr:colOff>0</xdr:colOff>
      <xdr:row>17</xdr:row>
      <xdr:rowOff>0</xdr:rowOff>
    </xdr:from>
    <xdr:to>
      <xdr:col>9</xdr:col>
      <xdr:colOff>27596</xdr:colOff>
      <xdr:row>40</xdr:row>
      <xdr:rowOff>18555</xdr:rowOff>
    </xdr:to>
    <xdr:pic>
      <xdr:nvPicPr>
        <xdr:cNvPr id="5" name="图片 4">
          <a:extLst>
            <a:ext uri="{FF2B5EF4-FFF2-40B4-BE49-F238E27FC236}">
              <a16:creationId xmlns:a16="http://schemas.microsoft.com/office/drawing/2014/main" xmlns="" id="{00000000-0008-0000-1E00-000005000000}"/>
            </a:ext>
          </a:extLst>
        </xdr:cNvPr>
        <xdr:cNvPicPr>
          <a:picLocks noChangeAspect="1"/>
        </xdr:cNvPicPr>
      </xdr:nvPicPr>
      <xdr:blipFill>
        <a:blip xmlns:r="http://schemas.openxmlformats.org/officeDocument/2006/relationships" r:embed="rId3"/>
        <a:stretch>
          <a:fillRect/>
        </a:stretch>
      </xdr:blipFill>
      <xdr:spPr>
        <a:xfrm>
          <a:off x="0" y="2924175"/>
          <a:ext cx="7838096"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13</xdr:col>
      <xdr:colOff>465553</xdr:colOff>
      <xdr:row>91</xdr:row>
      <xdr:rowOff>85115</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1"/>
        <a:stretch>
          <a:fillRect/>
        </a:stretch>
      </xdr:blipFill>
      <xdr:spPr>
        <a:xfrm>
          <a:off x="0" y="10801350"/>
          <a:ext cx="9380953" cy="4885715"/>
        </a:xfrm>
        <a:prstGeom prst="rect">
          <a:avLst/>
        </a:prstGeom>
      </xdr:spPr>
    </xdr:pic>
    <xdr:clientData/>
  </xdr:twoCellAnchor>
  <xdr:twoCellAnchor editAs="oneCell">
    <xdr:from>
      <xdr:col>0</xdr:col>
      <xdr:colOff>0</xdr:colOff>
      <xdr:row>92</xdr:row>
      <xdr:rowOff>0</xdr:rowOff>
    </xdr:from>
    <xdr:to>
      <xdr:col>14</xdr:col>
      <xdr:colOff>417848</xdr:colOff>
      <xdr:row>100</xdr:row>
      <xdr:rowOff>95067</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2"/>
        <a:stretch>
          <a:fillRect/>
        </a:stretch>
      </xdr:blipFill>
      <xdr:spPr>
        <a:xfrm>
          <a:off x="0" y="15773400"/>
          <a:ext cx="10019048" cy="1466667"/>
        </a:xfrm>
        <a:prstGeom prst="rect">
          <a:avLst/>
        </a:prstGeom>
      </xdr:spPr>
    </xdr:pic>
    <xdr:clientData/>
  </xdr:twoCellAnchor>
  <xdr:twoCellAnchor editAs="oneCell">
    <xdr:from>
      <xdr:col>0</xdr:col>
      <xdr:colOff>0</xdr:colOff>
      <xdr:row>117</xdr:row>
      <xdr:rowOff>152400</xdr:rowOff>
    </xdr:from>
    <xdr:to>
      <xdr:col>13</xdr:col>
      <xdr:colOff>103648</xdr:colOff>
      <xdr:row>134</xdr:row>
      <xdr:rowOff>18703</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3"/>
        <a:stretch>
          <a:fillRect/>
        </a:stretch>
      </xdr:blipFill>
      <xdr:spPr>
        <a:xfrm>
          <a:off x="0" y="20212050"/>
          <a:ext cx="9019048" cy="2780953"/>
        </a:xfrm>
        <a:prstGeom prst="rect">
          <a:avLst/>
        </a:prstGeom>
      </xdr:spPr>
    </xdr:pic>
    <xdr:clientData/>
  </xdr:twoCellAnchor>
  <xdr:twoCellAnchor editAs="oneCell">
    <xdr:from>
      <xdr:col>0</xdr:col>
      <xdr:colOff>0</xdr:colOff>
      <xdr:row>134</xdr:row>
      <xdr:rowOff>28575</xdr:rowOff>
    </xdr:from>
    <xdr:to>
      <xdr:col>13</xdr:col>
      <xdr:colOff>131164</xdr:colOff>
      <xdr:row>159</xdr:row>
      <xdr:rowOff>37506</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4"/>
        <a:stretch>
          <a:fillRect/>
        </a:stretch>
      </xdr:blipFill>
      <xdr:spPr>
        <a:xfrm>
          <a:off x="0" y="23002875"/>
          <a:ext cx="9046564" cy="4295181"/>
        </a:xfrm>
        <a:prstGeom prst="rect">
          <a:avLst/>
        </a:prstGeom>
      </xdr:spPr>
    </xdr:pic>
    <xdr:clientData/>
  </xdr:twoCellAnchor>
  <xdr:twoCellAnchor editAs="oneCell">
    <xdr:from>
      <xdr:col>15</xdr:col>
      <xdr:colOff>0</xdr:colOff>
      <xdr:row>1</xdr:row>
      <xdr:rowOff>66675</xdr:rowOff>
    </xdr:from>
    <xdr:to>
      <xdr:col>27</xdr:col>
      <xdr:colOff>132305</xdr:colOff>
      <xdr:row>30</xdr:row>
      <xdr:rowOff>113673</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5"/>
        <a:stretch>
          <a:fillRect/>
        </a:stretch>
      </xdr:blipFill>
      <xdr:spPr>
        <a:xfrm>
          <a:off x="10287000" y="238125"/>
          <a:ext cx="8361905" cy="5019048"/>
        </a:xfrm>
        <a:prstGeom prst="rect">
          <a:avLst/>
        </a:prstGeom>
      </xdr:spPr>
    </xdr:pic>
    <xdr:clientData/>
  </xdr:twoCellAnchor>
  <xdr:twoCellAnchor editAs="oneCell">
    <xdr:from>
      <xdr:col>15</xdr:col>
      <xdr:colOff>0</xdr:colOff>
      <xdr:row>31</xdr:row>
      <xdr:rowOff>0</xdr:rowOff>
    </xdr:from>
    <xdr:to>
      <xdr:col>27</xdr:col>
      <xdr:colOff>37067</xdr:colOff>
      <xdr:row>50</xdr:row>
      <xdr:rowOff>66260</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6"/>
        <a:stretch>
          <a:fillRect/>
        </a:stretch>
      </xdr:blipFill>
      <xdr:spPr>
        <a:xfrm>
          <a:off x="10287000" y="5314950"/>
          <a:ext cx="8266667" cy="3323810"/>
        </a:xfrm>
        <a:prstGeom prst="rect">
          <a:avLst/>
        </a:prstGeom>
      </xdr:spPr>
    </xdr:pic>
    <xdr:clientData/>
  </xdr:twoCellAnchor>
  <xdr:twoCellAnchor editAs="oneCell">
    <xdr:from>
      <xdr:col>15</xdr:col>
      <xdr:colOff>0</xdr:colOff>
      <xdr:row>53</xdr:row>
      <xdr:rowOff>0</xdr:rowOff>
    </xdr:from>
    <xdr:to>
      <xdr:col>29</xdr:col>
      <xdr:colOff>27372</xdr:colOff>
      <xdr:row>79</xdr:row>
      <xdr:rowOff>170872</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7"/>
        <a:stretch>
          <a:fillRect/>
        </a:stretch>
      </xdr:blipFill>
      <xdr:spPr>
        <a:xfrm>
          <a:off x="10287000" y="9086850"/>
          <a:ext cx="9628572" cy="4628572"/>
        </a:xfrm>
        <a:prstGeom prst="rect">
          <a:avLst/>
        </a:prstGeom>
      </xdr:spPr>
    </xdr:pic>
    <xdr:clientData/>
  </xdr:twoCellAnchor>
  <xdr:twoCellAnchor editAs="oneCell">
    <xdr:from>
      <xdr:col>15</xdr:col>
      <xdr:colOff>0</xdr:colOff>
      <xdr:row>80</xdr:row>
      <xdr:rowOff>0</xdr:rowOff>
    </xdr:from>
    <xdr:to>
      <xdr:col>28</xdr:col>
      <xdr:colOff>665553</xdr:colOff>
      <xdr:row>107</xdr:row>
      <xdr:rowOff>8946</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8"/>
        <a:stretch>
          <a:fillRect/>
        </a:stretch>
      </xdr:blipFill>
      <xdr:spPr>
        <a:xfrm>
          <a:off x="10287000" y="13716000"/>
          <a:ext cx="9580953" cy="4638096"/>
        </a:xfrm>
        <a:prstGeom prst="rect">
          <a:avLst/>
        </a:prstGeom>
      </xdr:spPr>
    </xdr:pic>
    <xdr:clientData/>
  </xdr:twoCellAnchor>
  <xdr:twoCellAnchor editAs="oneCell">
    <xdr:from>
      <xdr:col>15</xdr:col>
      <xdr:colOff>0</xdr:colOff>
      <xdr:row>108</xdr:row>
      <xdr:rowOff>0</xdr:rowOff>
    </xdr:from>
    <xdr:to>
      <xdr:col>28</xdr:col>
      <xdr:colOff>675077</xdr:colOff>
      <xdr:row>134</xdr:row>
      <xdr:rowOff>75634</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9"/>
        <a:stretch>
          <a:fillRect/>
        </a:stretch>
      </xdr:blipFill>
      <xdr:spPr>
        <a:xfrm>
          <a:off x="10287000" y="18516600"/>
          <a:ext cx="9590477" cy="4533334"/>
        </a:xfrm>
        <a:prstGeom prst="rect">
          <a:avLst/>
        </a:prstGeom>
      </xdr:spPr>
    </xdr:pic>
    <xdr:clientData/>
  </xdr:twoCellAnchor>
  <xdr:twoCellAnchor editAs="oneCell">
    <xdr:from>
      <xdr:col>0</xdr:col>
      <xdr:colOff>38100</xdr:colOff>
      <xdr:row>11</xdr:row>
      <xdr:rowOff>0</xdr:rowOff>
    </xdr:from>
    <xdr:to>
      <xdr:col>14</xdr:col>
      <xdr:colOff>6096</xdr:colOff>
      <xdr:row>39</xdr:row>
      <xdr:rowOff>19050</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10"/>
        <a:stretch>
          <a:fillRect/>
        </a:stretch>
      </xdr:blipFill>
      <xdr:spPr>
        <a:xfrm>
          <a:off x="38100" y="1885950"/>
          <a:ext cx="9569196" cy="4819650"/>
        </a:xfrm>
        <a:prstGeom prst="rect">
          <a:avLst/>
        </a:prstGeom>
      </xdr:spPr>
    </xdr:pic>
    <xdr:clientData/>
  </xdr:twoCellAnchor>
  <xdr:twoCellAnchor editAs="oneCell">
    <xdr:from>
      <xdr:col>0</xdr:col>
      <xdr:colOff>0</xdr:colOff>
      <xdr:row>1</xdr:row>
      <xdr:rowOff>0</xdr:rowOff>
    </xdr:from>
    <xdr:to>
      <xdr:col>14</xdr:col>
      <xdr:colOff>170229</xdr:colOff>
      <xdr:row>10</xdr:row>
      <xdr:rowOff>75998</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11"/>
        <a:stretch>
          <a:fillRect/>
        </a:stretch>
      </xdr:blipFill>
      <xdr:spPr>
        <a:xfrm>
          <a:off x="0" y="171450"/>
          <a:ext cx="9771429" cy="1619048"/>
        </a:xfrm>
        <a:prstGeom prst="rect">
          <a:avLst/>
        </a:prstGeom>
      </xdr:spPr>
    </xdr:pic>
    <xdr:clientData/>
  </xdr:twoCellAnchor>
  <xdr:twoCellAnchor editAs="oneCell">
    <xdr:from>
      <xdr:col>0</xdr:col>
      <xdr:colOff>0</xdr:colOff>
      <xdr:row>38</xdr:row>
      <xdr:rowOff>142875</xdr:rowOff>
    </xdr:from>
    <xdr:to>
      <xdr:col>13</xdr:col>
      <xdr:colOff>161924</xdr:colOff>
      <xdr:row>45</xdr:row>
      <xdr:rowOff>164037</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12"/>
        <a:stretch>
          <a:fillRect/>
        </a:stretch>
      </xdr:blipFill>
      <xdr:spPr>
        <a:xfrm>
          <a:off x="0" y="6657975"/>
          <a:ext cx="9077324" cy="1221312"/>
        </a:xfrm>
        <a:prstGeom prst="rect">
          <a:avLst/>
        </a:prstGeom>
      </xdr:spPr>
    </xdr:pic>
    <xdr:clientData/>
  </xdr:twoCellAnchor>
  <xdr:twoCellAnchor editAs="oneCell">
    <xdr:from>
      <xdr:col>0</xdr:col>
      <xdr:colOff>0</xdr:colOff>
      <xdr:row>45</xdr:row>
      <xdr:rowOff>95250</xdr:rowOff>
    </xdr:from>
    <xdr:to>
      <xdr:col>13</xdr:col>
      <xdr:colOff>161925</xdr:colOff>
      <xdr:row>67</xdr:row>
      <xdr:rowOff>87721</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13"/>
        <a:stretch>
          <a:fillRect/>
        </a:stretch>
      </xdr:blipFill>
      <xdr:spPr>
        <a:xfrm>
          <a:off x="0" y="7810500"/>
          <a:ext cx="9077325" cy="3764371"/>
        </a:xfrm>
        <a:prstGeom prst="rect">
          <a:avLst/>
        </a:prstGeom>
      </xdr:spPr>
    </xdr:pic>
    <xdr:clientData/>
  </xdr:twoCellAnchor>
  <xdr:twoCellAnchor editAs="oneCell">
    <xdr:from>
      <xdr:col>0</xdr:col>
      <xdr:colOff>0</xdr:colOff>
      <xdr:row>99</xdr:row>
      <xdr:rowOff>130194</xdr:rowOff>
    </xdr:from>
    <xdr:to>
      <xdr:col>11</xdr:col>
      <xdr:colOff>485775</xdr:colOff>
      <xdr:row>118</xdr:row>
      <xdr:rowOff>37586</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14"/>
        <a:stretch>
          <a:fillRect/>
        </a:stretch>
      </xdr:blipFill>
      <xdr:spPr>
        <a:xfrm>
          <a:off x="0" y="17103744"/>
          <a:ext cx="8029575" cy="3164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87&#29615;&#20445;&#31185;&#25216;&#22253;&#35780;&#20272;/&#29615;&#20445;&#31185;&#25216;&#22253;&#27979;&#31639;&#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04;&#20016;&#27979;&#31639;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704;&#20016;&#27979;&#3163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704;&#20016;&#27979;&#3163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车库"/>
      <sheetName val="收益法（汇总）"/>
      <sheetName val="土地案例"/>
      <sheetName val="比较法-办公"/>
      <sheetName val="基准地价修正"/>
      <sheetName val="收益法 (元)"/>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中指成交数据"/>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科研用房</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73">
          <cell r="A73" t="str">
            <v>交易情况</v>
          </cell>
          <cell r="C73" t="str">
            <v>正常</v>
          </cell>
        </row>
        <row r="75">
          <cell r="B75" t="str">
            <v>用途</v>
          </cell>
          <cell r="C75" t="str">
            <v>商业办公</v>
          </cell>
          <cell r="D75" t="str">
            <v>办公及科研</v>
          </cell>
          <cell r="E75" t="str">
            <v>科研</v>
          </cell>
        </row>
        <row r="106">
          <cell r="B106" t="str">
            <v>毗邻道路的类型与等级</v>
          </cell>
        </row>
        <row r="108">
          <cell r="B108" t="str">
            <v>土地级别</v>
          </cell>
          <cell r="C108" t="str">
            <v>一</v>
          </cell>
          <cell r="D108" t="str">
            <v>二</v>
          </cell>
          <cell r="E108" t="str">
            <v>三</v>
          </cell>
          <cell r="F108" t="str">
            <v>四</v>
          </cell>
          <cell r="G108" t="str">
            <v>五</v>
          </cell>
          <cell r="H108" t="str">
            <v>六</v>
          </cell>
          <cell r="I108" t="str">
            <v>七</v>
          </cell>
          <cell r="J108" t="str">
            <v>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sheetData sheetId="25"/>
      <sheetData sheetId="26">
        <row r="62">
          <cell r="A62" t="str">
            <v>交易情况</v>
          </cell>
          <cell r="C62" t="str">
            <v>正常</v>
          </cell>
        </row>
        <row r="64">
          <cell r="B64" t="str">
            <v>用途</v>
          </cell>
          <cell r="C64" t="str">
            <v>科研</v>
          </cell>
          <cell r="D64" t="str">
            <v>办公</v>
          </cell>
        </row>
        <row r="87">
          <cell r="B87" t="str">
            <v>毗邻道路的类型与等级</v>
          </cell>
          <cell r="C87" t="str">
            <v>高速路</v>
          </cell>
          <cell r="D87" t="str">
            <v>主干道</v>
          </cell>
          <cell r="E87" t="str">
            <v>次干道</v>
          </cell>
          <cell r="F87" t="str">
            <v>支路</v>
          </cell>
        </row>
        <row r="89">
          <cell r="B89" t="str">
            <v>楼层</v>
          </cell>
        </row>
        <row r="91">
          <cell r="B91" t="str">
            <v>朝向</v>
          </cell>
        </row>
        <row r="101">
          <cell r="B101" t="str">
            <v>建筑类型</v>
          </cell>
          <cell r="C101" t="str">
            <v>企业独栋</v>
          </cell>
          <cell r="D101" t="str">
            <v>标准写字楼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sheetData sheetId="28"/>
      <sheetData sheetId="29"/>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车位"/>
      <sheetName val="收益法"/>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土地案例"/>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5430.02</v>
          </cell>
          <cell r="C14">
            <v>2212.09</v>
          </cell>
          <cell r="D14">
            <v>2217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土地案例"/>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11712</v>
          </cell>
        </row>
        <row r="20">
          <cell r="G20">
            <v>28032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基准地价修正"/>
      <sheetName val="收益法"/>
      <sheetName val="土地案例"/>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27537</v>
          </cell>
        </row>
        <row r="20">
          <cell r="G20">
            <v>28040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估价对象为北京市房地产，为所有。根据《国有土地使用证》[]，估价对象（分摊）出让国有建设用地使用权面积为4000.72平方米，建筑面积为9820.56平方米。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估价对象为北京市房地产,属开发建设的办公项目，该项目尚在开发建设中。根据《国有土地使用证》[]，估价对象（分摊）出让国有建设用地使用权面积为4000.72平方米，规划建筑面积为9820.56平方米。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2020年12月1日</v>
      </c>
    </row>
    <row r="13" spans="1:2" s="1364" customFormat="1">
      <c r="A13" s="1362" t="s">
        <v>1194</v>
      </c>
      <c r="B13" s="1363" t="str">
        <f>'预评函-1'!A18</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18844</v>
      </c>
    </row>
    <row r="21" spans="1:2" s="1364" customFormat="1">
      <c r="A21" s="1362" t="s">
        <v>1202</v>
      </c>
      <c r="B21" s="1363">
        <f ca="1">'预评函-2'!D7</f>
        <v>19188</v>
      </c>
    </row>
    <row r="22" spans="1:2" s="1364" customFormat="1">
      <c r="A22" s="1362" t="s">
        <v>1203</v>
      </c>
      <c r="B22" s="1363" t="str">
        <f ca="1">'预评函-2'!D6</f>
        <v>壹亿捌仟捌佰肆拾肆万元整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18844</v>
      </c>
    </row>
    <row r="31" spans="1:2" s="1364" customFormat="1">
      <c r="A31" s="1362" t="s">
        <v>1241</v>
      </c>
      <c r="B31" s="1363">
        <f ca="1">'预评函-2'!D15</f>
        <v>19188</v>
      </c>
    </row>
    <row r="32" spans="1:2" s="1364" customFormat="1">
      <c r="A32" s="1362" t="s">
        <v>1208</v>
      </c>
      <c r="B32" s="1363" t="str">
        <f ca="1">'预评函-2'!D14</f>
        <v>壹亿捌仟捌佰肆拾肆万元整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9820.56</v>
      </c>
    </row>
    <row r="44" spans="1:2" s="1364" customFormat="1">
      <c r="A44" s="1362" t="s">
        <v>1240</v>
      </c>
      <c r="B44" s="1363" t="str">
        <f>'预评函-3'!C2</f>
        <v>(分摊)土地面积</v>
      </c>
    </row>
    <row r="45" spans="1:2" s="1364" customFormat="1">
      <c r="A45" s="1362" t="s">
        <v>1212</v>
      </c>
      <c r="B45" s="1363">
        <f>'预评函-3'!C4</f>
        <v>4000.72</v>
      </c>
    </row>
    <row r="46" spans="1:2" s="1364" customFormat="1">
      <c r="A46" s="1362" t="s">
        <v>1238</v>
      </c>
      <c r="B46" s="1363" t="str">
        <f>'预评函-3'!D2</f>
        <v>出让国有建设用地使用权价值</v>
      </c>
    </row>
    <row r="47" spans="1:2" s="1364" customFormat="1">
      <c r="A47" s="1362" t="s">
        <v>1213</v>
      </c>
      <c r="B47" s="1363">
        <f ca="1">'预评函-3'!D4</f>
        <v>11570</v>
      </c>
    </row>
    <row r="48" spans="1:2" s="1364" customFormat="1">
      <c r="A48" s="1362" t="s">
        <v>1214</v>
      </c>
      <c r="B48" s="1363">
        <f ca="1">'预评函-3'!E4</f>
        <v>11781</v>
      </c>
    </row>
    <row r="49" spans="1:2" s="1364" customFormat="1">
      <c r="A49" s="1362" t="s">
        <v>1215</v>
      </c>
      <c r="B49" s="1363" t="str">
        <f ca="1">'预评函-3'!D5</f>
        <v>壹亿壹仟伍佰柒拾万元整</v>
      </c>
    </row>
    <row r="50" spans="1:2" s="1364" customFormat="1">
      <c r="A50" s="1362" t="s">
        <v>1239</v>
      </c>
      <c r="B50" s="1363" t="str">
        <f>'预评函-3'!F2</f>
        <v>在建建筑物价值</v>
      </c>
    </row>
    <row r="51" spans="1:2" s="1364" customFormat="1">
      <c r="A51" s="1362" t="s">
        <v>1216</v>
      </c>
      <c r="B51" s="1363">
        <f ca="1">'预评函-3'!F4</f>
        <v>7274</v>
      </c>
    </row>
    <row r="52" spans="1:2" s="1364" customFormat="1">
      <c r="A52" s="1362" t="s">
        <v>1217</v>
      </c>
      <c r="B52" s="1363">
        <f ca="1">'预评函-3'!G4</f>
        <v>7407</v>
      </c>
    </row>
    <row r="53" spans="1:2" s="1364" customFormat="1">
      <c r="A53" s="1362" t="s">
        <v>1245</v>
      </c>
      <c r="B53" s="1363" t="str">
        <f ca="1">'预评函-3'!F5</f>
        <v>柒仟贰佰柒拾肆万元整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8"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40" t="s">
        <v>832</v>
      </c>
      <c r="C54" s="1737" t="s">
        <v>1248</v>
      </c>
    </row>
    <row r="55" spans="1:4">
      <c r="A55" s="3128"/>
      <c r="B55" s="1740" t="s">
        <v>833</v>
      </c>
      <c r="C55" s="1737" t="s">
        <v>1249</v>
      </c>
    </row>
    <row r="56" spans="1:4">
      <c r="A56" s="3128"/>
      <c r="B56" s="1740" t="s">
        <v>834</v>
      </c>
      <c r="C56" s="1737" t="s">
        <v>1253</v>
      </c>
    </row>
    <row r="57" spans="1:4">
      <c r="A57" s="3128"/>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4" sqref="D3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2912</v>
      </c>
      <c r="B1" s="3129" t="str">
        <f>IF(B10="北京市","北京市",C10)&amp;F10&amp;IF(结果表!G1="在建","出让国有建设用地使用权及在建建筑物",IF(结果表!G1="土地","出让国有建设用地使用权",))&amp;B9&amp;"预评估"</f>
        <v>北京市房地产抵押价值预评估</v>
      </c>
      <c r="C1" s="3130"/>
      <c r="D1" s="3130"/>
      <c r="E1" s="3130"/>
      <c r="F1" s="3130"/>
      <c r="G1" s="3130"/>
      <c r="H1" s="3130"/>
      <c r="I1" s="3131"/>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2913</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8"/>
      <c r="C3" s="2599" t="s">
        <v>2915</v>
      </c>
      <c r="D3" s="2598">
        <v>44166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2916</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2917</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2918</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2919</v>
      </c>
      <c r="B7" s="2612"/>
      <c r="C7" s="2610"/>
      <c r="D7" s="2611"/>
      <c r="E7" s="2890"/>
      <c r="F7" s="2892"/>
      <c r="G7" s="2892"/>
      <c r="H7" s="2892"/>
      <c r="I7" s="2892"/>
      <c r="J7" s="2666"/>
      <c r="K7" s="2843"/>
      <c r="L7" s="2840"/>
      <c r="M7" s="2840"/>
      <c r="N7" s="2666"/>
      <c r="O7" s="2677"/>
      <c r="P7" s="2666"/>
      <c r="Q7" s="2666"/>
      <c r="R7" s="2666"/>
    </row>
    <row r="8" spans="1:28">
      <c r="A8" s="2613" t="s">
        <v>2920</v>
      </c>
      <c r="B8" s="2614" t="s">
        <v>3059</v>
      </c>
      <c r="C8" s="2615"/>
      <c r="D8" s="3132" t="s">
        <v>2921</v>
      </c>
      <c r="E8" s="2616" t="s">
        <v>3060</v>
      </c>
      <c r="F8" s="2617"/>
      <c r="G8" s="2891"/>
      <c r="H8" s="2891"/>
      <c r="I8" s="2891"/>
      <c r="J8" s="2666"/>
      <c r="K8" s="2841"/>
      <c r="L8" s="2840"/>
      <c r="M8" s="2840"/>
      <c r="N8" s="2666"/>
      <c r="O8" s="2677"/>
      <c r="P8" s="2666"/>
      <c r="Q8" s="2666"/>
      <c r="R8" s="2666"/>
    </row>
    <row r="9" spans="1:28" ht="13.5" thickBot="1">
      <c r="A9" s="2618" t="s">
        <v>2922</v>
      </c>
      <c r="B9" s="2619" t="s">
        <v>3060</v>
      </c>
      <c r="C9" s="2620"/>
      <c r="D9" s="3133"/>
      <c r="E9" s="2619"/>
      <c r="F9" s="2621"/>
      <c r="G9" s="2893"/>
      <c r="H9" s="2893"/>
      <c r="I9" s="2893"/>
      <c r="J9" s="2666"/>
      <c r="K9" s="2843"/>
      <c r="L9" s="2840"/>
      <c r="M9" s="2840"/>
      <c r="N9" s="2666"/>
      <c r="O9" s="2677"/>
      <c r="P9" s="2666"/>
      <c r="Q9" s="2666"/>
      <c r="R9" s="2666"/>
    </row>
    <row r="10" spans="1:28" ht="13.5" thickTop="1">
      <c r="A10" s="2622" t="s">
        <v>2923</v>
      </c>
      <c r="B10" s="2623" t="s">
        <v>3061</v>
      </c>
      <c r="C10" s="2624"/>
      <c r="D10" s="2607"/>
      <c r="E10" s="2625" t="s">
        <v>2924</v>
      </c>
      <c r="F10" s="2894"/>
      <c r="G10" s="2895"/>
      <c r="H10" s="2896"/>
      <c r="I10" s="2897"/>
      <c r="J10" s="2666"/>
      <c r="K10" s="2843"/>
      <c r="L10" s="2840"/>
      <c r="M10" s="2840"/>
      <c r="N10" s="2666"/>
      <c r="O10" s="2677"/>
      <c r="P10" s="2666"/>
      <c r="Q10" s="2666"/>
      <c r="R10" s="2666"/>
    </row>
    <row r="11" spans="1:28">
      <c r="A11" s="2626" t="s">
        <v>2925</v>
      </c>
      <c r="B11" s="2627" t="s">
        <v>3062</v>
      </c>
      <c r="C11" s="2628"/>
      <c r="D11" s="2629"/>
      <c r="E11" s="2595"/>
      <c r="F11" s="2595"/>
      <c r="G11" s="2595"/>
      <c r="H11" s="2595"/>
      <c r="I11" s="2595"/>
      <c r="J11" s="2666"/>
      <c r="K11" s="2843"/>
      <c r="L11" s="2840"/>
      <c r="M11" s="2840"/>
      <c r="N11" s="2666"/>
      <c r="O11" s="2677"/>
      <c r="P11" s="2666"/>
      <c r="Q11" s="2666"/>
      <c r="R11" s="2666"/>
    </row>
    <row r="12" spans="1:28">
      <c r="A12" s="2630" t="s">
        <v>2926</v>
      </c>
      <c r="B12" s="2627" t="s">
        <v>3063</v>
      </c>
      <c r="C12" s="329" t="s">
        <v>2927</v>
      </c>
      <c r="D12" s="2631" t="s">
        <v>2928</v>
      </c>
      <c r="E12" s="2631" t="s">
        <v>2929</v>
      </c>
      <c r="F12" s="2631" t="s">
        <v>2930</v>
      </c>
      <c r="G12" s="2631" t="s">
        <v>2931</v>
      </c>
      <c r="H12" s="2631" t="s">
        <v>2932</v>
      </c>
      <c r="I12" s="2631" t="s">
        <v>2933</v>
      </c>
      <c r="J12" s="2666"/>
      <c r="K12" s="2843"/>
      <c r="L12" s="2840"/>
      <c r="M12" s="2840"/>
      <c r="N12" s="2666"/>
      <c r="O12" s="2677"/>
      <c r="P12" s="2666"/>
      <c r="Q12" s="2666"/>
      <c r="R12" s="2666"/>
    </row>
    <row r="13" spans="1:28">
      <c r="A13" s="1240"/>
      <c r="B13" s="2632"/>
      <c r="C13" s="2633" t="s">
        <v>2934</v>
      </c>
      <c r="D13" s="965"/>
      <c r="E13" s="965"/>
      <c r="F13" s="965">
        <v>59672</v>
      </c>
      <c r="G13" s="965">
        <f>F13</f>
        <v>59672</v>
      </c>
      <c r="H13" s="965"/>
      <c r="I13" s="965"/>
      <c r="J13" s="2666"/>
      <c r="K13" s="2843"/>
      <c r="L13" s="2840"/>
      <c r="M13" s="2840"/>
      <c r="N13" s="2666"/>
      <c r="O13" s="2677"/>
      <c r="P13" s="2666"/>
      <c r="Q13" s="2666"/>
      <c r="R13" s="2666"/>
    </row>
    <row r="14" spans="1:28">
      <c r="A14" s="1240"/>
      <c r="B14" s="2632"/>
      <c r="C14" s="2633" t="s">
        <v>2935</v>
      </c>
      <c r="D14" s="2634"/>
      <c r="E14" s="2634"/>
      <c r="F14" s="2634">
        <v>50</v>
      </c>
      <c r="G14" s="2634">
        <v>50</v>
      </c>
      <c r="H14" s="2634"/>
      <c r="I14" s="2634"/>
      <c r="J14" s="2666"/>
      <c r="K14" s="2844"/>
      <c r="L14" s="2840"/>
      <c r="M14" s="2840"/>
      <c r="N14" s="2666"/>
      <c r="O14" s="2677"/>
      <c r="P14" s="2666"/>
      <c r="Q14" s="2666"/>
      <c r="R14" s="2666"/>
    </row>
    <row r="15" spans="1:28">
      <c r="A15" s="326"/>
      <c r="B15" s="2635"/>
      <c r="C15" s="2636" t="s">
        <v>2936</v>
      </c>
      <c r="D15" s="2637" t="str">
        <f>IF(B12="出让",IF(D13="","",ROUNDDOWN(MIN((D13-$D$3)/365,D14),2)),D14)</f>
        <v/>
      </c>
      <c r="E15" s="2637" t="str">
        <f>IF(B12="出让",IF(E13="","",ROUNDDOWN(MIN((E13-$D$3)/365,E14),2)),E14)</f>
        <v/>
      </c>
      <c r="F15" s="2637">
        <f>IF(B12="出让",IF(F13="","",ROUNDDOWN(MIN((F13-$D$3)/365,F14),2)),F14)</f>
        <v>42.48</v>
      </c>
      <c r="G15" s="2637">
        <f>IF(B12="出让",IF(G13="","",ROUNDDOWN(MIN((G13-$D$3)/365,G14),2)),G14)</f>
        <v>42.48</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2937</v>
      </c>
      <c r="B16" s="3139"/>
      <c r="C16" s="3140"/>
      <c r="D16" s="3141"/>
      <c r="E16" s="2640" t="s">
        <v>2938</v>
      </c>
      <c r="F16" s="3142"/>
      <c r="G16" s="3143"/>
      <c r="H16" s="3143"/>
      <c r="I16" s="3144"/>
      <c r="J16" s="2666"/>
      <c r="K16" s="2845"/>
      <c r="L16" s="2678"/>
      <c r="M16" s="2678"/>
      <c r="N16" s="2736"/>
      <c r="O16" s="2678"/>
      <c r="P16" s="2736"/>
      <c r="Q16" s="2666"/>
      <c r="R16" s="2666"/>
    </row>
    <row r="17" spans="1:28">
      <c r="A17" s="319" t="s">
        <v>2939</v>
      </c>
      <c r="B17" s="308" t="s">
        <v>2940</v>
      </c>
      <c r="C17" s="11">
        <f>'数据-汇总表'!E3</f>
        <v>9820.56</v>
      </c>
      <c r="D17" s="2546" t="s">
        <v>2941</v>
      </c>
      <c r="E17" s="3145" t="s">
        <v>2942</v>
      </c>
      <c r="F17" s="3146"/>
      <c r="G17" s="3146"/>
      <c r="H17" s="3146"/>
      <c r="I17" s="3147"/>
      <c r="J17" s="2666"/>
      <c r="K17" s="2846"/>
      <c r="L17" s="2678"/>
      <c r="M17" s="2678"/>
      <c r="N17" s="2736"/>
      <c r="O17" s="2678"/>
      <c r="P17" s="2736"/>
      <c r="Q17" s="2666"/>
      <c r="R17" s="2666"/>
      <c r="S17" s="2666"/>
      <c r="T17" s="2666"/>
      <c r="U17" s="2666"/>
      <c r="V17" s="2666"/>
    </row>
    <row r="18" spans="1:28" ht="24.75" thickBot="1">
      <c r="A18" s="2641" t="s">
        <v>2943</v>
      </c>
      <c r="B18" s="1249" t="s">
        <v>2944</v>
      </c>
      <c r="C18" s="2642">
        <f>'数据-汇总表'!D3</f>
        <v>4000.72</v>
      </c>
      <c r="D18" s="1251" t="s">
        <v>2945</v>
      </c>
      <c r="E18" s="3148" t="s">
        <v>2946</v>
      </c>
      <c r="F18" s="3149"/>
      <c r="G18" s="3149"/>
      <c r="H18" s="3149"/>
      <c r="I18" s="3150"/>
      <c r="J18" s="2666"/>
      <c r="K18" s="2846"/>
      <c r="L18" s="2678"/>
      <c r="M18" s="2678"/>
      <c r="N18" s="2736"/>
      <c r="O18" s="2678"/>
      <c r="P18" s="2736"/>
      <c r="Q18" s="2666"/>
      <c r="R18" s="2666"/>
      <c r="S18" s="2666"/>
      <c r="T18" s="2666"/>
      <c r="U18" s="2666"/>
      <c r="V18" s="2666"/>
    </row>
    <row r="19" spans="1:28" ht="37.5" thickTop="1" thickBot="1">
      <c r="A19" s="333" t="s">
        <v>1741</v>
      </c>
      <c r="B19" s="313" t="s">
        <v>2947</v>
      </c>
      <c r="C19" s="1749"/>
      <c r="D19" s="1750" t="s">
        <v>2948</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2949</v>
      </c>
      <c r="B20" s="3135" t="s">
        <v>2950</v>
      </c>
      <c r="C20" s="3136"/>
      <c r="D20" s="3137" t="s">
        <v>2951</v>
      </c>
      <c r="E20" s="3138"/>
      <c r="F20" s="2875" t="s">
        <v>1742</v>
      </c>
      <c r="G20" s="2892"/>
      <c r="H20" s="2892"/>
      <c r="I20" s="2892"/>
      <c r="J20" s="2666"/>
      <c r="K20" s="3134"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2953</v>
      </c>
      <c r="C21" s="2862" t="s">
        <v>1743</v>
      </c>
      <c r="D21" s="1754" t="s">
        <v>2954</v>
      </c>
      <c r="E21" s="2863" t="s">
        <v>1743</v>
      </c>
      <c r="F21" s="2876"/>
      <c r="G21" s="2892"/>
      <c r="H21" s="2892"/>
      <c r="I21" s="2892"/>
      <c r="J21" s="2666"/>
      <c r="K21" s="313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2955</v>
      </c>
      <c r="C22" s="2862" t="s">
        <v>1744</v>
      </c>
      <c r="D22" s="2891"/>
      <c r="E22" s="2891"/>
      <c r="F22" s="2891"/>
      <c r="G22" s="2892"/>
      <c r="H22" s="2892"/>
      <c r="I22" s="2892"/>
      <c r="J22" s="2666"/>
      <c r="K22" s="313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2956</v>
      </c>
      <c r="B23" s="2729" t="s">
        <v>2957</v>
      </c>
      <c r="C23" s="2866"/>
      <c r="D23" s="2867" t="s">
        <v>2957</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2" t="s">
        <v>2958</v>
      </c>
      <c r="B27" s="326" t="s">
        <v>2959</v>
      </c>
      <c r="C27" s="2643" t="s">
        <v>3067</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2"/>
      <c r="B28" s="308" t="s">
        <v>2960</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2"/>
      <c r="B29" s="308" t="s">
        <v>2961</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53"/>
      <c r="B30" s="308" t="s">
        <v>2962</v>
      </c>
      <c r="C30" s="3154"/>
      <c r="D30" s="3155"/>
      <c r="E30" s="2892"/>
      <c r="F30" s="2892"/>
      <c r="G30" s="2892"/>
      <c r="H30" s="2892"/>
      <c r="I30" s="2892"/>
      <c r="J30" s="2666"/>
      <c r="K30" s="2843"/>
      <c r="L30" s="2840"/>
      <c r="M30" s="2840"/>
      <c r="N30" s="2666"/>
      <c r="O30" s="2677"/>
      <c r="P30" s="2666"/>
      <c r="Q30" s="2666"/>
      <c r="R30" s="2666"/>
      <c r="S30" s="2666"/>
      <c r="T30" s="2666"/>
      <c r="U30" s="2666"/>
      <c r="V30" s="2666"/>
    </row>
    <row r="31" spans="1:28">
      <c r="A31" s="3156" t="s">
        <v>2963</v>
      </c>
      <c r="B31" s="2649" t="s">
        <v>3068</v>
      </c>
      <c r="C31" s="2547" t="str">
        <f>IF(B31="现房","成新及维护状况正常否",IF(B31="在建","工程状态是否正常",IF(B31="土地","是否闲置","-")))</f>
        <v>成新及维护状况正常否</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57"/>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57"/>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2964</v>
      </c>
      <c r="B34" s="2215"/>
      <c r="C34" s="2215"/>
      <c r="D34" s="2215"/>
      <c r="E34" s="2215"/>
      <c r="F34" s="2215"/>
      <c r="G34" s="2215"/>
      <c r="H34" s="2215"/>
      <c r="I34" s="2892"/>
      <c r="J34" s="2666"/>
      <c r="K34" s="2654">
        <f>COUNTIF(B34:H34,"——")</f>
        <v>0</v>
      </c>
      <c r="L34" s="329" t="s">
        <v>2965</v>
      </c>
      <c r="M34" s="329" t="s">
        <v>2966</v>
      </c>
      <c r="N34" s="329" t="s">
        <v>2967</v>
      </c>
      <c r="O34" s="329" t="s">
        <v>2968</v>
      </c>
      <c r="P34" s="329" t="s">
        <v>2969</v>
      </c>
      <c r="Q34" s="329" t="s">
        <v>2970</v>
      </c>
      <c r="R34" s="329" t="s">
        <v>2971</v>
      </c>
      <c r="S34" s="3151" t="s">
        <v>2972</v>
      </c>
      <c r="T34" s="2655" t="str">
        <f>NUMBERSTRING(7-K34,1)&amp;"通"</f>
        <v>七通</v>
      </c>
      <c r="U34" s="2666"/>
      <c r="V34" s="2666"/>
    </row>
    <row r="35" spans="1:30">
      <c r="A35" s="2656"/>
      <c r="B35" s="3158" t="s">
        <v>2973</v>
      </c>
      <c r="C35" s="3158"/>
      <c r="D35" s="3158"/>
      <c r="E35" s="3158"/>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1"/>
      <c r="T35" s="335" t="str">
        <f>IF(T34="一通",L35,IF(T34="二通",M35,IF(T34="三通",N35,IF(T34="四通",O35,IF(T34="五通",P35,IF(T34="六通",Q35,R35))))))</f>
        <v>、、、、、、</v>
      </c>
      <c r="U35" s="2666"/>
      <c r="V35" s="2666"/>
    </row>
    <row r="36" spans="1:30">
      <c r="A36" s="2657"/>
      <c r="B36" s="673" t="s">
        <v>2929</v>
      </c>
      <c r="C36" s="673" t="s">
        <v>2930</v>
      </c>
      <c r="D36" s="673" t="s">
        <v>2928</v>
      </c>
      <c r="E36" s="673" t="s">
        <v>2933</v>
      </c>
      <c r="F36" s="2898"/>
      <c r="G36" s="2892"/>
      <c r="H36" s="2892"/>
      <c r="I36" s="2892"/>
      <c r="J36" s="2666"/>
      <c r="K36" s="2843"/>
      <c r="L36" s="2840"/>
      <c r="M36" s="2840"/>
      <c r="N36" s="2666"/>
      <c r="O36" s="2677"/>
      <c r="P36" s="2666"/>
      <c r="Q36" s="2666"/>
      <c r="R36" s="2666"/>
      <c r="S36" s="2666"/>
      <c r="T36" s="2666"/>
      <c r="U36" s="2666"/>
      <c r="V36" s="2666"/>
    </row>
    <row r="37" spans="1:30">
      <c r="A37" s="2858" t="s">
        <v>2974</v>
      </c>
      <c r="B37" s="2658"/>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2975</v>
      </c>
      <c r="B38" s="2659"/>
      <c r="C38" s="2659" t="s">
        <v>194</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2976</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2977</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2978</v>
      </c>
      <c r="B42" s="11" t="s">
        <v>2979</v>
      </c>
      <c r="C42" s="11" t="s">
        <v>2980</v>
      </c>
      <c r="D42" s="11" t="s">
        <v>2981</v>
      </c>
      <c r="E42" s="11" t="s">
        <v>2982</v>
      </c>
      <c r="F42" s="11" t="s">
        <v>2983</v>
      </c>
      <c r="G42" s="11" t="s">
        <v>2984</v>
      </c>
      <c r="H42" s="11" t="s">
        <v>2985</v>
      </c>
      <c r="I42" s="11" t="s">
        <v>2986</v>
      </c>
      <c r="J42" s="2854" t="s">
        <v>2987</v>
      </c>
      <c r="K42" s="2855" t="s">
        <v>2988</v>
      </c>
      <c r="L42" s="2855" t="s">
        <v>2989</v>
      </c>
      <c r="M42" s="2855" t="s">
        <v>2990</v>
      </c>
      <c r="N42" s="2848" t="s">
        <v>2991</v>
      </c>
      <c r="O42" s="2848" t="s">
        <v>2992</v>
      </c>
      <c r="P42" s="2848" t="s">
        <v>2993</v>
      </c>
      <c r="Q42" s="2849" t="s">
        <v>2994</v>
      </c>
      <c r="R42" s="2849" t="s">
        <v>2995</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面积指标!N8</f>
        <v>4000.72</v>
      </c>
      <c r="B3" s="14">
        <f>IF(C3="否",G5-AT5,G5)</f>
        <v>9820.56</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9820.56</v>
      </c>
      <c r="H5" s="16">
        <f t="shared" ref="H5:AT5" si="0">SUM(H13:H656)</f>
        <v>9820.56</v>
      </c>
      <c r="I5" s="16">
        <f t="shared" si="0"/>
        <v>8033.74</v>
      </c>
      <c r="J5" s="16">
        <f t="shared" si="0"/>
        <v>0</v>
      </c>
      <c r="K5" s="16">
        <f t="shared" si="0"/>
        <v>1786.82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9820.56</v>
      </c>
      <c r="BA5" s="18">
        <f t="shared" si="1"/>
        <v>9820.56</v>
      </c>
      <c r="BB5" s="18">
        <f t="shared" si="1"/>
        <v>8033.74</v>
      </c>
      <c r="BC5" s="18">
        <f t="shared" si="1"/>
        <v>1786.82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4000.7200000000003</v>
      </c>
      <c r="F6" s="16" t="s">
        <v>1</v>
      </c>
      <c r="G6" s="16" t="s">
        <v>2</v>
      </c>
      <c r="H6" s="20">
        <f>SUMIF(I$12:AB$12,"总值",I6:AB6)</f>
        <v>4000.7200000000003</v>
      </c>
      <c r="I6" s="16">
        <f t="shared" ref="I6:AB6" si="2">ROUND($A$3*I5/$B$3,2)</f>
        <v>3272.8</v>
      </c>
      <c r="J6" s="16">
        <f t="shared" si="2"/>
        <v>0</v>
      </c>
      <c r="K6" s="16">
        <f t="shared" si="2"/>
        <v>727.92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4000.72</v>
      </c>
      <c r="AZ6" s="16" t="s">
        <v>3</v>
      </c>
      <c r="BA6" s="16">
        <f>ROUND($AY$6*BA5/$AZ$5,2)</f>
        <v>4000.72</v>
      </c>
      <c r="BB6" s="16">
        <f>ROUND($AY$6*BB5/$AZ$5,2)</f>
        <v>3272.8</v>
      </c>
      <c r="BC6" s="16">
        <f t="shared" ref="BC6:BH6" si="4">ROUND($AY$6*BC5/$AZ$5,2)</f>
        <v>727.92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3065</v>
      </c>
      <c r="J9" s="918"/>
      <c r="K9" s="1789" t="s">
        <v>3066</v>
      </c>
      <c r="L9" s="918"/>
      <c r="M9" s="1789"/>
      <c r="N9" s="918"/>
      <c r="O9" s="1789"/>
      <c r="P9" s="918"/>
      <c r="Q9" s="1789"/>
      <c r="R9" s="918"/>
      <c r="S9" s="1789"/>
      <c r="T9" s="918"/>
      <c r="U9" s="1789"/>
      <c r="V9" s="918"/>
      <c r="W9" s="1789"/>
      <c r="X9" s="1790"/>
      <c r="Y9" s="1789"/>
      <c r="Z9" s="918"/>
      <c r="AA9" s="1789"/>
      <c r="AB9" s="918"/>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8"/>
      <c r="K10" s="1795" t="s">
        <v>27</v>
      </c>
      <c r="L10" s="918"/>
      <c r="M10" s="1795"/>
      <c r="N10" s="918"/>
      <c r="O10" s="1795"/>
      <c r="P10" s="918"/>
      <c r="Q10" s="1795"/>
      <c r="R10" s="918"/>
      <c r="S10" s="1795"/>
      <c r="T10" s="918"/>
      <c r="U10" s="1795"/>
      <c r="V10" s="918"/>
      <c r="W10" s="1795"/>
      <c r="X10" s="918"/>
      <c r="Y10" s="1795"/>
      <c r="Z10" s="918"/>
      <c r="AA10" s="1795"/>
      <c r="AB10" s="918"/>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办公</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t="s">
        <v>3254</v>
      </c>
      <c r="D13" s="1811" t="s">
        <v>3064</v>
      </c>
      <c r="E13" s="16">
        <f>IF($C$3="是",ROUND($A$3*G13/$B$3,2),ROUND($A$3*(G13-AT13)/$B$3,2))</f>
        <v>4000.72</v>
      </c>
      <c r="F13" s="32"/>
      <c r="G13" s="33">
        <f>H13+AC13+AT13</f>
        <v>9820.56</v>
      </c>
      <c r="H13" s="20">
        <f>SUMIF(I$12:AB$12,"总值",I13:AB13)</f>
        <v>9820.56</v>
      </c>
      <c r="I13" s="1812">
        <f>面积指标!B4-面积指标!M4</f>
        <v>8033.74</v>
      </c>
      <c r="J13" s="1812"/>
      <c r="K13" s="1812">
        <f>面积指标!M4</f>
        <v>1786.82</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3号楼</v>
      </c>
      <c r="AY13" s="1534">
        <f>ROUND($AY$6*AZ13/$AZ$5,2)</f>
        <v>4000.72</v>
      </c>
      <c r="AZ13" s="16">
        <f>BA13+BL13</f>
        <v>9820.56</v>
      </c>
      <c r="BA13" s="16">
        <f>SUM(BB13:BK13)</f>
        <v>9820.56</v>
      </c>
      <c r="BB13" s="16">
        <f>IF($D13="是",I13-J13,0)</f>
        <v>8033.74</v>
      </c>
      <c r="BC13" s="16">
        <f>IF($D13="是",K13-L13,0)</f>
        <v>1786.82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42" sqref="E42"/>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70" t="s">
        <v>1817</v>
      </c>
      <c r="B2" s="3170"/>
      <c r="C2" s="3170"/>
      <c r="D2" s="904" t="s">
        <v>1793</v>
      </c>
      <c r="E2" s="1825" t="s">
        <v>1794</v>
      </c>
      <c r="F2" s="2887"/>
      <c r="G2" s="2878"/>
      <c r="H2" s="2879"/>
      <c r="I2" s="2549" t="s">
        <v>1818</v>
      </c>
      <c r="J2" s="2887"/>
      <c r="K2" s="2887"/>
      <c r="L2" s="2887"/>
      <c r="M2" s="2887"/>
      <c r="N2" s="2889"/>
      <c r="O2" s="2887"/>
      <c r="P2" s="2887"/>
    </row>
    <row r="3" spans="1:16" ht="15.75" thickBot="1">
      <c r="A3" s="3171" t="s">
        <v>1791</v>
      </c>
      <c r="B3" s="3171"/>
      <c r="C3" s="3171"/>
      <c r="D3" s="46">
        <f>'数据-基础表'!AY6</f>
        <v>4000.72</v>
      </c>
      <c r="E3" s="46">
        <f>'数据-基础表'!AZ5</f>
        <v>9820.56</v>
      </c>
      <c r="F3" s="2887"/>
      <c r="G3" s="1306"/>
      <c r="H3" s="1156" t="s">
        <v>1792</v>
      </c>
      <c r="I3" s="964">
        <f>ROUND('数据-基础表'!B3/'数据-基础表'!A3,2)</f>
        <v>2.4500000000000002</v>
      </c>
      <c r="J3" s="2887"/>
      <c r="K3" s="2887"/>
      <c r="L3" s="2887"/>
      <c r="M3" s="2887"/>
      <c r="N3" s="2889"/>
      <c r="O3" s="2887"/>
      <c r="P3" s="2887"/>
    </row>
    <row r="4" spans="1:16" ht="15">
      <c r="A4" s="3172"/>
      <c r="B4" s="3173"/>
      <c r="C4" s="3174"/>
      <c r="D4" s="1827" t="s">
        <v>1793</v>
      </c>
      <c r="E4" s="1828" t="s">
        <v>1794</v>
      </c>
      <c r="F4" s="2887"/>
      <c r="G4" s="2880" t="s">
        <v>1819</v>
      </c>
      <c r="H4" s="1156" t="s">
        <v>1799</v>
      </c>
      <c r="I4" s="964">
        <f>ROUND(SUMIF('数据-基础表'!I9:AS9,"地上",'数据-基础表'!I5:AS5)/'数据-基础表'!A3,2)</f>
        <v>2.0099999999999998</v>
      </c>
      <c r="J4" s="2887"/>
      <c r="K4" s="2887"/>
      <c r="L4" s="2887"/>
      <c r="M4" s="2887"/>
      <c r="N4" s="2889"/>
      <c r="O4" s="2887"/>
      <c r="P4" s="2887"/>
    </row>
    <row r="5" spans="1:16">
      <c r="A5" s="47" t="s">
        <v>1795</v>
      </c>
      <c r="B5" s="3175" t="s">
        <v>1796</v>
      </c>
      <c r="C5" s="3175"/>
      <c r="D5" s="48">
        <f>ROUND($D$3*E5/$E$3,2)</f>
        <v>0</v>
      </c>
      <c r="E5" s="49">
        <f>SUMIF('数据-基础表'!$11:$11,"住宅",'数据-基础表'!$5:$5)</f>
        <v>0</v>
      </c>
      <c r="F5" s="2887"/>
      <c r="G5" s="1306"/>
      <c r="H5" s="1156" t="s">
        <v>1792</v>
      </c>
      <c r="I5" s="964">
        <f>ROUND(E31/D31,2)</f>
        <v>2.4500000000000002</v>
      </c>
      <c r="J5" s="2887"/>
      <c r="K5" s="2887"/>
      <c r="L5" s="2887"/>
      <c r="M5" s="2887"/>
      <c r="N5" s="2887"/>
      <c r="O5" s="2887"/>
      <c r="P5" s="2887"/>
    </row>
    <row r="6" spans="1:16" ht="15" thickBot="1">
      <c r="A6" s="1830"/>
      <c r="B6" s="3175" t="s">
        <v>1797</v>
      </c>
      <c r="C6" s="3175"/>
      <c r="D6" s="48">
        <f>ROUND($D$3*E6/$E$3,2)</f>
        <v>4000.72</v>
      </c>
      <c r="E6" s="49">
        <f>E3-E5</f>
        <v>9820.56</v>
      </c>
      <c r="F6" s="2887"/>
      <c r="G6" s="2881" t="s">
        <v>1798</v>
      </c>
      <c r="H6" s="1307" t="s">
        <v>1799</v>
      </c>
      <c r="I6" s="2882">
        <f>ROUND(F31/D31,2)</f>
        <v>2.0099999999999998</v>
      </c>
      <c r="J6" s="2887"/>
      <c r="K6" s="2887"/>
      <c r="L6" s="2887"/>
      <c r="M6" s="2887"/>
      <c r="N6" s="2887"/>
      <c r="O6" s="2887"/>
      <c r="P6" s="2887"/>
    </row>
    <row r="7" spans="1:16" ht="15.75" thickBot="1">
      <c r="A7" s="3167"/>
      <c r="B7" s="3168"/>
      <c r="C7" s="3169"/>
      <c r="D7" s="1827" t="s">
        <v>1793</v>
      </c>
      <c r="E7" s="1831" t="s">
        <v>1800</v>
      </c>
      <c r="F7" s="2887"/>
      <c r="G7" s="2883" t="s">
        <v>1801</v>
      </c>
      <c r="H7" s="2884"/>
      <c r="I7" s="2885">
        <v>1.45</v>
      </c>
      <c r="J7" s="2887"/>
      <c r="K7" s="2887"/>
      <c r="L7" s="2887"/>
      <c r="M7" s="2887"/>
      <c r="N7" s="2887"/>
      <c r="O7" s="2887"/>
      <c r="P7" s="2887"/>
    </row>
    <row r="8" spans="1:16">
      <c r="A8" s="47" t="s">
        <v>1802</v>
      </c>
      <c r="B8" s="50" t="s">
        <v>1803</v>
      </c>
      <c r="C8" s="48" t="s">
        <v>1804</v>
      </c>
      <c r="D8" s="48">
        <f t="shared" ref="D8:D15" si="0">ROUND($D$3*E8/$E$3,2)</f>
        <v>3272.8</v>
      </c>
      <c r="E8" s="51">
        <f>SUMIF('数据-基础表'!BB10:BK10,"地上",'数据-基础表'!BB5:BK5)</f>
        <v>8033.74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727.92</v>
      </c>
      <c r="E11" s="51">
        <f>SUMPRODUCT(('数据-基础表'!BB10:BK10="地下")*('数据-基础表'!BB11:BK11="办公")*('数据-基础表'!BB5:BK5))+'数据-基础表'!BP5</f>
        <v>1786.82</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4000.7200000000003</v>
      </c>
      <c r="E16" s="53">
        <f>SUM(E8:E15)</f>
        <v>9820.56</v>
      </c>
      <c r="F16" s="2887"/>
      <c r="G16" s="2888"/>
      <c r="H16" s="1834" t="s">
        <v>1821</v>
      </c>
      <c r="I16" s="1835"/>
      <c r="J16" s="1300"/>
      <c r="K16" s="3164" t="s">
        <v>1821</v>
      </c>
      <c r="L16" s="3165"/>
      <c r="M16" s="3165"/>
      <c r="N16" s="3165"/>
      <c r="O16" s="3165"/>
      <c r="P16" s="3166"/>
    </row>
    <row r="17" spans="1:19" ht="15">
      <c r="A17" s="1836" t="s">
        <v>1822</v>
      </c>
      <c r="B17" s="1837" t="s">
        <v>1823</v>
      </c>
      <c r="C17" s="1838" t="s">
        <v>1824</v>
      </c>
      <c r="D17" s="1839" t="s">
        <v>1812</v>
      </c>
      <c r="E17" s="1840" t="s">
        <v>1813</v>
      </c>
      <c r="F17" s="1841"/>
      <c r="G17" s="1842"/>
      <c r="H17" s="1843" t="s">
        <v>1825</v>
      </c>
      <c r="I17" s="1844" t="s">
        <v>1810</v>
      </c>
      <c r="J17" s="1300"/>
      <c r="K17" s="3161" t="s">
        <v>1826</v>
      </c>
      <c r="L17" s="3162"/>
      <c r="M17" s="3163"/>
      <c r="N17" s="3161" t="s">
        <v>1827</v>
      </c>
      <c r="O17" s="3162"/>
      <c r="P17" s="3163"/>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4" t="s">
        <v>1836</v>
      </c>
      <c r="N18" s="1171" t="s">
        <v>1834</v>
      </c>
      <c r="O18" s="1852" t="s">
        <v>1835</v>
      </c>
      <c r="P18" s="964" t="s">
        <v>1836</v>
      </c>
      <c r="R18" s="1156" t="s">
        <v>1837</v>
      </c>
      <c r="S18" s="1156" t="s">
        <v>1838</v>
      </c>
    </row>
    <row r="19" spans="1:19">
      <c r="A19" s="1853"/>
      <c r="B19" s="50" t="s">
        <v>1811</v>
      </c>
      <c r="C19" s="3044" t="s">
        <v>3069</v>
      </c>
      <c r="D19" s="48">
        <f>ROUND($D$3*E19/$E$3,2)</f>
        <v>4000.72</v>
      </c>
      <c r="E19" s="56">
        <f t="shared" ref="E19:E26" si="1">SUM(F19:G19)</f>
        <v>9820.56</v>
      </c>
      <c r="F19" s="3027">
        <f>'数据-基础表'!I5</f>
        <v>8033.74</v>
      </c>
      <c r="G19" s="3028">
        <f>'数据-基础表'!K5</f>
        <v>1786.82</v>
      </c>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4000.72</v>
      </c>
      <c r="S19" s="1157">
        <f t="shared" si="5"/>
        <v>9820.56</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7"/>
      <c r="G21" s="3028"/>
      <c r="H21" s="679">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9"/>
      <c r="G22" s="3030"/>
      <c r="H22" s="679">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9"/>
      <c r="G23" s="3030"/>
      <c r="H23" s="679">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9"/>
      <c r="G24" s="3030"/>
      <c r="H24" s="679">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4000.72</v>
      </c>
      <c r="E27" s="1302">
        <f>IF(SUM(E19:E26)='数据-基础表'!BA5,SUM(E19:E26),IF(F27="地上面积有误","面积有误","地下面积有误"))</f>
        <v>9820.56</v>
      </c>
      <c r="F27" s="1301">
        <f>IF(SUM(F19:F26)=E8,SUM(F19:F26),"地上面积有误")</f>
        <v>8033.74</v>
      </c>
      <c r="G27" s="1303">
        <f>SUM(G19:G26)</f>
        <v>1786.82</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4000.72</v>
      </c>
      <c r="S27" s="1156">
        <f>IF(SUM(S19:S26)=$E$3,SUM(S19:S26),SUM(S19:S26)&amp;"误差"&amp;ROUND(SUM(S19:S26)-E3,2))</f>
        <v>9820.56</v>
      </c>
    </row>
    <row r="28" spans="1:19">
      <c r="A28" s="1857"/>
      <c r="B28" s="50" t="s">
        <v>1841</v>
      </c>
      <c r="C28" s="1168"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4" t="s">
        <v>1844</v>
      </c>
      <c r="D31" s="685">
        <f>D27+D30</f>
        <v>4000.72</v>
      </c>
      <c r="E31" s="685">
        <f>E27+E30</f>
        <v>9820.56</v>
      </c>
      <c r="F31" s="686">
        <f>F27+F30</f>
        <v>8033.74</v>
      </c>
      <c r="G31" s="687">
        <f>G27+G30</f>
        <v>1786.82</v>
      </c>
      <c r="H31" s="2887"/>
      <c r="I31" s="2887"/>
      <c r="J31" s="2887"/>
      <c r="K31" s="2887"/>
      <c r="L31" s="2887"/>
      <c r="M31" s="2887"/>
      <c r="N31" s="2887"/>
      <c r="O31" s="2887"/>
      <c r="P31" s="2887"/>
    </row>
    <row r="32" spans="1:19">
      <c r="A32" s="1829"/>
      <c r="B32" s="1829" t="s">
        <v>1845</v>
      </c>
      <c r="C32" s="1829"/>
      <c r="D32" s="1829"/>
      <c r="E32" s="1183">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AC24" sqref="AC24"/>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3" width="6.75" style="1869" customWidth="1"/>
    <col min="24" max="24" width="7.625" style="1869" customWidth="1"/>
    <col min="25"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5">
        <f>项目基本情况!D3</f>
        <v>44166</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3070</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59672</v>
      </c>
      <c r="F6" s="68">
        <f>SUMIF(项目基本情况!D$12:I$12,C6,项目基本情况!D$15:I$15)</f>
        <v>42.48</v>
      </c>
      <c r="G6" s="69">
        <f>IF(ISERROR(ROUND(POWER(1+H6,D6-F6)*(POWER(1+H6,F6)-1)/(POWER(1+H6,D6)-1),3)),0,ROUND(POWER(1+H6,D6-F6)*(POWER(1+H6,F6)-1)/(POWER(1+H6,D6)-1),3))</f>
        <v>0.95799999999999996</v>
      </c>
      <c r="H6" s="741">
        <v>0.05</v>
      </c>
      <c r="I6" s="741">
        <v>5.5E-2</v>
      </c>
      <c r="J6" s="70">
        <v>0.08</v>
      </c>
      <c r="K6" s="1160">
        <f>SUMIF('数据-汇总表'!C$19:C$33,A6,'数据-汇总表'!E$19:E$33)</f>
        <v>9820.56</v>
      </c>
      <c r="L6" s="742">
        <v>2500</v>
      </c>
      <c r="M6" s="71">
        <f t="shared" ref="M6:M14" si="0">ROUND(K6*L6/10000,0)</f>
        <v>2455</v>
      </c>
      <c r="N6" s="740">
        <f>ROUND(1-(2020-2016)/60,2)</f>
        <v>0.93</v>
      </c>
      <c r="O6" s="71" t="str">
        <f>IF($N$5="成新度","——",ROUND(M6*N6,0))</f>
        <v>——</v>
      </c>
      <c r="P6" s="72" t="str">
        <f>IF($N$5="成新度","——",M6-O6)</f>
        <v>——</v>
      </c>
      <c r="Q6" s="743">
        <v>0.2</v>
      </c>
      <c r="R6" s="73">
        <f ca="1">SUMIF('数据-汇总表'!C$19:C$33,A6,'数据-汇总表'!R$19:R$27)</f>
        <v>4000.72</v>
      </c>
      <c r="S6" s="54">
        <f>IF('数据-汇总表'!$I$17="按面积比例",SUMIF('数据-汇总表'!C$19:C$33,A6,'数据-汇总表'!K$19:K$33),SUMIF('数据-汇总表'!C$19:C$33,A6,'数据-汇总表'!N$19:N$33))</f>
        <v>0</v>
      </c>
      <c r="T6" s="1333">
        <f>ROUND($L$14*S6/10000,0)</f>
        <v>0</v>
      </c>
      <c r="U6" s="74">
        <f>W20</f>
        <v>2.9</v>
      </c>
      <c r="V6" s="75">
        <v>0.02</v>
      </c>
      <c r="W6" s="75">
        <v>0.1</v>
      </c>
      <c r="X6" s="1170"/>
      <c r="Y6" s="76">
        <f>N6</f>
        <v>0.93</v>
      </c>
      <c r="Z6" s="77"/>
      <c r="AA6" s="70"/>
      <c r="AB6" s="70"/>
      <c r="AC6" s="1170"/>
      <c r="AD6" s="78"/>
      <c r="AE6" s="1171">
        <f ca="1">IF(AN6="",0,SUMIF(INDIRECT("'"&amp;AN6&amp;"'"&amp;"!E:E"),$AE$5,INDIRECT("'"&amp;AN6&amp;"'"&amp;"!F:F")))</f>
        <v>42.48</v>
      </c>
      <c r="AF6" s="1533"/>
      <c r="AG6" s="143">
        <f>IF(AF6="",0,AE6-AF6)</f>
        <v>0</v>
      </c>
      <c r="AH6" s="79"/>
      <c r="AI6" s="81">
        <v>365</v>
      </c>
      <c r="AJ6" s="82"/>
      <c r="AK6" s="83">
        <v>0.01</v>
      </c>
      <c r="AL6" s="84">
        <v>1.5E-3</v>
      </c>
      <c r="AM6" s="85">
        <v>0.01</v>
      </c>
      <c r="AN6" s="1902" t="s">
        <v>3071</v>
      </c>
      <c r="AO6" s="55">
        <f ca="1">SUMIF(INDIRECT("'"&amp;AN6&amp;"'"&amp;"!A:A"),"总价",INDIRECT("'"&amp;AN6&amp;"'"&amp;"!B:B"))</f>
        <v>15885</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2"/>
      <c r="AJ14" s="713"/>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2"/>
      <c r="AJ15" s="713"/>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0.95799999999999996</v>
      </c>
      <c r="H16" s="95">
        <f>ROUND(SUMPRODUCT(H6:H13,K6:K13)/SUMPRODUCT((H6:H13&gt;0)*(K6:K13)),3)</f>
        <v>0.05</v>
      </c>
      <c r="I16" s="96"/>
      <c r="J16" s="96"/>
      <c r="K16" s="97">
        <f>SUM(K6:K15)</f>
        <v>9820.56</v>
      </c>
      <c r="L16" s="98">
        <f>ROUND(M16*10000/SUM(K6:K14),0)</f>
        <v>2500</v>
      </c>
      <c r="M16" s="98">
        <f>SUM(M6:M14)</f>
        <v>2455</v>
      </c>
      <c r="N16" s="99">
        <f>ROUND(SUMPRODUCT(M6:M14,N6:N14)/M16,3)</f>
        <v>0.93</v>
      </c>
      <c r="O16" s="98">
        <f>SUM(O6:O14)</f>
        <v>0</v>
      </c>
      <c r="P16" s="98">
        <f>SUM(P6:P14)</f>
        <v>0</v>
      </c>
      <c r="Q16" s="100">
        <f>ROUND(SUMPRODUCT(Q6:Q13,K6:K13)/SUMPRODUCT((Q6:Q13&gt;0)*(K6:K13)),2)</f>
        <v>0.2</v>
      </c>
      <c r="R16" s="1164">
        <f ca="1">SUM(R6:R13)</f>
        <v>4000.72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3079" t="s">
        <v>3245</v>
      </c>
      <c r="V17" s="3079" t="s">
        <v>3246</v>
      </c>
      <c r="W17" s="3079" t="s">
        <v>3247</v>
      </c>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3079" t="s">
        <v>3243</v>
      </c>
      <c r="V18" s="2901">
        <f>'数据-汇总表'!F19</f>
        <v>8033.74</v>
      </c>
      <c r="W18" s="2901">
        <v>3.2</v>
      </c>
      <c r="X18" s="2901">
        <f>W18*V18</f>
        <v>25707.968000000001</v>
      </c>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3050</v>
      </c>
      <c r="D19" s="2906"/>
      <c r="E19" s="2903"/>
      <c r="F19" s="2903"/>
      <c r="G19" s="2903"/>
      <c r="H19" s="2903"/>
      <c r="I19" s="2903"/>
      <c r="J19" s="2903"/>
      <c r="K19" s="2902"/>
      <c r="L19" s="2902"/>
      <c r="M19" s="2901"/>
      <c r="N19" s="2901"/>
      <c r="O19" s="2901"/>
      <c r="P19" s="2901"/>
      <c r="Q19" s="2901"/>
      <c r="R19" s="2901"/>
      <c r="S19" s="2901"/>
      <c r="T19" s="2901"/>
      <c r="U19" s="3079" t="s">
        <v>3244</v>
      </c>
      <c r="V19" s="2901">
        <f>'数据-汇总表'!G19</f>
        <v>1786.82</v>
      </c>
      <c r="W19" s="2901">
        <v>1.5</v>
      </c>
      <c r="X19" s="3080">
        <f>W19*V19</f>
        <v>2680.23</v>
      </c>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1.5</v>
      </c>
      <c r="C20" s="3032" t="s">
        <v>3048</v>
      </c>
      <c r="D20" s="2906"/>
      <c r="E20" s="2903"/>
      <c r="F20" s="2903"/>
      <c r="G20" s="2903"/>
      <c r="H20" s="2903"/>
      <c r="I20" s="2903"/>
      <c r="J20" s="2903"/>
      <c r="K20" s="2902"/>
      <c r="L20" s="2902"/>
      <c r="M20" s="2901"/>
      <c r="N20" s="2901"/>
      <c r="O20" s="2901"/>
      <c r="P20" s="2901"/>
      <c r="Q20" s="2901"/>
      <c r="R20" s="2901"/>
      <c r="S20" s="2901"/>
      <c r="T20" s="2901"/>
      <c r="U20" s="2901"/>
      <c r="V20" s="2901">
        <f>V19+V18</f>
        <v>9820.56</v>
      </c>
      <c r="W20" s="2901">
        <f>ROUND(X20/V20,1)</f>
        <v>2.9</v>
      </c>
      <c r="X20" s="3080">
        <f>X18+X19</f>
        <v>28388.198</v>
      </c>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1.5</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1.5</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c r="C27" s="3033" t="s">
        <v>3052</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196</v>
      </c>
      <c r="C29" s="3034" t="s">
        <v>3038</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3039</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3040</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3041</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3042</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3043</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3043</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09">
        <f ca="1">存贷款利率!G1</f>
        <v>4.7500000000000001E-2</v>
      </c>
      <c r="C40" s="3035" t="s">
        <v>3044</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6">
        <v>0.03</v>
      </c>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2">
        <v>5.0000000000000001E-4</v>
      </c>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56</v>
      </c>
      <c r="C53" s="2889" t="s">
        <v>1933</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76" t="s">
        <v>3030</v>
      </c>
      <c r="B1" s="3177"/>
      <c r="C1" s="3177"/>
      <c r="D1" s="3177"/>
      <c r="E1" s="3177"/>
      <c r="F1" s="3177"/>
      <c r="G1" s="3177"/>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3025</v>
      </c>
      <c r="D2" s="2688"/>
      <c r="E2" s="2685"/>
      <c r="F2" s="2689"/>
      <c r="G2" s="2687" t="s">
        <v>3026</v>
      </c>
      <c r="H2" s="907"/>
      <c r="I2" s="907"/>
      <c r="J2" s="907"/>
      <c r="K2" s="907"/>
      <c r="L2" s="907"/>
      <c r="M2" s="907"/>
      <c r="N2" s="907"/>
      <c r="O2" s="907"/>
      <c r="P2" s="907"/>
      <c r="Q2" s="907"/>
      <c r="R2" s="907"/>
    </row>
    <row r="3" spans="1:29" ht="48">
      <c r="A3" s="2668" t="s">
        <v>3027</v>
      </c>
      <c r="B3" s="2690" t="s">
        <v>2996</v>
      </c>
      <c r="C3" s="2691" t="s">
        <v>3028</v>
      </c>
      <c r="D3" s="2692"/>
      <c r="E3" s="2669" t="s">
        <v>3027</v>
      </c>
      <c r="F3" s="2693" t="s">
        <v>2997</v>
      </c>
      <c r="G3" s="2694" t="s">
        <v>3029</v>
      </c>
      <c r="H3" s="907"/>
      <c r="I3" s="907"/>
      <c r="J3" s="907"/>
      <c r="K3" s="907"/>
      <c r="L3" s="907"/>
      <c r="M3" s="907"/>
      <c r="N3" s="907"/>
      <c r="O3" s="907"/>
      <c r="P3" s="907"/>
      <c r="Q3" s="907"/>
      <c r="R3" s="907"/>
    </row>
    <row r="4" spans="1:29" ht="36.75">
      <c r="A4" s="2669"/>
      <c r="B4" s="329" t="s">
        <v>2998</v>
      </c>
      <c r="C4" s="2695" t="s">
        <v>2999</v>
      </c>
      <c r="D4" s="2692"/>
      <c r="E4" s="2696"/>
      <c r="F4" s="1558" t="s">
        <v>3000</v>
      </c>
      <c r="G4" s="2697" t="s">
        <v>3001</v>
      </c>
      <c r="H4" s="907"/>
      <c r="I4" s="907"/>
      <c r="J4" s="907"/>
      <c r="K4" s="907"/>
      <c r="L4" s="907"/>
      <c r="M4" s="907"/>
      <c r="N4" s="907"/>
      <c r="O4" s="907"/>
      <c r="P4" s="907"/>
      <c r="Q4" s="907"/>
      <c r="R4" s="907"/>
    </row>
    <row r="5" spans="1:29" ht="36.75">
      <c r="A5" s="2669"/>
      <c r="B5" s="329" t="s">
        <v>3002</v>
      </c>
      <c r="C5" s="2695" t="s">
        <v>3003</v>
      </c>
      <c r="D5" s="2692"/>
      <c r="E5" s="2696"/>
      <c r="F5" s="329" t="s">
        <v>3004</v>
      </c>
      <c r="G5" s="2697" t="s">
        <v>3005</v>
      </c>
      <c r="H5" s="907"/>
      <c r="I5" s="907"/>
      <c r="J5" s="907"/>
      <c r="K5" s="907"/>
      <c r="L5" s="907"/>
      <c r="M5" s="907"/>
      <c r="N5" s="907"/>
      <c r="O5" s="907"/>
      <c r="P5" s="907"/>
      <c r="Q5" s="907"/>
      <c r="R5" s="907"/>
    </row>
    <row r="6" spans="1:29" ht="36">
      <c r="A6" s="2669"/>
      <c r="B6" s="329" t="s">
        <v>3006</v>
      </c>
      <c r="C6" s="2697" t="s">
        <v>3001</v>
      </c>
      <c r="D6" s="2692"/>
      <c r="E6" s="2696"/>
      <c r="F6" s="329" t="s">
        <v>3007</v>
      </c>
      <c r="G6" s="2697" t="s">
        <v>3008</v>
      </c>
      <c r="H6" s="907"/>
      <c r="I6" s="907"/>
      <c r="J6" s="907"/>
      <c r="K6" s="907"/>
      <c r="L6" s="907"/>
      <c r="M6" s="907"/>
      <c r="N6" s="907"/>
      <c r="O6" s="907"/>
      <c r="P6" s="907"/>
      <c r="Q6" s="907"/>
      <c r="R6" s="907"/>
    </row>
    <row r="7" spans="1:29" ht="24.75" thickBot="1">
      <c r="A7" s="2669"/>
      <c r="B7" s="329" t="s">
        <v>3004</v>
      </c>
      <c r="C7" s="2697" t="s">
        <v>3005</v>
      </c>
      <c r="D7" s="2698"/>
      <c r="E7" s="2699"/>
      <c r="F7" s="2700" t="s">
        <v>3009</v>
      </c>
      <c r="G7" s="2701" t="s">
        <v>3010</v>
      </c>
      <c r="H7" s="907"/>
      <c r="I7" s="907"/>
      <c r="J7" s="907"/>
      <c r="K7" s="907"/>
      <c r="L7" s="907"/>
      <c r="M7" s="907"/>
      <c r="N7" s="907"/>
      <c r="O7" s="907"/>
      <c r="P7" s="907"/>
      <c r="Q7" s="907"/>
      <c r="R7" s="907"/>
    </row>
    <row r="8" spans="1:29">
      <c r="A8" s="2669"/>
      <c r="B8" s="329" t="s">
        <v>3007</v>
      </c>
      <c r="C8" s="2697" t="s">
        <v>3008</v>
      </c>
      <c r="D8" s="2698"/>
      <c r="E8" s="2698"/>
      <c r="F8" s="2702"/>
      <c r="G8" s="2702"/>
      <c r="H8" s="907"/>
      <c r="I8" s="907"/>
      <c r="J8" s="907"/>
      <c r="K8" s="907"/>
      <c r="L8" s="907"/>
      <c r="M8" s="907"/>
      <c r="N8" s="907"/>
      <c r="O8" s="907"/>
      <c r="P8" s="907"/>
      <c r="Q8" s="907"/>
      <c r="R8" s="907"/>
    </row>
    <row r="9" spans="1:29" ht="24">
      <c r="A9" s="2669"/>
      <c r="B9" s="329" t="s">
        <v>3011</v>
      </c>
      <c r="C9" s="2695" t="s">
        <v>3012</v>
      </c>
      <c r="D9" s="2692"/>
      <c r="E9" s="2698"/>
      <c r="F9" s="2702"/>
      <c r="G9" s="2702"/>
      <c r="H9" s="907"/>
      <c r="I9" s="907"/>
      <c r="J9" s="907"/>
      <c r="K9" s="907"/>
      <c r="L9" s="907"/>
      <c r="M9" s="907"/>
      <c r="N9" s="907"/>
      <c r="O9" s="907"/>
      <c r="P9" s="907"/>
      <c r="Q9" s="907"/>
      <c r="R9" s="907"/>
    </row>
    <row r="10" spans="1:29" s="2708" customFormat="1" ht="15" thickBot="1">
      <c r="A10" s="2670"/>
      <c r="B10" s="2703" t="s">
        <v>3013</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3031</v>
      </c>
      <c r="B13" s="2711"/>
      <c r="C13" s="2711"/>
      <c r="D13" s="2709"/>
      <c r="E13" s="2711"/>
      <c r="F13" s="2711"/>
      <c r="G13" s="2711"/>
    </row>
    <row r="14" spans="1:29" ht="15" thickBot="1">
      <c r="A14" s="2721"/>
      <c r="B14" s="2721"/>
      <c r="C14" s="2722" t="s">
        <v>3014</v>
      </c>
      <c r="D14" s="2692"/>
      <c r="E14" s="2723"/>
      <c r="F14" s="2723"/>
      <c r="G14" s="2687" t="s">
        <v>3015</v>
      </c>
    </row>
    <row r="15" spans="1:29" ht="51">
      <c r="A15" s="2671" t="s">
        <v>3016</v>
      </c>
      <c r="B15" s="2724" t="s">
        <v>2996</v>
      </c>
      <c r="C15" s="2725" t="str">
        <f>C3</f>
        <v>估价对象周边居住用地比例、居住小区规模和社区发展完善程度，综合评价居住社区成熟度一般</v>
      </c>
      <c r="D15" s="2692"/>
      <c r="E15" s="2672" t="s">
        <v>3017</v>
      </c>
      <c r="F15" s="2724" t="s">
        <v>3018</v>
      </c>
      <c r="G15" s="2726" t="str">
        <f>G3</f>
        <v>估价对象位于XX开发区，园区建设成熟度XX，产业集聚程度XX</v>
      </c>
    </row>
    <row r="16" spans="1:29" ht="38.25">
      <c r="A16" s="2673"/>
      <c r="B16" s="2727" t="s">
        <v>2998</v>
      </c>
      <c r="C16" s="2728" t="str">
        <f>C4</f>
        <v>估价对象位于XX商圈，周边商业氛围成熟，人流量大，商业繁华度好</v>
      </c>
      <c r="D16" s="2692"/>
      <c r="E16" s="2674"/>
      <c r="F16" s="2729" t="s">
        <v>3000</v>
      </c>
      <c r="G16" s="2730" t="str">
        <f>G4</f>
        <v>估价对象周边道路状况、公共交通通达情况、停车便捷程度，综合评价交通便捷度较好</v>
      </c>
    </row>
    <row r="17" spans="1:18" ht="38.25">
      <c r="A17" s="2673"/>
      <c r="B17" s="2727" t="s">
        <v>3002</v>
      </c>
      <c r="C17" s="2728" t="str">
        <f>C5</f>
        <v>估价对象位于XX商圈，周边办公楼项目较多，入驻率高，办公集聚程度较好</v>
      </c>
      <c r="D17" s="2698"/>
      <c r="E17" s="2674"/>
      <c r="F17" s="2729" t="s">
        <v>3019</v>
      </c>
      <c r="G17" s="2731"/>
    </row>
    <row r="18" spans="1:18" ht="38.25">
      <c r="A18" s="2673"/>
      <c r="B18" s="2729" t="s">
        <v>3006</v>
      </c>
      <c r="C18" s="2730" t="str">
        <f>C6</f>
        <v>估价对象周边道路状况、公共交通通达情况、停车便捷程度，综合评价交通便捷度较好</v>
      </c>
      <c r="D18" s="2698"/>
      <c r="E18" s="2674"/>
      <c r="F18" s="2729" t="s">
        <v>3009</v>
      </c>
      <c r="G18" s="2730" t="str">
        <f>G7</f>
        <v>该园区内是否有污染型企业，绿化情况，卫生条件，整体环境状况判断</v>
      </c>
    </row>
    <row r="19" spans="1:18" ht="25.5">
      <c r="A19" s="2673"/>
      <c r="B19" s="2729" t="s">
        <v>3020</v>
      </c>
      <c r="C19" s="2731"/>
      <c r="D19" s="2692"/>
      <c r="E19" s="2674"/>
      <c r="F19" s="329" t="s">
        <v>3004</v>
      </c>
      <c r="G19" s="2730" t="str">
        <f>G5</f>
        <v>估价对象所在区域公共配套设施齐备情况</v>
      </c>
    </row>
    <row r="20" spans="1:18" ht="25.5">
      <c r="A20" s="2673"/>
      <c r="B20" s="2729" t="s">
        <v>3021</v>
      </c>
      <c r="C20" s="2728" t="str">
        <f>C9</f>
        <v>区域自然环境：；人文环境；综合评价环境状况一般</v>
      </c>
      <c r="D20" s="2698"/>
      <c r="E20" s="2674"/>
      <c r="F20" s="329" t="s">
        <v>3007</v>
      </c>
      <c r="G20" s="2730" t="str">
        <f>G6</f>
        <v>估价对象所在区域基础设施水平</v>
      </c>
    </row>
    <row r="21" spans="1:18" ht="25.5">
      <c r="A21" s="2673"/>
      <c r="B21" s="329" t="s">
        <v>3004</v>
      </c>
      <c r="C21" s="2730" t="str">
        <f>C7</f>
        <v>估价对象所在区域公共配套设施齐备情况</v>
      </c>
      <c r="D21" s="2692"/>
      <c r="E21" s="2674"/>
      <c r="F21" s="2729" t="s">
        <v>3022</v>
      </c>
      <c r="G21" s="2732"/>
    </row>
    <row r="22" spans="1:18" ht="13.5" customHeight="1">
      <c r="A22" s="2673"/>
      <c r="B22" s="329" t="s">
        <v>3007</v>
      </c>
      <c r="C22" s="2730" t="str">
        <f>C8</f>
        <v>估价对象所在区域基础设施水平</v>
      </c>
      <c r="D22" s="2692"/>
      <c r="E22" s="2674"/>
      <c r="F22" s="2729" t="s">
        <v>3013</v>
      </c>
      <c r="G22" s="2731"/>
    </row>
    <row r="23" spans="1:18" s="907" customFormat="1" ht="15" thickBot="1">
      <c r="A23" s="2673"/>
      <c r="B23" s="2729" t="s">
        <v>3022</v>
      </c>
      <c r="C23" s="2732"/>
      <c r="D23" s="1928"/>
      <c r="E23" s="2675"/>
      <c r="F23" s="2733" t="s">
        <v>3023</v>
      </c>
      <c r="G23" s="2734"/>
      <c r="H23" s="2718"/>
      <c r="I23" s="2719"/>
      <c r="J23" s="2718"/>
      <c r="K23" s="2718"/>
      <c r="L23" s="2719"/>
      <c r="M23" s="2718"/>
      <c r="N23" s="2718"/>
      <c r="O23" s="2719"/>
      <c r="P23" s="2718"/>
      <c r="Q23" s="2718"/>
      <c r="R23" s="2720"/>
    </row>
    <row r="24" spans="1:18" s="907" customFormat="1" ht="15" thickBot="1">
      <c r="A24" s="2676"/>
      <c r="B24" s="2733" t="s">
        <v>3024</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D22" sqref="D22"/>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15250.58</v>
      </c>
      <c r="C1" s="2916"/>
      <c r="D1" s="2916"/>
      <c r="E1" s="2916"/>
      <c r="F1" s="2916"/>
      <c r="G1" s="2917"/>
      <c r="H1" s="2918"/>
      <c r="I1" s="2918"/>
      <c r="J1" s="2918"/>
      <c r="K1" s="2918"/>
    </row>
    <row r="2" spans="1:11" ht="16.5">
      <c r="A2" s="2739" t="s">
        <v>1319</v>
      </c>
      <c r="B2" s="2739">
        <f>SUM(C14:C23)</f>
        <v>6212.8099999999995</v>
      </c>
      <c r="C2" s="2916"/>
      <c r="D2" s="2916"/>
      <c r="E2" s="2916"/>
      <c r="F2" s="2916"/>
      <c r="G2" s="2917"/>
      <c r="H2" s="2918"/>
      <c r="I2" s="2918"/>
      <c r="J2" s="2918"/>
      <c r="K2" s="2918"/>
    </row>
    <row r="3" spans="1:11" ht="16.5">
      <c r="A3" s="2739" t="s">
        <v>1328</v>
      </c>
      <c r="B3" s="2741">
        <f>项目基本情况!D3</f>
        <v>44166</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21061</v>
      </c>
      <c r="C5" s="2739">
        <f ca="1">ROUND(B5*10000/$B$1,0)</f>
        <v>13810</v>
      </c>
      <c r="D5" s="2739">
        <f ca="1">ROUND(B5*10000/$B$2,0)</f>
        <v>33899</v>
      </c>
      <c r="E5" s="2916"/>
      <c r="F5" s="2917"/>
      <c r="G5" s="2917"/>
      <c r="H5" s="2918"/>
      <c r="I5" s="2918"/>
      <c r="J5" s="2918"/>
      <c r="K5" s="2918"/>
    </row>
    <row r="6" spans="1:11" ht="16.5">
      <c r="A6" s="2739" t="s">
        <v>1322</v>
      </c>
      <c r="B6" s="2739">
        <f ca="1">SUM(G14:G23)</f>
        <v>21061</v>
      </c>
      <c r="C6" s="2739">
        <f ca="1">ROUND(B6*10000/$B$1,0)</f>
        <v>13810</v>
      </c>
      <c r="D6" s="2739">
        <f ca="1">ROUND(B6*10000/$B$2,0)</f>
        <v>33899</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9820.56</v>
      </c>
      <c r="C14" s="2745">
        <f>结果表!C118</f>
        <v>4000.72</v>
      </c>
      <c r="D14" s="2745">
        <f ca="1">结果表!H118</f>
        <v>18844</v>
      </c>
      <c r="E14" s="2745">
        <f ca="1">ROUND(D14*10000/B14,0)</f>
        <v>19188</v>
      </c>
      <c r="F14" s="2745">
        <f ca="1">ROUND(D14*10000/C14,0)</f>
        <v>47102</v>
      </c>
      <c r="G14" s="2745">
        <f ca="1">结果表!D122</f>
        <v>18844</v>
      </c>
      <c r="H14" s="2745" t="str">
        <f>结果表!D124</f>
        <v>——</v>
      </c>
      <c r="I14" s="2745" t="str">
        <f>结果表!D126</f>
        <v>——</v>
      </c>
      <c r="J14" s="2917"/>
      <c r="K14" s="2918"/>
    </row>
    <row r="15" spans="1:11" ht="16.5">
      <c r="A15" s="2744" t="s">
        <v>1315</v>
      </c>
      <c r="B15" s="2746">
        <f>[2]系统读取表!$B$14</f>
        <v>5430.02</v>
      </c>
      <c r="C15" s="2746">
        <f>[2]系统读取表!$C$14</f>
        <v>2212.09</v>
      </c>
      <c r="D15" s="2746">
        <f ca="1">[2]系统读取表!$D$14</f>
        <v>2217</v>
      </c>
      <c r="E15" s="2745">
        <f t="shared" ref="E15:E23" ca="1" si="0">ROUND(D15*10000/B15,0)</f>
        <v>4083</v>
      </c>
      <c r="F15" s="2745">
        <f t="shared" ref="F15:F23" ca="1" si="1">ROUND(D15*10000/C15,0)</f>
        <v>10022</v>
      </c>
      <c r="G15" s="1501">
        <f ca="1">D15</f>
        <v>2217</v>
      </c>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115" zoomScaleNormal="100" zoomScaleSheetLayoutView="115" zoomScalePageLayoutView="80" workbookViewId="0">
      <selection activeCell="D17" sqref="D1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1949</v>
      </c>
      <c r="B1" s="1934"/>
      <c r="C1" s="1935" t="s">
        <v>27</v>
      </c>
      <c r="D1" s="1934"/>
      <c r="E1" s="1934"/>
      <c r="F1" s="1936" t="s">
        <v>1950</v>
      </c>
      <c r="G1" s="1747" t="s">
        <v>3068</v>
      </c>
      <c r="H1" s="1937" t="str">
        <f>IF(G1="现房","——","估价对象范围")</f>
        <v>——</v>
      </c>
      <c r="I1" s="1938" t="s">
        <v>3094</v>
      </c>
    </row>
    <row r="2" spans="1:12" ht="21.75" customHeight="1" thickBot="1">
      <c r="A2" s="3248" t="str">
        <f>项目基本情况!S2</f>
        <v>北京市房地产</v>
      </c>
      <c r="B2" s="3249"/>
      <c r="C2" s="3249"/>
      <c r="D2" s="3249"/>
      <c r="E2" s="3249"/>
      <c r="F2" s="3249"/>
      <c r="G2" s="3249"/>
      <c r="H2" s="3249"/>
      <c r="I2" s="3250"/>
    </row>
    <row r="3" spans="1:12" ht="12.75">
      <c r="A3" s="3252" t="s">
        <v>1951</v>
      </c>
      <c r="B3" s="3253"/>
      <c r="C3" s="3253"/>
      <c r="D3" s="3253"/>
      <c r="E3" s="3253"/>
      <c r="F3" s="3253"/>
      <c r="G3" s="3253"/>
      <c r="H3" s="3253"/>
      <c r="I3" s="3253"/>
    </row>
    <row r="4" spans="1:12" ht="14.25">
      <c r="A4" s="1941" t="s">
        <v>1952</v>
      </c>
      <c r="B4" s="1942" t="s">
        <v>1953</v>
      </c>
      <c r="C4" s="1943" t="s">
        <v>3287</v>
      </c>
      <c r="D4" s="1943" t="s">
        <v>3071</v>
      </c>
      <c r="E4" s="3257" t="s">
        <v>1954</v>
      </c>
      <c r="F4" s="3258"/>
      <c r="G4" s="3258"/>
      <c r="H4" s="3258"/>
      <c r="I4" s="325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3" t="s">
        <v>1955</v>
      </c>
      <c r="B5" s="3251">
        <v>25</v>
      </c>
      <c r="C5" s="3254"/>
      <c r="D5" s="3242"/>
      <c r="E5" s="136" t="s">
        <v>1956</v>
      </c>
      <c r="F5" s="1944"/>
      <c r="G5" s="1944"/>
      <c r="H5" s="1944"/>
      <c r="I5" s="1558"/>
    </row>
    <row r="6" spans="1:12" ht="12.75">
      <c r="A6" s="3193"/>
      <c r="B6" s="3251"/>
      <c r="C6" s="3256"/>
      <c r="D6" s="3242"/>
      <c r="E6" s="136" t="s">
        <v>1957</v>
      </c>
      <c r="F6" s="1944"/>
      <c r="G6" s="1944"/>
      <c r="H6" s="1944"/>
      <c r="I6" s="1558"/>
    </row>
    <row r="7" spans="1:12" ht="12.75">
      <c r="A7" s="3193"/>
      <c r="B7" s="3251"/>
      <c r="C7" s="3255"/>
      <c r="D7" s="3242"/>
      <c r="E7" s="136" t="s">
        <v>1958</v>
      </c>
      <c r="F7" s="1944"/>
      <c r="G7" s="1944"/>
      <c r="H7" s="1944"/>
      <c r="I7" s="1558"/>
    </row>
    <row r="8" spans="1:12" ht="12.75">
      <c r="A8" s="3193" t="s">
        <v>1959</v>
      </c>
      <c r="B8" s="3251">
        <v>15</v>
      </c>
      <c r="C8" s="3254"/>
      <c r="D8" s="3242"/>
      <c r="E8" s="136" t="s">
        <v>1960</v>
      </c>
      <c r="F8" s="1944"/>
      <c r="G8" s="1944"/>
      <c r="H8" s="1944"/>
      <c r="I8" s="1558"/>
    </row>
    <row r="9" spans="1:12" ht="12.75">
      <c r="A9" s="3193"/>
      <c r="B9" s="3251"/>
      <c r="C9" s="3255"/>
      <c r="D9" s="3242"/>
      <c r="E9" s="136" t="s">
        <v>1961</v>
      </c>
      <c r="F9" s="1944"/>
      <c r="G9" s="1944"/>
      <c r="H9" s="1944"/>
      <c r="I9" s="1558"/>
    </row>
    <row r="10" spans="1:12" ht="12.75">
      <c r="A10" s="3193" t="s">
        <v>1962</v>
      </c>
      <c r="B10" s="3251">
        <v>15</v>
      </c>
      <c r="C10" s="3254"/>
      <c r="D10" s="3242"/>
      <c r="E10" s="136" t="s">
        <v>1963</v>
      </c>
      <c r="F10" s="1944"/>
      <c r="G10" s="1944"/>
      <c r="H10" s="1944"/>
      <c r="I10" s="1558"/>
    </row>
    <row r="11" spans="1:12" ht="12.75">
      <c r="A11" s="3193"/>
      <c r="B11" s="3251"/>
      <c r="C11" s="3255"/>
      <c r="D11" s="3242"/>
      <c r="E11" s="136" t="s">
        <v>1964</v>
      </c>
      <c r="F11" s="1944"/>
      <c r="G11" s="1944"/>
      <c r="H11" s="1944"/>
      <c r="I11" s="1558"/>
    </row>
    <row r="12" spans="1:12" ht="12.75">
      <c r="A12" s="3193" t="s">
        <v>1965</v>
      </c>
      <c r="B12" s="3251">
        <v>15</v>
      </c>
      <c r="C12" s="3254"/>
      <c r="D12" s="3242"/>
      <c r="E12" s="136" t="s">
        <v>1966</v>
      </c>
      <c r="F12" s="1944"/>
      <c r="G12" s="1944"/>
      <c r="H12" s="1944"/>
      <c r="I12" s="1558"/>
    </row>
    <row r="13" spans="1:12" ht="12.75">
      <c r="A13" s="3193"/>
      <c r="B13" s="3251"/>
      <c r="C13" s="3255"/>
      <c r="D13" s="3242"/>
      <c r="E13" s="136" t="s">
        <v>1967</v>
      </c>
      <c r="F13" s="1944"/>
      <c r="G13" s="1944"/>
      <c r="H13" s="1944"/>
      <c r="I13" s="1558"/>
    </row>
    <row r="14" spans="1:12" ht="12.75">
      <c r="A14" s="3193" t="s">
        <v>1968</v>
      </c>
      <c r="B14" s="3251">
        <v>30</v>
      </c>
      <c r="C14" s="3254">
        <v>4</v>
      </c>
      <c r="D14" s="3242">
        <v>6</v>
      </c>
      <c r="E14" s="136" t="s">
        <v>1969</v>
      </c>
      <c r="F14" s="1944"/>
      <c r="G14" s="1944"/>
      <c r="H14" s="1944"/>
      <c r="I14" s="1558"/>
    </row>
    <row r="15" spans="1:12" ht="12.75">
      <c r="A15" s="3193"/>
      <c r="B15" s="3251"/>
      <c r="C15" s="3256"/>
      <c r="D15" s="3242"/>
      <c r="E15" s="136" t="s">
        <v>1970</v>
      </c>
      <c r="F15" s="1944"/>
      <c r="G15" s="1944"/>
      <c r="H15" s="1944"/>
      <c r="I15" s="1558"/>
    </row>
    <row r="16" spans="1:12" ht="12.75">
      <c r="A16" s="3193"/>
      <c r="B16" s="3251"/>
      <c r="C16" s="3255"/>
      <c r="D16" s="3242"/>
      <c r="E16" s="136" t="s">
        <v>1971</v>
      </c>
      <c r="F16" s="1944"/>
      <c r="G16" s="1944"/>
      <c r="H16" s="1944"/>
      <c r="I16" s="1558"/>
    </row>
    <row r="17" spans="1:36" ht="15">
      <c r="A17" s="1945" t="s">
        <v>1972</v>
      </c>
      <c r="B17" s="60"/>
      <c r="C17" s="137">
        <f>SUM(C5:C16)</f>
        <v>4</v>
      </c>
      <c r="D17" s="137">
        <f>SUM(D5:D16)</f>
        <v>6</v>
      </c>
      <c r="E17" s="134"/>
      <c r="F17" s="134"/>
      <c r="G17" s="134"/>
      <c r="H17" s="134"/>
      <c r="I17" s="134"/>
      <c r="K17" s="308"/>
      <c r="L17" s="308" t="s">
        <v>1973</v>
      </c>
      <c r="M17" s="308" t="s">
        <v>1974</v>
      </c>
    </row>
    <row r="18" spans="1:36" ht="31.9" customHeight="1" thickBot="1">
      <c r="A18" s="1946" t="s">
        <v>1975</v>
      </c>
      <c r="B18" s="1947"/>
      <c r="C18" s="138">
        <f>ROUND(C17/SUM(C17:D17),2)</f>
        <v>0.4</v>
      </c>
      <c r="D18" s="138">
        <f>1-C18</f>
        <v>0.6</v>
      </c>
      <c r="E18" s="3273" t="s">
        <v>2871</v>
      </c>
      <c r="F18" s="3274"/>
      <c r="G18" s="3274"/>
      <c r="H18" s="3274"/>
      <c r="I18" s="3274"/>
      <c r="K18" s="308" t="s">
        <v>1976</v>
      </c>
      <c r="L18" s="308">
        <f>IF(C1="",'数据-汇总表'!E3,SUMIF(项目类型,C1,'数据-汇总表'!E17:E26)+SUMIF(项目类型,C1,'数据-汇总表'!I17:I26))</f>
        <v>9820.56</v>
      </c>
      <c r="M18" s="308">
        <f>IF(C1="",'数据-汇总表'!E3,SUMIF(项目类型,C1,'数据-汇总表'!E17:E26))</f>
        <v>9820.56</v>
      </c>
    </row>
    <row r="19" spans="1:36" ht="15">
      <c r="A19" s="1948" t="s">
        <v>1977</v>
      </c>
      <c r="B19" s="1949" t="s">
        <v>1978</v>
      </c>
      <c r="C19" s="139">
        <f ca="1">SUMIF(INDIRECT("'"&amp;C4&amp;"'"&amp;"!A:A"),结果表!B19,INDIRECT("'"&amp;C4&amp;"'"&amp;"!B:B"))</f>
        <v>23283</v>
      </c>
      <c r="D19" s="140">
        <f ca="1">SUMIF(INDIRECT("'"&amp;D4&amp;"'"&amp;"!A:A"),结果表!B19,INDIRECT("'"&amp;D4&amp;"'"&amp;"!B:B"))</f>
        <v>15885</v>
      </c>
      <c r="E19" s="1948" t="s">
        <v>1979</v>
      </c>
      <c r="F19" s="1949" t="s">
        <v>1978</v>
      </c>
      <c r="G19" s="141">
        <f ca="1">ROUND(C19*$C$18+D19*$D$18,0)</f>
        <v>18844</v>
      </c>
      <c r="H19" s="1950" t="s">
        <v>1980</v>
      </c>
      <c r="I19" s="134"/>
      <c r="K19" s="308" t="s">
        <v>1981</v>
      </c>
      <c r="L19" s="308">
        <f>IF(C1="",'数据-汇总表'!D3,SUMIF(项目类型,C1,'数据-汇总表'!D17:D26)+SUMIF(项目类型,C1,'数据-汇总表'!H17:H27))</f>
        <v>4000.72</v>
      </c>
      <c r="M19" s="308">
        <f>IF(C1="",'数据-汇总表'!D3,SUMIF(项目类型,C1,'数据-汇总表'!D17:D26))</f>
        <v>4000.72</v>
      </c>
    </row>
    <row r="20" spans="1:36" ht="15">
      <c r="A20" s="1951"/>
      <c r="B20" s="1156" t="s">
        <v>1982</v>
      </c>
      <c r="C20" s="142">
        <f ca="1">SUMIF(INDIRECT("'"&amp;C4&amp;"'"&amp;"!A:A"),结果表!B20,INDIRECT("'"&amp;C4&amp;"'"&amp;"!B:B"))</f>
        <v>31930</v>
      </c>
      <c r="D20" s="143">
        <f ca="1">SUMIF(INDIRECT("'"&amp;D4&amp;"'"&amp;"!A:A"),结果表!B20,INDIRECT("'"&amp;D4&amp;"'"&amp;"!B:B"))</f>
        <v>16175</v>
      </c>
      <c r="E20" s="1951"/>
      <c r="F20" s="1156" t="s">
        <v>1982</v>
      </c>
      <c r="G20" s="144">
        <f ca="1">ROUND(C20*$C$18+D20*$D$18,0)</f>
        <v>22477</v>
      </c>
      <c r="H20" s="917" t="s">
        <v>1983</v>
      </c>
      <c r="I20" s="134"/>
    </row>
    <row r="21" spans="1:36" ht="15" customHeight="1" thickBot="1">
      <c r="A21" s="937"/>
      <c r="B21" s="1952" t="s">
        <v>1984</v>
      </c>
      <c r="C21" s="728">
        <f ca="1">ROUND(C19*10000/L19,0)</f>
        <v>58197</v>
      </c>
      <c r="D21" s="729">
        <f ca="1">ROUND(D19*10000/L19,0)</f>
        <v>39705</v>
      </c>
      <c r="E21" s="937"/>
      <c r="F21" s="1952" t="s">
        <v>1984</v>
      </c>
      <c r="G21" s="145">
        <f ca="1">ROUND(G19*10000/L19,0)</f>
        <v>47102</v>
      </c>
      <c r="H21" s="1953" t="s">
        <v>1983</v>
      </c>
      <c r="I21" s="134"/>
    </row>
    <row r="22" spans="1:36" ht="15" thickBot="1">
      <c r="A22" s="1875" t="s">
        <v>1985</v>
      </c>
      <c r="B22" s="1954"/>
      <c r="C22" s="1955"/>
      <c r="D22" s="730">
        <f ca="1">IF(C19&lt;D19,D19/C19-1,C19/D19-1)</f>
        <v>0.46572237960339935</v>
      </c>
      <c r="E22" s="134"/>
      <c r="F22" s="134"/>
      <c r="G22" s="134"/>
      <c r="H22" s="134"/>
      <c r="I22" s="134"/>
    </row>
    <row r="23" spans="1:36" ht="13.5" thickBot="1">
      <c r="A23" s="1934"/>
      <c r="B23" s="1934"/>
      <c r="C23" s="1934"/>
      <c r="D23" s="1934"/>
      <c r="E23" s="134"/>
      <c r="F23" s="134"/>
      <c r="G23" s="134"/>
      <c r="H23" s="134"/>
      <c r="I23" s="134"/>
    </row>
    <row r="24" spans="1:36" ht="14.25">
      <c r="A24" s="3266" t="s">
        <v>1986</v>
      </c>
      <c r="B24" s="1949" t="s">
        <v>1978</v>
      </c>
      <c r="C24" s="141">
        <f>IF(B30=0,0,D30)</f>
        <v>0</v>
      </c>
      <c r="D24" s="1956"/>
      <c r="E24" s="134"/>
      <c r="F24" s="134"/>
      <c r="G24" s="134"/>
      <c r="H24" s="134"/>
      <c r="I24" s="134"/>
    </row>
    <row r="25" spans="1:36" ht="14.25">
      <c r="A25" s="3267"/>
      <c r="B25" s="1156"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2872</v>
      </c>
      <c r="F30" s="134"/>
      <c r="G30" s="134"/>
      <c r="H30" s="134"/>
      <c r="I30" s="134"/>
    </row>
    <row r="31" spans="1:36" s="2528" customFormat="1" ht="26.45" customHeight="1" thickTop="1" thickBot="1">
      <c r="A31" s="2523"/>
      <c r="B31" s="2524"/>
      <c r="C31" s="2524"/>
      <c r="D31" s="2524"/>
      <c r="E31" s="2524"/>
      <c r="F31" s="2524"/>
      <c r="G31" s="2524"/>
      <c r="H31" s="2524"/>
      <c r="I31" s="2525" t="s">
        <v>2873</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18844</v>
      </c>
      <c r="D32" s="1962" t="s">
        <v>3272</v>
      </c>
      <c r="E32" s="134"/>
      <c r="F32" s="134"/>
      <c r="G32" s="134"/>
      <c r="H32" s="134"/>
      <c r="I32" s="134"/>
    </row>
    <row r="33" spans="1:15" ht="15">
      <c r="A33" s="894" t="s">
        <v>1993</v>
      </c>
      <c r="B33" s="1963"/>
      <c r="C33" s="1964" t="s">
        <v>3273</v>
      </c>
      <c r="D33" s="1965" t="s">
        <v>3071</v>
      </c>
      <c r="E33" s="1966" t="s">
        <v>1994</v>
      </c>
      <c r="F33" s="1967" t="str">
        <f>IF(D32="楼面单价","取值（单价）","取值（总价）")</f>
        <v>取值（总价）</v>
      </c>
      <c r="G33" s="134"/>
      <c r="H33" s="134"/>
      <c r="I33" s="134"/>
    </row>
    <row r="34" spans="1:15" ht="15">
      <c r="A34" s="1968"/>
      <c r="B34" s="1969" t="s">
        <v>1995</v>
      </c>
      <c r="C34" s="153">
        <f ca="1">IF(C33="自定义",F34,C32-C35)</f>
        <v>11570</v>
      </c>
      <c r="D34" s="970">
        <f ca="1">IF(C33="自定义",ROUND(C34/C32,3),IF(C33="收益比率",SUMIF(INDIRECT("'"&amp;D33&amp;"'"&amp;"!b:b"),"土地收益比率",INDIRECT("'"&amp;D33&amp;"'"&amp;"!c:c")),SUMIF(INDIRECT("'"&amp;D33&amp;"'"&amp;"!b:b"),"土地成本比率",INDIRECT("'"&amp;D33&amp;"'"&amp;"!c:c"))))</f>
        <v>0.61399999999999999</v>
      </c>
      <c r="E34" s="1970" t="s">
        <v>1996</v>
      </c>
      <c r="F34" s="1499"/>
      <c r="G34" s="134"/>
      <c r="H34" s="134"/>
      <c r="I34" s="134"/>
    </row>
    <row r="35" spans="1:15" ht="15.75" thickBot="1">
      <c r="A35" s="1971"/>
      <c r="B35" s="1972" t="s">
        <v>1997</v>
      </c>
      <c r="C35" s="1331">
        <f ca="1">IF(C33="自定义",F35,ROUND(C32*D35,0))</f>
        <v>7274</v>
      </c>
      <c r="D35" s="1332">
        <f ca="1">IF(C33="自定义",ROUND(C35/C32,3),IF(C33="收益比率",SUMIF(INDIRECT("'"&amp;D33&amp;"'"&amp;"!b:b"),"建筑物收益比率",INDIRECT("'"&amp;D33&amp;"'"&amp;"!c:c")),SUMIF(INDIRECT("'"&amp;D33&amp;"'"&amp;"!b:b"),"建筑物成本比率",INDIRECT("'"&amp;D33&amp;"'"&amp;"!c:c"))))</f>
        <v>0.38600000000000001</v>
      </c>
      <c r="E35" s="1973" t="s">
        <v>1998</v>
      </c>
      <c r="F35" s="159"/>
      <c r="G35" s="134"/>
      <c r="H35" s="134"/>
      <c r="I35" s="134"/>
    </row>
    <row r="36" spans="1:15" ht="15.75" thickBot="1">
      <c r="A36" s="3243" t="s">
        <v>1999</v>
      </c>
      <c r="B36" s="1974" t="s">
        <v>2000</v>
      </c>
      <c r="C36" s="150"/>
      <c r="D36" s="1975"/>
      <c r="E36" s="1976"/>
      <c r="F36" s="1977"/>
      <c r="G36" s="134"/>
      <c r="H36" s="134"/>
      <c r="I36" s="134"/>
    </row>
    <row r="37" spans="1:15" ht="15.75" thickBot="1">
      <c r="A37" s="3244"/>
      <c r="B37" s="1861" t="s">
        <v>2001</v>
      </c>
      <c r="C37" s="152"/>
      <c r="D37" s="1300"/>
      <c r="E37" s="1300"/>
      <c r="F37" s="1977"/>
      <c r="G37" s="134"/>
      <c r="H37" s="134"/>
      <c r="I37" s="134"/>
    </row>
    <row r="38" spans="1:15" ht="15.75" thickBot="1">
      <c r="A38" s="3245"/>
      <c r="B38" s="1978" t="s">
        <v>2002</v>
      </c>
      <c r="C38" s="683"/>
      <c r="D38" s="1979" t="s">
        <v>2003</v>
      </c>
      <c r="E38" s="1300"/>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63" t="s">
        <v>2013</v>
      </c>
      <c r="B45" s="3264"/>
      <c r="C45" s="3265"/>
      <c r="D45" s="160">
        <f ca="1">ROUND(H101*F45,0)</f>
        <v>18844</v>
      </c>
      <c r="E45" s="161" t="s">
        <v>2014</v>
      </c>
      <c r="F45" s="162">
        <v>1</v>
      </c>
      <c r="G45" s="163" t="s">
        <v>2015</v>
      </c>
      <c r="H45" s="134"/>
      <c r="I45" s="134"/>
      <c r="J45" s="3180" t="s">
        <v>2016</v>
      </c>
      <c r="K45" s="3180"/>
      <c r="L45" s="3180"/>
      <c r="M45" s="3180"/>
      <c r="N45" s="3180"/>
      <c r="O45" s="3180"/>
    </row>
    <row r="46" spans="1:15" ht="14.25" customHeight="1">
      <c r="A46" s="3260" t="s">
        <v>2017</v>
      </c>
      <c r="B46" s="3261"/>
      <c r="C46" s="3261"/>
      <c r="D46" s="3261"/>
      <c r="E46" s="3261"/>
      <c r="F46" s="3261"/>
      <c r="G46" s="3262"/>
      <c r="H46" s="1993"/>
      <c r="I46" s="164"/>
      <c r="J46" s="2750">
        <v>1</v>
      </c>
      <c r="K46" s="3181" t="s">
        <v>2018</v>
      </c>
      <c r="L46" s="3181"/>
      <c r="M46" s="3182"/>
      <c r="N46" s="3182"/>
      <c r="O46" s="3182"/>
    </row>
    <row r="47" spans="1:15" ht="12" customHeight="1">
      <c r="A47" s="165" t="s">
        <v>2019</v>
      </c>
      <c r="B47" s="166"/>
      <c r="C47" s="167"/>
      <c r="D47" s="1246" t="s">
        <v>2020</v>
      </c>
      <c r="E47" s="308" t="s">
        <v>2021</v>
      </c>
      <c r="F47" s="168" t="s">
        <v>2022</v>
      </c>
      <c r="G47" s="2773" t="s">
        <v>2023</v>
      </c>
      <c r="H47" s="2774"/>
      <c r="I47" s="164"/>
      <c r="J47" s="2750">
        <v>2</v>
      </c>
      <c r="K47" s="3181" t="s">
        <v>2024</v>
      </c>
      <c r="L47" s="3181"/>
      <c r="M47" s="3183">
        <f>'数据-取费表'!B2</f>
        <v>44166</v>
      </c>
      <c r="N47" s="3183"/>
      <c r="O47" s="3183"/>
    </row>
    <row r="48" spans="1:15" ht="25.5">
      <c r="A48" s="3246" t="s">
        <v>2025</v>
      </c>
      <c r="B48" s="3247"/>
      <c r="C48" s="3247"/>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181" t="s">
        <v>2027</v>
      </c>
      <c r="L48" s="3181"/>
      <c r="M48" s="3184">
        <f ca="1">H101</f>
        <v>18844</v>
      </c>
      <c r="N48" s="3184"/>
      <c r="O48" s="3184"/>
    </row>
    <row r="49" spans="1:35" ht="25.5" customHeight="1">
      <c r="A49" s="2557" t="s">
        <v>2028</v>
      </c>
      <c r="B49" s="3229" t="s">
        <v>2029</v>
      </c>
      <c r="C49" s="3229"/>
      <c r="D49" s="1776">
        <v>0</v>
      </c>
      <c r="E49" s="330" t="s">
        <v>2030</v>
      </c>
      <c r="F49" s="2651" t="s">
        <v>34</v>
      </c>
      <c r="G49" s="3212"/>
      <c r="H49" s="2529" t="s">
        <v>2874</v>
      </c>
      <c r="I49" s="2530"/>
      <c r="J49" s="2750">
        <v>4</v>
      </c>
      <c r="K49" s="3181" t="str">
        <f>IF(项目基本情况!E8="房地产抵押价值","房地产抵押价值","抵押担保权已注销时的房地产抵押价值")</f>
        <v>房地产抵押价值</v>
      </c>
      <c r="L49" s="3181"/>
      <c r="M49" s="3184">
        <f ca="1">IF(项目基本情况!E8="房地产抵押价值",H107,H109)</f>
        <v>18844</v>
      </c>
      <c r="N49" s="3184"/>
      <c r="O49" s="3184"/>
    </row>
    <row r="50" spans="1:35" ht="25.5" customHeight="1">
      <c r="A50" s="2778"/>
      <c r="B50" s="3229" t="s">
        <v>2031</v>
      </c>
      <c r="C50" s="3229"/>
      <c r="D50" s="2779"/>
      <c r="E50" s="338"/>
      <c r="F50" s="2651"/>
      <c r="G50" s="3213"/>
      <c r="H50" s="2531" t="s">
        <v>2875</v>
      </c>
      <c r="I50" s="2530"/>
      <c r="J50" s="3180" t="s">
        <v>2032</v>
      </c>
      <c r="K50" s="3180"/>
      <c r="L50" s="3180"/>
      <c r="M50" s="3180"/>
      <c r="N50" s="3180"/>
      <c r="O50" s="3180"/>
    </row>
    <row r="51" spans="1:35" ht="20.45" customHeight="1">
      <c r="A51" s="2780"/>
      <c r="B51" s="3229" t="s">
        <v>2033</v>
      </c>
      <c r="C51" s="3229"/>
      <c r="D51" s="1246"/>
      <c r="E51" s="333"/>
      <c r="F51" s="2651"/>
      <c r="G51" s="3214"/>
      <c r="H51" s="2531" t="s">
        <v>2876</v>
      </c>
      <c r="I51" s="2530"/>
      <c r="J51" s="2751" t="s">
        <v>2034</v>
      </c>
      <c r="K51" s="3181" t="s">
        <v>2035</v>
      </c>
      <c r="L51" s="3181"/>
      <c r="M51" s="2751" t="s">
        <v>2036</v>
      </c>
      <c r="N51" s="2751" t="s">
        <v>2037</v>
      </c>
      <c r="O51" s="2751" t="s">
        <v>2038</v>
      </c>
    </row>
    <row r="52" spans="1:35" ht="24" customHeight="1">
      <c r="A52" s="2559" t="s">
        <v>2039</v>
      </c>
      <c r="B52" s="3229" t="s">
        <v>2040</v>
      </c>
      <c r="C52" s="3229"/>
      <c r="D52" s="1246">
        <f ca="1">ROUND(D45*'数据-取费表'!B41/(1+'数据-取费表'!C42),0)</f>
        <v>1005</v>
      </c>
      <c r="E52" s="2558" t="s">
        <v>2041</v>
      </c>
      <c r="F52" s="2781">
        <f>'数据-取费表'!B41</f>
        <v>5.6000000000000001E-2</v>
      </c>
      <c r="G52" s="2782"/>
      <c r="H52" s="2771"/>
      <c r="I52" s="1994"/>
      <c r="J52" s="2750">
        <v>1</v>
      </c>
      <c r="K52" s="3206" t="s">
        <v>2042</v>
      </c>
      <c r="L52" s="3206"/>
      <c r="M52" s="2752" t="b">
        <f>D48</f>
        <v>0</v>
      </c>
      <c r="N52" s="2750" t="str">
        <f>E48</f>
        <v>销售额×税（费）率</v>
      </c>
      <c r="O52" s="2753">
        <f>F48</f>
        <v>5.6000000000000001E-2</v>
      </c>
    </row>
    <row r="53" spans="1:35" ht="12" customHeight="1">
      <c r="A53" s="2559" t="s">
        <v>2043</v>
      </c>
      <c r="B53" s="3230" t="s">
        <v>3035</v>
      </c>
      <c r="C53" s="3231"/>
      <c r="D53" s="1246">
        <f ca="1">ROUND(D45*'数据-取费表'!B41/(1+'数据-取费表'!C42),0)</f>
        <v>1005</v>
      </c>
      <c r="E53" s="2558" t="s">
        <v>2041</v>
      </c>
      <c r="F53" s="2781">
        <f>'数据-取费表'!B41</f>
        <v>5.6000000000000001E-2</v>
      </c>
      <c r="G53" s="2782"/>
      <c r="H53" s="2771"/>
      <c r="I53" s="1994"/>
      <c r="J53" s="2750">
        <v>2</v>
      </c>
      <c r="K53" s="3206" t="s">
        <v>2044</v>
      </c>
      <c r="L53" s="3206"/>
      <c r="M53" s="2752">
        <f t="shared" ref="M53:O54" ca="1" si="0">D55</f>
        <v>9</v>
      </c>
      <c r="N53" s="2750" t="str">
        <f t="shared" si="0"/>
        <v>销售额×税（费）率</v>
      </c>
      <c r="O53" s="2753" t="str">
        <f t="shared" si="0"/>
        <v>免征</v>
      </c>
    </row>
    <row r="54" spans="1:35" ht="12" customHeight="1">
      <c r="A54" s="2559" t="s">
        <v>2045</v>
      </c>
      <c r="B54" s="3230" t="s">
        <v>3036</v>
      </c>
      <c r="C54" s="3231"/>
      <c r="D54" s="1246">
        <f ca="1">C68</f>
        <v>1005</v>
      </c>
      <c r="E54" s="333" t="s">
        <v>2046</v>
      </c>
      <c r="F54" s="2781">
        <f>'数据-取费表'!B41</f>
        <v>5.6000000000000001E-2</v>
      </c>
      <c r="G54" s="2782"/>
      <c r="H54" s="2783"/>
      <c r="I54" s="1994"/>
      <c r="J54" s="2750">
        <v>3</v>
      </c>
      <c r="K54" s="3206" t="s">
        <v>2047</v>
      </c>
      <c r="L54" s="3206"/>
      <c r="M54" s="2752">
        <f t="shared" ca="1" si="0"/>
        <v>10666</v>
      </c>
      <c r="N54" s="2750" t="str">
        <f t="shared" si="0"/>
        <v>增值额×税（费）率</v>
      </c>
      <c r="O54" s="2754" t="str">
        <f t="shared" si="0"/>
        <v>免征</v>
      </c>
    </row>
    <row r="55" spans="1:35" ht="24" customHeight="1">
      <c r="A55" s="3269" t="s">
        <v>2048</v>
      </c>
      <c r="B55" s="3247"/>
      <c r="C55" s="3247"/>
      <c r="D55" s="2548">
        <f ca="1">IF(H55="个人住宅",0,ROUND(D45*I55,0))</f>
        <v>9</v>
      </c>
      <c r="E55" s="2558" t="s">
        <v>2049</v>
      </c>
      <c r="F55" s="2781" t="str">
        <f>IF(H55="正常",I55,"免征")</f>
        <v>免征</v>
      </c>
      <c r="G55" s="2782"/>
      <c r="H55" s="2777"/>
      <c r="I55" s="170">
        <f>'数据-取费表'!B49</f>
        <v>5.0000000000000001E-4</v>
      </c>
      <c r="J55" s="2750">
        <f>IF(H59="非个人房产","",4)</f>
        <v>4</v>
      </c>
      <c r="K55" s="3206" t="str">
        <f>IF(H59="非个人房产","——","个人所得税")</f>
        <v>个人所得税</v>
      </c>
      <c r="L55" s="3206"/>
      <c r="M55" s="2755">
        <f ca="1">D59</f>
        <v>179</v>
      </c>
      <c r="N55" s="2229" t="str">
        <f>E59</f>
        <v>差额计税</v>
      </c>
      <c r="O55" s="2756">
        <f>F59</f>
        <v>0.01</v>
      </c>
    </row>
    <row r="56" spans="1:35" ht="24.75">
      <c r="A56" s="3269" t="s">
        <v>2050</v>
      </c>
      <c r="B56" s="3247"/>
      <c r="C56" s="3247"/>
      <c r="D56" s="2548">
        <f ca="1">IF(H56="个人住宅",D57,D58)</f>
        <v>10666</v>
      </c>
      <c r="E56" s="2558" t="s">
        <v>2051</v>
      </c>
      <c r="F56" s="2781" t="str">
        <f>IF(H56="正常",F58,"免征")</f>
        <v>免征</v>
      </c>
      <c r="G56" s="2784" t="s">
        <v>2052</v>
      </c>
      <c r="H56" s="2785"/>
      <c r="I56" s="1995"/>
      <c r="J56" s="2750" t="str">
        <f>IF(项目基本情况!K6="上海银行",IF(J55="",4,J55+1),"")</f>
        <v/>
      </c>
      <c r="K56" s="3187" t="str">
        <f>IF(项目基本情况!K6="上海银行","其他处置费用","")</f>
        <v/>
      </c>
      <c r="L56" s="3188"/>
      <c r="M56" s="2752" t="str">
        <f>IF(项目基本情况!K6="上海银行",M69,"")</f>
        <v/>
      </c>
      <c r="N56" s="3187" t="str">
        <f>IF(项目基本情况!K6="上海银行","包含处置中涉及的律师、诉讼、拍卖、评估等费用","")</f>
        <v/>
      </c>
      <c r="O56" s="3190"/>
    </row>
    <row r="57" spans="1:35" ht="12.75">
      <c r="A57" s="2559" t="s">
        <v>2028</v>
      </c>
      <c r="B57" s="3230" t="s">
        <v>2053</v>
      </c>
      <c r="C57" s="3231"/>
      <c r="D57" s="1776">
        <v>0</v>
      </c>
      <c r="E57" s="330" t="s">
        <v>2030</v>
      </c>
      <c r="F57" s="308"/>
      <c r="G57" s="2782"/>
      <c r="H57" s="2786"/>
      <c r="I57" s="1995"/>
      <c r="J57" s="3206">
        <f>IF(AND(J55="",J56=""),4,IF(项目基本情况!K6="上海银行",结果表!J56+1,结果表!J55+1))</f>
        <v>5</v>
      </c>
      <c r="K57" s="3206" t="s">
        <v>2054</v>
      </c>
      <c r="L57" s="2757" t="s">
        <v>2055</v>
      </c>
      <c r="M57" s="2758"/>
      <c r="N57" s="2759">
        <f ca="1">SUMIF(M52:M56,"&lt;9e307")</f>
        <v>10854</v>
      </c>
      <c r="O57" s="2760"/>
      <c r="P57" s="2920">
        <f ca="1">N57/M49</f>
        <v>0.57599235831033746</v>
      </c>
    </row>
    <row r="58" spans="1:35" ht="24.75">
      <c r="A58" s="2559" t="s">
        <v>2039</v>
      </c>
      <c r="B58" s="3230" t="s">
        <v>2056</v>
      </c>
      <c r="C58" s="3229"/>
      <c r="D58" s="2548">
        <f ca="1">IF(H58="转让取得",C81,C97)</f>
        <v>10666</v>
      </c>
      <c r="E58" s="2558" t="s">
        <v>2051</v>
      </c>
      <c r="F58" s="308" t="s">
        <v>34</v>
      </c>
      <c r="G58" s="2782"/>
      <c r="H58" s="2785"/>
      <c r="I58" s="1995"/>
      <c r="J58" s="3206"/>
      <c r="K58" s="3206"/>
      <c r="L58" s="2757" t="s">
        <v>2057</v>
      </c>
      <c r="M58" s="2761"/>
      <c r="N58" s="2762" t="str">
        <f ca="1">NUMBERSTRING(INT(N57*10000),2)&amp;"元整"</f>
        <v>壹亿零捌佰伍拾肆万元整</v>
      </c>
      <c r="O58" s="2763"/>
    </row>
    <row r="59" spans="1:35" ht="24.75" thickBot="1">
      <c r="A59" s="3210" t="s">
        <v>2058</v>
      </c>
      <c r="B59" s="3211"/>
      <c r="C59" s="3211"/>
      <c r="D59" s="2787">
        <f ca="1">IF(H59="非个人房产","——",IF(H59="个人住宅（满五唯一有凭证）",0,IF(H59="个人其他（无凭证）",ROUND(D45*F59,0),ROUND(C67*F59,0))))</f>
        <v>179</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2877</v>
      </c>
      <c r="J59" s="3208">
        <f>J57+1</f>
        <v>6</v>
      </c>
      <c r="K59" s="3206" t="s">
        <v>2059</v>
      </c>
      <c r="L59" s="2750" t="s">
        <v>2055</v>
      </c>
      <c r="M59" s="2764"/>
      <c r="N59" s="2765">
        <f ca="1">M49-N57</f>
        <v>7990</v>
      </c>
      <c r="O59" s="2766"/>
    </row>
    <row r="60" spans="1:35" ht="12" customHeight="1">
      <c r="A60" s="1996"/>
      <c r="B60" s="1934"/>
      <c r="C60" s="1934"/>
      <c r="D60" s="1934"/>
      <c r="E60" s="1764"/>
      <c r="F60" s="1995"/>
      <c r="G60" s="1995"/>
      <c r="H60" s="1997"/>
      <c r="I60" s="134"/>
      <c r="J60" s="3209"/>
      <c r="K60" s="3206"/>
      <c r="L60" s="2757" t="s">
        <v>2057</v>
      </c>
      <c r="M60" s="2761"/>
      <c r="N60" s="2762" t="str">
        <f ca="1">NUMBERSTRING(INT(N59*10000),2)&amp;"元整"</f>
        <v>柒仟玖佰玖拾万元整</v>
      </c>
      <c r="O60" s="2763"/>
    </row>
    <row r="61" spans="1:35" ht="13.5" thickBot="1">
      <c r="A61" s="3268" t="s">
        <v>2060</v>
      </c>
      <c r="B61" s="3268"/>
      <c r="C61" s="3268"/>
      <c r="D61" s="3268"/>
      <c r="E61" s="3268"/>
      <c r="F61" s="1995"/>
      <c r="G61" s="1995"/>
      <c r="H61" s="1997"/>
      <c r="I61" s="134"/>
      <c r="J61" s="2750">
        <f>J59+1</f>
        <v>7</v>
      </c>
      <c r="K61" s="3206" t="s">
        <v>2061</v>
      </c>
      <c r="L61" s="3206"/>
      <c r="M61" s="2767"/>
      <c r="N61" s="2768">
        <f ca="1">ROUND(N59*10000/'数据-汇总表'!E3,0)</f>
        <v>8136</v>
      </c>
      <c r="O61" s="2769"/>
    </row>
    <row r="62" spans="1:35" ht="12.75">
      <c r="A62" s="3225" t="s">
        <v>2062</v>
      </c>
      <c r="B62" s="3226"/>
      <c r="C62" s="2210"/>
      <c r="D62" s="2210" t="s">
        <v>2063</v>
      </c>
      <c r="E62" s="171" t="s">
        <v>2064</v>
      </c>
      <c r="F62" s="1995"/>
      <c r="G62" s="1995"/>
      <c r="H62" s="1997"/>
      <c r="I62" s="134"/>
    </row>
    <row r="63" spans="1:35" ht="12.75">
      <c r="A63" s="178" t="s">
        <v>775</v>
      </c>
      <c r="B63" s="172" t="s">
        <v>2065</v>
      </c>
      <c r="C63" s="2791">
        <f ca="1">ROUND((C64+C65)/(1+'数据-取费表'!C42),0)</f>
        <v>17947</v>
      </c>
      <c r="D63" s="172"/>
      <c r="E63" s="173"/>
      <c r="F63" s="1995"/>
      <c r="G63" s="1995"/>
      <c r="H63" s="1997"/>
      <c r="I63" s="134"/>
      <c r="J63" s="3189" t="s">
        <v>2066</v>
      </c>
      <c r="K63" s="1502" t="s">
        <v>2067</v>
      </c>
      <c r="L63" s="1502">
        <f ca="1">IF(M49&gt;10000,M49*0.5%,IF(AND(M49&gt;1000,M49&lt;=10000),M49*1%,IF(AND(M49&gt;100,M49&lt;=1000),M49*3%,IF(AND(M49&gt;10,M49&lt;=100),M49*5%,M49*8%))))</f>
        <v>94.22</v>
      </c>
      <c r="M63" s="308">
        <f ca="1">ROUND(L63,1)</f>
        <v>94.2</v>
      </c>
      <c r="N63" s="2770"/>
      <c r="Z63" s="1939"/>
      <c r="AI63" s="1940"/>
    </row>
    <row r="64" spans="1:35" ht="14.25" customHeight="1">
      <c r="A64" s="174" t="s">
        <v>770</v>
      </c>
      <c r="B64" s="175" t="s">
        <v>2068</v>
      </c>
      <c r="C64" s="2792">
        <f ca="1">D45</f>
        <v>18844</v>
      </c>
      <c r="D64" s="175" t="s">
        <v>32</v>
      </c>
      <c r="E64" s="177"/>
      <c r="F64" s="1995"/>
      <c r="G64" s="1995"/>
      <c r="H64" s="1997"/>
      <c r="I64" s="134"/>
      <c r="J64" s="3189"/>
      <c r="K64" s="1502" t="s">
        <v>2069</v>
      </c>
      <c r="L64" s="1502">
        <f ca="1">IF(M49&gt;2000,M49*0.5%,IF(AND(M49&gt;1000,M49&lt;=2000),M49*0.6%,IF(AND(M49&gt;500,M49&lt;=1000),M49*0.7%,IF(AND(M49&gt;200,M49&lt;=500),M49*0.8%,IF(AND(M49&gt;100,M49&lt;=200),M49*0.9%,IF(AND(M49&gt;50,M49&lt;=100),M49*1%,IF(AND(M49&gt;20,M49&lt;=50),M49*1.5%,IF(AND(M49&gt;10,M49&lt;=20),M49*2%,IF(AND(M49&gt;1,M49&lt;=10),M49*2.5%)))))))))</f>
        <v>94.22</v>
      </c>
      <c r="M64" s="308">
        <f t="shared" ref="M64:M65" ca="1" si="1">ROUND(L64,1)</f>
        <v>94.2</v>
      </c>
      <c r="N64" s="2771" t="s">
        <v>2070</v>
      </c>
      <c r="Z64" s="1939"/>
      <c r="AI64" s="1940"/>
    </row>
    <row r="65" spans="1:35" ht="14.25" customHeight="1">
      <c r="A65" s="174" t="s">
        <v>771</v>
      </c>
      <c r="B65" s="175" t="s">
        <v>2071</v>
      </c>
      <c r="C65" s="2793"/>
      <c r="D65" s="175"/>
      <c r="E65" s="177"/>
      <c r="F65" s="1995"/>
      <c r="G65" s="1995"/>
      <c r="H65" s="1997"/>
      <c r="I65" s="134"/>
      <c r="J65" s="3189"/>
      <c r="K65" s="1502" t="s">
        <v>2072</v>
      </c>
      <c r="L65" s="1502">
        <f ca="1">IF(M49&gt;1000,M49*0.1%,IF(AND(M49&gt;500,M49&lt;=1000),M49*0.5%,IF(AND(M49&gt;50,M49&lt;=500),M49*1%,IF(AND(M49&gt;1,M49&lt;=50),M49*1.5%))))</f>
        <v>18.844000000000001</v>
      </c>
      <c r="M65" s="308">
        <f t="shared" ca="1" si="1"/>
        <v>18.8</v>
      </c>
      <c r="N65" s="2771" t="s">
        <v>2070</v>
      </c>
      <c r="Z65" s="1939"/>
      <c r="AI65" s="1940"/>
    </row>
    <row r="66" spans="1:35" ht="14.25" customHeight="1">
      <c r="A66" s="178" t="s">
        <v>772</v>
      </c>
      <c r="B66" s="179" t="s">
        <v>2073</v>
      </c>
      <c r="C66" s="2794"/>
      <c r="D66" s="179" t="s">
        <v>32</v>
      </c>
      <c r="E66" s="1510" t="s">
        <v>1337</v>
      </c>
      <c r="F66" s="1995"/>
      <c r="G66" s="1995"/>
      <c r="H66" s="1997"/>
      <c r="I66" s="134"/>
      <c r="J66" s="3189"/>
      <c r="K66" s="1502" t="s">
        <v>2074</v>
      </c>
      <c r="L66" s="1502">
        <f ca="1">M49*0.5%</f>
        <v>94.22</v>
      </c>
      <c r="M66" s="308">
        <f ca="1">IF(L66&gt;0.5,0.5,ROUND(L66,0))</f>
        <v>0.5</v>
      </c>
      <c r="N66" s="2771" t="s">
        <v>2075</v>
      </c>
      <c r="Z66" s="1939"/>
      <c r="AI66" s="1940"/>
    </row>
    <row r="67" spans="1:35" ht="14.25" customHeight="1">
      <c r="A67" s="178" t="s">
        <v>773</v>
      </c>
      <c r="B67" s="179" t="s">
        <v>2076</v>
      </c>
      <c r="C67" s="2795">
        <f ca="1">C63-C66</f>
        <v>17947</v>
      </c>
      <c r="D67" s="175" t="s">
        <v>32</v>
      </c>
      <c r="E67" s="177"/>
      <c r="F67" s="1995"/>
      <c r="G67" s="1995"/>
      <c r="H67" s="1997"/>
      <c r="I67" s="134"/>
      <c r="J67" s="3189"/>
      <c r="K67" s="1502" t="s">
        <v>2077</v>
      </c>
      <c r="L67" s="1502">
        <f ca="1">IF(M49&gt;=10000,(8.25+(M49-10000)*0.01%),IF(AND(M49&gt;=8000,M49&lt;10000),(7.85+(M49-8000)*0.02%),IF(AND(M49&gt;=5000,M49&lt;8000),(6.65+(M49-5000)*0.04%),IF(AND(M49&gt;=2000,M49&lt;5000),(4.25+(PM49-2000)*0.08%),IF(AND(M49&gt;=1000,M49&lt;2000),(2.75+(M49-1000)*0.15%),IF(AND(M49&gt;=100,M49&lt;1000),(0.5+(M49-100)*0.25%),IF(AND(M49&gt;0,M49&lt;100),M49*0.5%)))))))</f>
        <v>9.1343999999999994</v>
      </c>
      <c r="M67" s="308">
        <f ca="1">ROUND(L67*0.9,1)</f>
        <v>8.1999999999999993</v>
      </c>
      <c r="N67" s="2770"/>
      <c r="Z67" s="1939"/>
      <c r="AI67" s="1940"/>
    </row>
    <row r="68" spans="1:35" ht="14.25" customHeight="1" thickBot="1">
      <c r="A68" s="181" t="s">
        <v>774</v>
      </c>
      <c r="B68" s="182" t="s">
        <v>2078</v>
      </c>
      <c r="C68" s="2796">
        <f ca="1">IF(C67&lt;=0,0,ROUND(C67*D68,0))</f>
        <v>1005</v>
      </c>
      <c r="D68" s="2797">
        <f>'数据-取费表'!B41</f>
        <v>5.6000000000000001E-2</v>
      </c>
      <c r="E68" s="184"/>
      <c r="F68" s="1995"/>
      <c r="G68" s="1995"/>
      <c r="H68" s="1997"/>
      <c r="I68" s="134"/>
      <c r="J68" s="3189"/>
      <c r="K68" s="1502" t="s">
        <v>2079</v>
      </c>
      <c r="L68" s="1502">
        <f ca="1">IF(M49&gt;10000,M49*0.5%,IF(AND(M49&gt;5000,M49&lt;=10000),M49*1%,IF(AND(M49&gt;1000,M49&lt;=5000),M49*2%,IF(AND(M49&gt;200,M49&lt;=1000),M49*3%,M49*5%))))</f>
        <v>94.22</v>
      </c>
      <c r="M68" s="308">
        <f ca="1">ROUND(L68,1)</f>
        <v>94.2</v>
      </c>
      <c r="N68" s="2770"/>
      <c r="Z68" s="1939"/>
      <c r="AI68" s="1940"/>
    </row>
    <row r="69" spans="1:35" s="1959" customFormat="1" ht="16.5" customHeight="1">
      <c r="A69" s="1998"/>
      <c r="B69" s="1999"/>
      <c r="C69" s="2000"/>
      <c r="D69" s="2001"/>
      <c r="E69" s="2002"/>
      <c r="F69" s="1764"/>
      <c r="G69" s="1764"/>
      <c r="H69" s="1763"/>
      <c r="I69" s="1934"/>
      <c r="J69" s="3189"/>
      <c r="K69" s="1502" t="s">
        <v>2080</v>
      </c>
      <c r="L69" s="1502"/>
      <c r="M69" s="308">
        <f ca="1">ROUND(SUM(M63:M68),0)</f>
        <v>310</v>
      </c>
      <c r="N69" s="2772">
        <f ca="1">M69/M49</f>
        <v>1.6450859690087031E-2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3" t="s">
        <v>2081</v>
      </c>
      <c r="B70" s="3234"/>
      <c r="C70" s="3234"/>
      <c r="D70" s="3234"/>
      <c r="E70" s="3234"/>
      <c r="F70" s="3234"/>
      <c r="G70" s="3234"/>
      <c r="H70" s="3234"/>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5" t="s">
        <v>2062</v>
      </c>
      <c r="B71" s="3226"/>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17947</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108</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230" t="s">
        <v>2089</v>
      </c>
      <c r="F76" s="3229"/>
      <c r="G76" s="3229"/>
      <c r="H76" s="3232"/>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108</v>
      </c>
      <c r="D78" s="2804">
        <f>'数据-取费表'!B43</f>
        <v>6.000000000000001E-3</v>
      </c>
      <c r="E78" s="3222" t="s">
        <v>2093</v>
      </c>
      <c r="F78" s="3223"/>
      <c r="G78" s="3223"/>
      <c r="H78" s="3224"/>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17839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165.17592592592592</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10666</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3" t="s">
        <v>2097</v>
      </c>
      <c r="B83" s="3234"/>
      <c r="C83" s="3234"/>
      <c r="D83" s="3234"/>
      <c r="E83" s="3234"/>
      <c r="F83" s="3234"/>
      <c r="G83" s="3234"/>
      <c r="H83" s="3234"/>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5" t="s">
        <v>2062</v>
      </c>
      <c r="B84" s="3226"/>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17947</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108</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191" t="s">
        <v>2869</v>
      </c>
      <c r="H90" s="3192"/>
      <c r="I90" s="2008"/>
      <c r="J90" s="2748"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222" t="s">
        <v>2106</v>
      </c>
      <c r="F91" s="3223"/>
      <c r="G91" s="322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222" t="s">
        <v>2109</v>
      </c>
      <c r="F92" s="3223"/>
      <c r="G92" s="3223"/>
      <c r="H92" s="3224"/>
      <c r="I92" s="2008"/>
      <c r="J92" s="2749"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108</v>
      </c>
      <c r="D93" s="2804">
        <f>'数据-取费表'!B43</f>
        <v>6.000000000000001E-3</v>
      </c>
      <c r="E93" s="3222" t="s">
        <v>2093</v>
      </c>
      <c r="F93" s="3223"/>
      <c r="G93" s="3223"/>
      <c r="H93" s="3224"/>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270" t="s">
        <v>2113</v>
      </c>
      <c r="F94" s="3271"/>
      <c r="G94" s="3271"/>
      <c r="H94" s="3272"/>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17839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165.17592592592592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10666</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2114</v>
      </c>
      <c r="B99" s="1934"/>
      <c r="C99" s="1934"/>
      <c r="D99" s="1934"/>
      <c r="E99" s="1764"/>
      <c r="F99" s="1764"/>
      <c r="G99" s="1764"/>
      <c r="H99" s="1763"/>
      <c r="I99" s="134"/>
    </row>
    <row r="100" spans="1:35" ht="18.75" customHeight="1">
      <c r="A100" s="3172" t="s">
        <v>2115</v>
      </c>
      <c r="B100" s="3173"/>
      <c r="C100" s="3173"/>
      <c r="D100" s="3207"/>
      <c r="E100" s="3173" t="s">
        <v>2116</v>
      </c>
      <c r="F100" s="3173"/>
      <c r="G100" s="3173"/>
      <c r="H100" s="3207"/>
      <c r="I100" s="134"/>
    </row>
    <row r="101" spans="1:35" ht="18.75" customHeight="1">
      <c r="A101" s="3215" t="s">
        <v>2117</v>
      </c>
      <c r="B101" s="3216"/>
      <c r="C101" s="2812" t="str">
        <f>C4</f>
        <v>典型户型修正</v>
      </c>
      <c r="D101" s="2813" t="str">
        <f>D4</f>
        <v>收益法</v>
      </c>
      <c r="E101" s="3185" t="s">
        <v>2118</v>
      </c>
      <c r="F101" s="3186"/>
      <c r="G101" s="2014" t="s">
        <v>2119</v>
      </c>
      <c r="H101" s="2822">
        <f ca="1">H118</f>
        <v>18844</v>
      </c>
      <c r="I101" s="134"/>
    </row>
    <row r="102" spans="1:35" ht="18.75" customHeight="1">
      <c r="A102" s="3217" t="s">
        <v>2120</v>
      </c>
      <c r="B102" s="2811" t="s">
        <v>2119</v>
      </c>
      <c r="C102" s="2812">
        <f ca="1">C19</f>
        <v>23283</v>
      </c>
      <c r="D102" s="2813">
        <f ca="1">D19</f>
        <v>15885</v>
      </c>
      <c r="E102" s="3185"/>
      <c r="F102" s="3186"/>
      <c r="G102" s="2014" t="s">
        <v>2121</v>
      </c>
      <c r="H102" s="2782">
        <f ca="1">I118</f>
        <v>19188</v>
      </c>
      <c r="I102" s="134"/>
    </row>
    <row r="103" spans="1:35" ht="42.75" customHeight="1">
      <c r="A103" s="3217"/>
      <c r="B103" s="2811" t="s">
        <v>2121</v>
      </c>
      <c r="C103" s="2814">
        <f ca="1">C20</f>
        <v>31930</v>
      </c>
      <c r="D103" s="2815">
        <f ca="1">D20</f>
        <v>16175</v>
      </c>
      <c r="E103" s="3178" t="s">
        <v>2122</v>
      </c>
      <c r="F103" s="3179"/>
      <c r="G103" s="2015" t="s">
        <v>2123</v>
      </c>
      <c r="H103" s="2822">
        <f>IF(D36="正常操作",H104+H105+H106,H105+H106)</f>
        <v>0</v>
      </c>
      <c r="I103" s="134"/>
    </row>
    <row r="104" spans="1:35" ht="18.75" customHeight="1">
      <c r="A104" s="3217" t="s">
        <v>2124</v>
      </c>
      <c r="B104" s="2816" t="s">
        <v>2119</v>
      </c>
      <c r="C104" s="2817">
        <f ca="1">H118</f>
        <v>18844</v>
      </c>
      <c r="D104" s="2818"/>
      <c r="E104" s="1861" t="s">
        <v>2125</v>
      </c>
      <c r="F104" s="1852"/>
      <c r="G104" s="2015" t="s">
        <v>2123</v>
      </c>
      <c r="H104" s="2823">
        <f>IF(D36="同一抵押权人同一抵押物续贷",C36&amp;"（续贷，未扣减，详见特别提示）",C36)</f>
        <v>0</v>
      </c>
      <c r="I104" s="134"/>
    </row>
    <row r="105" spans="1:35" ht="18.75" customHeight="1" thickBot="1">
      <c r="A105" s="3227"/>
      <c r="B105" s="2819" t="s">
        <v>2121</v>
      </c>
      <c r="C105" s="2820">
        <f ca="1">I118</f>
        <v>19188</v>
      </c>
      <c r="D105" s="2821"/>
      <c r="E105" s="1861" t="s">
        <v>2126</v>
      </c>
      <c r="F105" s="1852"/>
      <c r="G105" s="2015" t="s">
        <v>2123</v>
      </c>
      <c r="H105" s="2824">
        <f>C37</f>
        <v>0</v>
      </c>
      <c r="I105" s="134"/>
    </row>
    <row r="106" spans="1:35" ht="18.75" customHeight="1">
      <c r="A106" s="1934" t="s">
        <v>2127</v>
      </c>
      <c r="B106" s="1934"/>
      <c r="C106" s="1934"/>
      <c r="D106" s="1934"/>
      <c r="E106" s="2016" t="s">
        <v>2128</v>
      </c>
      <c r="F106" s="1852"/>
      <c r="G106" s="2015" t="s">
        <v>2123</v>
      </c>
      <c r="H106" s="2824">
        <f>C38</f>
        <v>0</v>
      </c>
      <c r="I106" s="134"/>
    </row>
    <row r="107" spans="1:35" ht="18.75" customHeight="1">
      <c r="A107" s="134"/>
      <c r="B107" s="134"/>
      <c r="C107" s="134"/>
      <c r="D107" s="134"/>
      <c r="E107" s="3218" t="str">
        <f>IF(项目基本情况!E8="已注销","——","3.房地产抵押价值")</f>
        <v>3.房地产抵押价值</v>
      </c>
      <c r="F107" s="3186"/>
      <c r="G107" s="2014" t="s">
        <v>2119</v>
      </c>
      <c r="H107" s="2822">
        <f ca="1">IF(E107="——","——",H101-H103)</f>
        <v>18844</v>
      </c>
      <c r="I107" s="134"/>
    </row>
    <row r="108" spans="1:35" ht="18.75" customHeight="1">
      <c r="A108" s="134"/>
      <c r="B108" s="134"/>
      <c r="C108" s="134"/>
      <c r="D108" s="134"/>
      <c r="E108" s="3218"/>
      <c r="F108" s="3186"/>
      <c r="G108" s="2014" t="s">
        <v>2121</v>
      </c>
      <c r="H108" s="2782">
        <f ca="1">ROUND(H107*10000/'数据-汇总表'!E3,0)</f>
        <v>19188</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186"/>
      <c r="G109" s="2014" t="s">
        <v>2119</v>
      </c>
      <c r="H109" s="2825" t="str">
        <f>IF(E109="——","——",H101-H105-H106)</f>
        <v>——</v>
      </c>
      <c r="I109" s="134"/>
    </row>
    <row r="110" spans="1:35" ht="18.75" customHeight="1">
      <c r="A110" s="134"/>
      <c r="B110" s="134"/>
      <c r="C110" s="134"/>
      <c r="D110" s="134"/>
      <c r="E110" s="3218"/>
      <c r="F110" s="3186"/>
      <c r="G110" s="2014" t="s">
        <v>2121</v>
      </c>
      <c r="H110" s="2782" t="str">
        <f>IF(H109="——","——",ROUND(H109*10000/'数据-汇总表'!E3,0))</f>
        <v>——</v>
      </c>
      <c r="I110" s="134"/>
    </row>
    <row r="111" spans="1:35" ht="18.75" customHeight="1">
      <c r="A111" s="134"/>
      <c r="B111" s="134"/>
      <c r="C111" s="134"/>
      <c r="D111" s="134"/>
      <c r="E111" s="3219" t="str">
        <f>IF(项目基本情况!E9="抵押净值",IF(OR(项目基本情况!E8="已注销",项目基本情况!E8="房地产抵押价值"),"4.抵押净值","5.抵押净值"),"——")</f>
        <v>——</v>
      </c>
      <c r="F111" s="3205"/>
      <c r="G111" s="2014" t="s">
        <v>2119</v>
      </c>
      <c r="H111" s="2822" t="str">
        <f>IF(E111="——","——",N59)</f>
        <v>——</v>
      </c>
      <c r="I111" s="134"/>
    </row>
    <row r="112" spans="1:35" ht="18.75" customHeight="1" thickBot="1">
      <c r="A112" s="134"/>
      <c r="B112" s="134"/>
      <c r="C112" s="134"/>
      <c r="D112" s="134"/>
      <c r="E112" s="3220"/>
      <c r="F112" s="3221"/>
      <c r="G112" s="2017" t="s">
        <v>2121</v>
      </c>
      <c r="H112" s="2826" t="str">
        <f>IF(E111="——","——",N61)</f>
        <v>——</v>
      </c>
      <c r="I112" s="134"/>
    </row>
    <row r="113" spans="1:27" ht="18.75" customHeight="1">
      <c r="A113" s="134"/>
      <c r="B113" s="134"/>
      <c r="C113" s="134"/>
      <c r="D113" s="134"/>
      <c r="E113" s="3228" t="s">
        <v>2127</v>
      </c>
      <c r="F113" s="3228"/>
      <c r="G113" s="3228"/>
      <c r="H113" s="3228"/>
      <c r="I113" s="134"/>
    </row>
    <row r="114" spans="1:27" ht="3.75" customHeight="1">
      <c r="A114" s="1934"/>
      <c r="B114" s="1934"/>
      <c r="C114" s="1934"/>
      <c r="D114" s="1934"/>
      <c r="E114" s="1996"/>
      <c r="F114" s="1996"/>
      <c r="G114" s="1996"/>
      <c r="H114" s="1996"/>
      <c r="I114" s="1934"/>
    </row>
    <row r="115" spans="1:27" ht="18.75" customHeight="1">
      <c r="A115" s="3239" t="s">
        <v>2129</v>
      </c>
      <c r="B115" s="3240"/>
      <c r="C115" s="3240"/>
      <c r="D115" s="3240"/>
      <c r="E115" s="3240"/>
      <c r="F115" s="3240"/>
      <c r="G115" s="3240"/>
      <c r="H115" s="3240"/>
      <c r="I115" s="3241"/>
    </row>
    <row r="116" spans="1:27" ht="27" customHeight="1">
      <c r="A116" s="3193" t="s">
        <v>2130</v>
      </c>
      <c r="B116" s="3197" t="s">
        <v>2131</v>
      </c>
      <c r="C116" s="3197" t="s">
        <v>2132</v>
      </c>
      <c r="D116" s="3203" t="s">
        <v>2133</v>
      </c>
      <c r="E116" s="3204"/>
      <c r="F116" s="3235" t="s">
        <v>2134</v>
      </c>
      <c r="G116" s="3235"/>
      <c r="H116" s="3193" t="s">
        <v>2135</v>
      </c>
      <c r="I116" s="3193"/>
    </row>
    <row r="117" spans="1:27" ht="18.75" customHeight="1">
      <c r="A117" s="3193"/>
      <c r="B117" s="3198"/>
      <c r="C117" s="3198"/>
      <c r="D117" s="2553" t="s">
        <v>2136</v>
      </c>
      <c r="E117" s="2553" t="s">
        <v>2137</v>
      </c>
      <c r="F117" s="2553" t="s">
        <v>2136</v>
      </c>
      <c r="G117" s="2553" t="s">
        <v>2138</v>
      </c>
      <c r="H117" s="2553" t="s">
        <v>2136</v>
      </c>
      <c r="I117" s="2553" t="s">
        <v>2138</v>
      </c>
    </row>
    <row r="118" spans="1:27" ht="24.75" customHeight="1">
      <c r="A118" s="2827" t="str">
        <f>项目基本情况!S2</f>
        <v>北京市房地产</v>
      </c>
      <c r="B118" s="2553">
        <f>M18</f>
        <v>9820.56</v>
      </c>
      <c r="C118" s="2553">
        <f>M19</f>
        <v>4000.72</v>
      </c>
      <c r="D118" s="2553">
        <f ca="1">ROUND(IF(D32="总价",C34,E118*B118/10000),0)</f>
        <v>11570</v>
      </c>
      <c r="E118" s="2553">
        <f ca="1">ROUND(IF(C33="自定义",IF(D32="楼面单价",C34,D118*10000/B118),I118-G118),0)</f>
        <v>11781</v>
      </c>
      <c r="F118" s="2553">
        <f ca="1">ROUND(IF(D32="总价",C35,G118*B118/10000),0)</f>
        <v>7274</v>
      </c>
      <c r="G118" s="2553">
        <f ca="1">ROUND(IF(D32="楼面单价",C35,F118*10000/B118),0)</f>
        <v>7407</v>
      </c>
      <c r="H118" s="2553">
        <f ca="1">ROUND(IF(D32="总价",C32,I118*B118/10000),0)</f>
        <v>18844</v>
      </c>
      <c r="I118" s="2553">
        <f ca="1">ROUND(IF(D32="楼面单价",C32,H118*10000/B118),0)</f>
        <v>19188</v>
      </c>
    </row>
    <row r="119" spans="1:27" ht="18.75" customHeight="1">
      <c r="A119" s="3193" t="s">
        <v>2139</v>
      </c>
      <c r="B119" s="3193"/>
      <c r="C119" s="3193"/>
      <c r="D119" s="3199" t="str">
        <f ca="1">NUMBERSTRING(INT(D118*10000),2)&amp;"元整"</f>
        <v>壹亿壹仟伍佰柒拾万元整</v>
      </c>
      <c r="E119" s="3200"/>
      <c r="F119" s="3199" t="str">
        <f ca="1">NUMBERSTRING(INT(F118*10000),2)&amp;"元整"</f>
        <v>柒仟贰佰柒拾肆万元整</v>
      </c>
      <c r="G119" s="3200"/>
      <c r="H119" s="3199" t="str">
        <f ca="1">NUMBERSTRING(INT(H118*10000),2)&amp;"元整"</f>
        <v>壹亿捌仟捌佰肆拾肆万元整</v>
      </c>
      <c r="I119" s="3200"/>
    </row>
    <row r="120" spans="1:27" ht="18.75" customHeight="1">
      <c r="A120" s="3194" t="str">
        <f>IF(项目基本情况!B9="房地产市场价值","",MID(E103,3,LEN(E103)-2))</f>
        <v>估价师知悉的法定优先受偿款</v>
      </c>
      <c r="B120" s="3195"/>
      <c r="C120" s="3196"/>
      <c r="D120" s="3194">
        <f>H103</f>
        <v>0</v>
      </c>
      <c r="E120" s="3195"/>
      <c r="F120" s="3195"/>
      <c r="G120" s="3195"/>
      <c r="H120" s="3195"/>
      <c r="I120" s="3196"/>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6" t="s">
        <v>2139</v>
      </c>
      <c r="B121" s="3237"/>
      <c r="C121" s="3238"/>
      <c r="D121" s="3199" t="str">
        <f>IF(D120=0,"零元整",NUMBERSTRING(INT(D120*10000),2)&amp;"元整")</f>
        <v>零元整</v>
      </c>
      <c r="E121" s="3201"/>
      <c r="F121" s="3201"/>
      <c r="G121" s="3201"/>
      <c r="H121" s="3201"/>
      <c r="I121" s="3200"/>
      <c r="AA121" s="734"/>
    </row>
    <row r="122" spans="1:27" ht="18.75" customHeight="1">
      <c r="A122" s="3205" t="str">
        <f>IF(项目基本情况!B9="房地产市场价值","",MID(E107,3,LEN(E107)-2))</f>
        <v>房地产抵押价值</v>
      </c>
      <c r="B122" s="3205"/>
      <c r="C122" s="3205"/>
      <c r="D122" s="3194">
        <f ca="1">H107</f>
        <v>18844</v>
      </c>
      <c r="E122" s="3195"/>
      <c r="F122" s="3195"/>
      <c r="G122" s="3195"/>
      <c r="H122" s="3195"/>
      <c r="I122" s="3196"/>
      <c r="AA122" s="734"/>
    </row>
    <row r="123" spans="1:27" ht="18.75" customHeight="1">
      <c r="A123" s="3193" t="s">
        <v>2139</v>
      </c>
      <c r="B123" s="3193"/>
      <c r="C123" s="3193"/>
      <c r="D123" s="3199" t="str">
        <f ca="1">NUMBERSTRING(INT(D122*10000),2)&amp;"元整"</f>
        <v>壹亿捌仟捌佰肆拾肆万元整</v>
      </c>
      <c r="E123" s="3201"/>
      <c r="F123" s="3201"/>
      <c r="G123" s="3201"/>
      <c r="H123" s="3201"/>
      <c r="I123" s="3200"/>
      <c r="AA123" s="734"/>
    </row>
    <row r="124" spans="1:27" ht="18.75" customHeight="1">
      <c r="A124" s="3205" t="str">
        <f>IF(项目基本情况!B9="房地产市场价值","",MID(E109,3,LEN(E109)-2))</f>
        <v/>
      </c>
      <c r="B124" s="3205"/>
      <c r="C124" s="3205"/>
      <c r="D124" s="3194" t="str">
        <f>H109</f>
        <v>——</v>
      </c>
      <c r="E124" s="3195"/>
      <c r="F124" s="3195"/>
      <c r="G124" s="3195"/>
      <c r="H124" s="3195"/>
      <c r="I124" s="3196"/>
      <c r="AA124" s="734"/>
    </row>
    <row r="125" spans="1:27" ht="18.75" customHeight="1">
      <c r="A125" s="3193" t="s">
        <v>2139</v>
      </c>
      <c r="B125" s="3193"/>
      <c r="C125" s="3193"/>
      <c r="D125" s="3199" t="e">
        <f>NUMBERSTRING(INT(D124*10000),2)&amp;"元整"</f>
        <v>#VALUE!</v>
      </c>
      <c r="E125" s="3201"/>
      <c r="F125" s="3201"/>
      <c r="G125" s="3201"/>
      <c r="H125" s="3201"/>
      <c r="I125" s="3200"/>
      <c r="AA125" s="734"/>
    </row>
    <row r="126" spans="1:27" ht="18.75" customHeight="1">
      <c r="A126" s="3205" t="str">
        <f>IF(项目基本情况!B9="房地产市场价值","",MID(E111,3,LEN(E111)-2))</f>
        <v/>
      </c>
      <c r="B126" s="3205"/>
      <c r="C126" s="3205"/>
      <c r="D126" s="3194" t="str">
        <f>H111</f>
        <v>——</v>
      </c>
      <c r="E126" s="3195"/>
      <c r="F126" s="3195"/>
      <c r="G126" s="3195"/>
      <c r="H126" s="3195"/>
      <c r="I126" s="3196"/>
      <c r="AA126" s="734"/>
    </row>
    <row r="127" spans="1:27" ht="18.75" customHeight="1">
      <c r="A127" s="3193" t="s">
        <v>2139</v>
      </c>
      <c r="B127" s="3193"/>
      <c r="C127" s="3193"/>
      <c r="D127" s="3199" t="e">
        <f>NUMBERSTRING(INT(D126*10000),2)&amp;"元整"</f>
        <v>#VALUE!</v>
      </c>
      <c r="E127" s="3201"/>
      <c r="F127" s="3201"/>
      <c r="G127" s="3201"/>
      <c r="H127" s="3201"/>
      <c r="I127" s="3200"/>
      <c r="AA127" s="734"/>
    </row>
    <row r="128" spans="1:27" ht="21.75" customHeight="1">
      <c r="A128" s="3202" t="s">
        <v>2140</v>
      </c>
      <c r="B128" s="3202"/>
      <c r="C128" s="3202"/>
      <c r="D128" s="3202"/>
      <c r="E128" s="3202"/>
      <c r="F128" s="3202"/>
      <c r="G128" s="3202"/>
      <c r="H128" s="3202"/>
      <c r="I128" s="3202"/>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K26" sqref="K2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2508</v>
      </c>
      <c r="C1" s="1391" t="s">
        <v>2352</v>
      </c>
      <c r="D1" s="1392" t="s">
        <v>27</v>
      </c>
      <c r="E1" s="1401"/>
      <c r="F1" s="2066" t="s">
        <v>3190</v>
      </c>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f>IF(C2="——",ROUND(C50*D3/10000,0),ROUND(C50*D3/10000,0)-D2)</f>
        <v>34632</v>
      </c>
      <c r="C2" s="2068" t="s">
        <v>70</v>
      </c>
      <c r="D2" s="1274" t="e">
        <f ca="1">SUMIF(INDIRECT("'"&amp;F2&amp;"'"&amp;"!A:A"),"承租人权益价值",INDIRECT("'"&amp;F2&amp;"'"&amp;"!c:c"))</f>
        <v>#REF!</v>
      </c>
      <c r="E2" s="2069" t="s">
        <v>2150</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35265</v>
      </c>
      <c r="C3" s="360" t="s">
        <v>2466</v>
      </c>
      <c r="D3" s="359">
        <f>IF(D1="",'数据-汇总表'!E3,SUMIF('数据-汇总表'!$C19:$C33,D1,'数据-汇总表'!$E19:$E33))</f>
        <v>9820.56</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2467</v>
      </c>
      <c r="B4" s="362"/>
      <c r="C4" s="3297" t="s">
        <v>2468</v>
      </c>
      <c r="D4" s="3298"/>
      <c r="E4" s="3299" t="s">
        <v>2469</v>
      </c>
      <c r="F4" s="3300"/>
      <c r="G4" s="3297" t="s">
        <v>2470</v>
      </c>
      <c r="H4" s="3298"/>
      <c r="I4" s="3297" t="s">
        <v>2471</v>
      </c>
      <c r="J4" s="3298"/>
      <c r="K4" s="567" t="s">
        <v>2472</v>
      </c>
      <c r="L4" s="2945"/>
      <c r="M4" s="2946"/>
      <c r="N4" s="2946"/>
      <c r="O4" s="2946"/>
      <c r="P4" s="3301" t="s">
        <v>2473</v>
      </c>
      <c r="Q4" s="3302"/>
      <c r="R4" s="3280" t="s">
        <v>2469</v>
      </c>
      <c r="S4" s="3281"/>
      <c r="T4" s="3280" t="s">
        <v>2470</v>
      </c>
      <c r="U4" s="3281"/>
      <c r="V4" s="3309" t="s">
        <v>2471</v>
      </c>
      <c r="W4" s="3309"/>
      <c r="X4" s="2145"/>
      <c r="Y4" s="3280" t="s">
        <v>2473</v>
      </c>
      <c r="Z4" s="3281"/>
      <c r="AA4" s="3275" t="s">
        <v>2469</v>
      </c>
      <c r="AB4" s="3275" t="s">
        <v>2470</v>
      </c>
      <c r="AC4" s="3294" t="s">
        <v>2471</v>
      </c>
    </row>
    <row r="5" spans="1:29" ht="15" customHeight="1">
      <c r="A5" s="364"/>
      <c r="B5" s="365"/>
      <c r="C5" s="3286" t="s">
        <v>2364</v>
      </c>
      <c r="D5" s="3287"/>
      <c r="E5" s="3284" t="s">
        <v>3269</v>
      </c>
      <c r="F5" s="3285"/>
      <c r="G5" s="3290" t="s">
        <v>3180</v>
      </c>
      <c r="H5" s="3285"/>
      <c r="I5" s="3290" t="s">
        <v>3181</v>
      </c>
      <c r="J5" s="3285"/>
      <c r="K5" s="567"/>
      <c r="L5" s="2945"/>
      <c r="M5" s="2946"/>
      <c r="N5" s="2946"/>
      <c r="O5" s="2946"/>
      <c r="P5" s="3303"/>
      <c r="Q5" s="3304"/>
      <c r="R5" s="3282"/>
      <c r="S5" s="3283"/>
      <c r="T5" s="3282"/>
      <c r="U5" s="3283"/>
      <c r="V5" s="3310"/>
      <c r="W5" s="3310"/>
      <c r="X5" s="1540"/>
      <c r="Y5" s="3282"/>
      <c r="Z5" s="3283"/>
      <c r="AA5" s="3276"/>
      <c r="AB5" s="3276"/>
      <c r="AC5" s="3295"/>
    </row>
    <row r="6" spans="1:29" ht="15.75" thickBot="1">
      <c r="A6" s="366"/>
      <c r="B6" s="367"/>
      <c r="C6" s="3288" t="s">
        <v>2368</v>
      </c>
      <c r="D6" s="3289"/>
      <c r="E6" s="3291" t="s">
        <v>2368</v>
      </c>
      <c r="F6" s="3292"/>
      <c r="G6" s="3288" t="s">
        <v>2368</v>
      </c>
      <c r="H6" s="3289"/>
      <c r="I6" s="3288" t="s">
        <v>2368</v>
      </c>
      <c r="J6" s="3289"/>
      <c r="K6" s="567" t="s">
        <v>2369</v>
      </c>
      <c r="L6" s="2945"/>
      <c r="M6" s="2946"/>
      <c r="N6" s="2946"/>
      <c r="O6" s="2946"/>
      <c r="P6" s="3305"/>
      <c r="Q6" s="3306"/>
      <c r="R6" s="3282"/>
      <c r="S6" s="3283"/>
      <c r="T6" s="3307"/>
      <c r="U6" s="3308"/>
      <c r="V6" s="3310"/>
      <c r="W6" s="3310"/>
      <c r="X6" s="1540"/>
      <c r="Y6" s="3307"/>
      <c r="Z6" s="3308"/>
      <c r="AA6" s="3277"/>
      <c r="AB6" s="3277"/>
      <c r="AC6" s="3296"/>
    </row>
    <row r="7" spans="1:29" s="113" customFormat="1" ht="15.75" thickBot="1">
      <c r="A7" s="368" t="s">
        <v>2370</v>
      </c>
      <c r="B7" s="369"/>
      <c r="C7" s="370">
        <f>'数据-取费表'!B2</f>
        <v>44166</v>
      </c>
      <c r="D7" s="371">
        <v>100</v>
      </c>
      <c r="E7" s="372">
        <v>43713</v>
      </c>
      <c r="F7" s="373">
        <f>SUMIF(59:59,YEAR(E7)&amp;"-"&amp;MONTH(E7),60:60)</f>
        <v>100</v>
      </c>
      <c r="G7" s="372">
        <v>44152</v>
      </c>
      <c r="H7" s="371">
        <f>SUMIF(59:59,YEAR(G7)&amp;"-"&amp;MONTH(G7),60:60)</f>
        <v>100</v>
      </c>
      <c r="I7" s="372">
        <v>44021</v>
      </c>
      <c r="J7" s="371">
        <f>SUMIF(59:59,YEAR(I7)&amp;"-"&amp;MONTH(I7),60:60)</f>
        <v>100</v>
      </c>
      <c r="K7" s="568"/>
      <c r="L7" s="2947"/>
      <c r="M7" s="2948"/>
      <c r="N7" s="2948"/>
      <c r="O7" s="2948"/>
      <c r="P7" s="3311" t="s">
        <v>2371</v>
      </c>
      <c r="Q7" s="3312"/>
      <c r="R7" s="710" t="s">
        <v>17</v>
      </c>
      <c r="S7" s="711">
        <f t="shared" ref="S7:S15" si="0">F7</f>
        <v>100</v>
      </c>
      <c r="T7" s="710" t="s">
        <v>17</v>
      </c>
      <c r="U7" s="711">
        <f t="shared" ref="U7:U15" si="1">H7</f>
        <v>100</v>
      </c>
      <c r="V7" s="710" t="s">
        <v>17</v>
      </c>
      <c r="W7" s="711">
        <f t="shared" ref="W7:W15" si="2">J7</f>
        <v>100</v>
      </c>
      <c r="X7" s="712"/>
      <c r="Y7" s="3278" t="s">
        <v>2371</v>
      </c>
      <c r="Z7" s="3279"/>
      <c r="AA7" s="713">
        <f>D7/F7</f>
        <v>1</v>
      </c>
      <c r="AB7" s="713">
        <f>D7/H7</f>
        <v>1</v>
      </c>
      <c r="AC7" s="2146">
        <f>D7/J7</f>
        <v>1</v>
      </c>
    </row>
    <row r="8" spans="1:29" s="113" customFormat="1" ht="15.75" thickBot="1">
      <c r="A8" s="368" t="s">
        <v>2372</v>
      </c>
      <c r="B8" s="369"/>
      <c r="C8" s="374" t="s">
        <v>2474</v>
      </c>
      <c r="D8" s="371">
        <v>100</v>
      </c>
      <c r="E8" s="374" t="s">
        <v>3178</v>
      </c>
      <c r="F8" s="373">
        <f>SUMIF(62:62,E8,63:63)-SUMIF(62:62,C8,63:63)+100</f>
        <v>100</v>
      </c>
      <c r="G8" s="374" t="s">
        <v>3178</v>
      </c>
      <c r="H8" s="371">
        <f>SUMIF(62:62,G8,63:63)-SUMIF(62:62,C8,63:63)+100</f>
        <v>100</v>
      </c>
      <c r="I8" s="374" t="s">
        <v>3178</v>
      </c>
      <c r="J8" s="371">
        <f>SUMIF(62:62,I8,63:63)-SUMIF(62:62,C8,63:63)+100</f>
        <v>100</v>
      </c>
      <c r="K8" s="568"/>
      <c r="L8" s="2947"/>
      <c r="M8" s="2948"/>
      <c r="N8" s="2948"/>
      <c r="O8" s="2948"/>
      <c r="P8" s="3311" t="s">
        <v>2374</v>
      </c>
      <c r="Q8" s="3279"/>
      <c r="R8" s="710" t="s">
        <v>17</v>
      </c>
      <c r="S8" s="711">
        <f t="shared" si="0"/>
        <v>100</v>
      </c>
      <c r="T8" s="710" t="s">
        <v>17</v>
      </c>
      <c r="U8" s="711">
        <f t="shared" si="1"/>
        <v>100</v>
      </c>
      <c r="V8" s="710" t="s">
        <v>17</v>
      </c>
      <c r="W8" s="711">
        <f t="shared" si="2"/>
        <v>100</v>
      </c>
      <c r="X8" s="712"/>
      <c r="Y8" s="3278" t="s">
        <v>2374</v>
      </c>
      <c r="Z8" s="3279"/>
      <c r="AA8" s="713">
        <f t="shared" ref="AA8:AA47" si="3">D8/F8</f>
        <v>1</v>
      </c>
      <c r="AB8" s="713">
        <f t="shared" ref="AB8:AB47" si="4">D8/H8</f>
        <v>1</v>
      </c>
      <c r="AC8" s="2146">
        <f t="shared" ref="AC8:AC47" si="5">D8/J8</f>
        <v>1</v>
      </c>
    </row>
    <row r="9" spans="1:29" s="113" customFormat="1" ht="15">
      <c r="A9" s="375" t="s">
        <v>2375</v>
      </c>
      <c r="B9" s="67" t="s">
        <v>2376</v>
      </c>
      <c r="C9" s="3064" t="s">
        <v>3253</v>
      </c>
      <c r="D9" s="131">
        <v>100</v>
      </c>
      <c r="E9" s="379" t="s">
        <v>27</v>
      </c>
      <c r="F9" s="131">
        <f>SUMIF(64:64,E9,65:65)-SUMIF(64:64,C9,65:65)+100</f>
        <v>110</v>
      </c>
      <c r="G9" s="377" t="s">
        <v>27</v>
      </c>
      <c r="H9" s="131">
        <f>SUMIF(64:64,G9,65:65)-SUMIF(64:64,C9,65:65)+100</f>
        <v>110</v>
      </c>
      <c r="I9" s="377" t="s">
        <v>27</v>
      </c>
      <c r="J9" s="131">
        <f>SUMIF(64:64,I9,65:65)-SUMIF(64:64,C9,65:65)+100</f>
        <v>110</v>
      </c>
      <c r="K9" s="568"/>
      <c r="L9" s="2947"/>
      <c r="M9" s="2948"/>
      <c r="N9" s="2948"/>
      <c r="O9" s="2948"/>
      <c r="P9" s="3293" t="s">
        <v>2377</v>
      </c>
      <c r="Q9" s="1528" t="str">
        <f t="shared" ref="Q9:Q15" si="6">B9</f>
        <v>用途</v>
      </c>
      <c r="R9" s="710" t="s">
        <v>17</v>
      </c>
      <c r="S9" s="711">
        <f t="shared" si="0"/>
        <v>110</v>
      </c>
      <c r="T9" s="710" t="s">
        <v>17</v>
      </c>
      <c r="U9" s="711">
        <f t="shared" si="1"/>
        <v>110</v>
      </c>
      <c r="V9" s="710" t="s">
        <v>17</v>
      </c>
      <c r="W9" s="711">
        <f t="shared" si="2"/>
        <v>110</v>
      </c>
      <c r="X9" s="712"/>
      <c r="Y9" s="3251" t="s">
        <v>2378</v>
      </c>
      <c r="Z9" s="55" t="str">
        <f t="shared" ref="Z9:Z15" si="7">Q9</f>
        <v>用途</v>
      </c>
      <c r="AA9" s="713">
        <f t="shared" si="3"/>
        <v>0.90909090909090906</v>
      </c>
      <c r="AB9" s="713">
        <f t="shared" si="4"/>
        <v>0.90909090909090906</v>
      </c>
      <c r="AC9" s="2146">
        <f t="shared" si="5"/>
        <v>0.90909090909090906</v>
      </c>
    </row>
    <row r="10" spans="1:29" s="386" customFormat="1" ht="27.75" thickBot="1">
      <c r="A10" s="380"/>
      <c r="B10" s="381" t="s">
        <v>2379</v>
      </c>
      <c r="C10" s="382" t="s">
        <v>3182</v>
      </c>
      <c r="D10" s="132">
        <v>100</v>
      </c>
      <c r="E10" s="382" t="s">
        <v>3182</v>
      </c>
      <c r="F10" s="132">
        <f>SUMIF(66:66,E10,67:67)-SUMIF(66:66,C10,67:67)+100</f>
        <v>100</v>
      </c>
      <c r="G10" s="383" t="s">
        <v>3182</v>
      </c>
      <c r="H10" s="132">
        <f>SUMIF(66:66,G10,67:67)-SUMIF(66:66,C10,67:67)+100</f>
        <v>100</v>
      </c>
      <c r="I10" s="382" t="s">
        <v>3182</v>
      </c>
      <c r="J10" s="132">
        <f>SUMIF(66:66,I10,67:67)-SUMIF(66:66,C10,67:67)+100</f>
        <v>100</v>
      </c>
      <c r="K10" s="569">
        <v>2</v>
      </c>
      <c r="L10" s="2949"/>
      <c r="M10" s="2950"/>
      <c r="N10" s="2950"/>
      <c r="O10" s="2950"/>
      <c r="P10" s="3293"/>
      <c r="Q10" s="1528"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2146">
        <f t="shared" si="5"/>
        <v>1</v>
      </c>
    </row>
    <row r="11" spans="1:29" ht="15" hidden="1">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1"/>
      <c r="M11" s="2946"/>
      <c r="N11" s="2946"/>
      <c r="O11" s="2946"/>
      <c r="P11" s="3293"/>
      <c r="Q11" s="1528" t="str">
        <f t="shared" si="6"/>
        <v>容积率</v>
      </c>
      <c r="R11" s="710" t="s">
        <v>17</v>
      </c>
      <c r="S11" s="711">
        <f t="shared" si="0"/>
        <v>100</v>
      </c>
      <c r="T11" s="710" t="s">
        <v>17</v>
      </c>
      <c r="U11" s="711">
        <f t="shared" si="1"/>
        <v>100</v>
      </c>
      <c r="V11" s="710" t="s">
        <v>17</v>
      </c>
      <c r="W11" s="711">
        <f t="shared" si="2"/>
        <v>100</v>
      </c>
      <c r="X11" s="712"/>
      <c r="Y11" s="3251"/>
      <c r="Z11" s="55" t="str">
        <f t="shared" si="7"/>
        <v>容积率</v>
      </c>
      <c r="AA11" s="713">
        <f t="shared" si="3"/>
        <v>1</v>
      </c>
      <c r="AB11" s="713">
        <f t="shared" si="4"/>
        <v>1</v>
      </c>
      <c r="AC11" s="2146">
        <f t="shared" si="5"/>
        <v>1</v>
      </c>
    </row>
    <row r="12" spans="1:29" s="113" customFormat="1" ht="15" hidden="1">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3"/>
      <c r="Q12" s="1528">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2146">
        <f>D12/J12</f>
        <v>1</v>
      </c>
    </row>
    <row r="13" spans="1:29" ht="15" hidden="1">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3"/>
      <c r="Q13" s="1528">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2146">
        <f t="shared" si="5"/>
        <v>1</v>
      </c>
    </row>
    <row r="14" spans="1:29" ht="15.75" hidden="1"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3"/>
      <c r="Q14" s="1528">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2146">
        <f t="shared" si="5"/>
        <v>1</v>
      </c>
    </row>
    <row r="15" spans="1:29" ht="71.25">
      <c r="A15" s="399" t="s">
        <v>2381</v>
      </c>
      <c r="B15" s="585" t="s">
        <v>2509</v>
      </c>
      <c r="C15" s="2148"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100</v>
      </c>
      <c r="I15" s="401"/>
      <c r="J15" s="400">
        <f>SUMIF(77:77,I16,78:78)-SUMIF(77:77,C16,78:78)+100</f>
        <v>102</v>
      </c>
      <c r="K15" s="571">
        <v>2</v>
      </c>
      <c r="L15" s="2952"/>
      <c r="M15" s="2946"/>
      <c r="N15" s="2946"/>
      <c r="O15" s="2946"/>
      <c r="P15" s="3313" t="s">
        <v>2382</v>
      </c>
      <c r="Q15" s="1537" t="str">
        <f t="shared" si="6"/>
        <v>办公集聚程度</v>
      </c>
      <c r="R15" s="714" t="s">
        <v>17</v>
      </c>
      <c r="S15" s="715">
        <f t="shared" si="0"/>
        <v>102</v>
      </c>
      <c r="T15" s="714" t="s">
        <v>17</v>
      </c>
      <c r="U15" s="715">
        <f t="shared" si="1"/>
        <v>100</v>
      </c>
      <c r="V15" s="714" t="s">
        <v>17</v>
      </c>
      <c r="W15" s="715">
        <f t="shared" si="2"/>
        <v>102</v>
      </c>
      <c r="X15" s="1540"/>
      <c r="Y15" s="3315" t="s">
        <v>2382</v>
      </c>
      <c r="Z15" s="1541" t="str">
        <f t="shared" si="7"/>
        <v>办公集聚程度</v>
      </c>
      <c r="AA15" s="1538">
        <f t="shared" si="3"/>
        <v>0.98039215686274506</v>
      </c>
      <c r="AB15" s="1538">
        <f t="shared" si="4"/>
        <v>1</v>
      </c>
      <c r="AC15" s="2149">
        <f t="shared" si="5"/>
        <v>0.98039215686274506</v>
      </c>
    </row>
    <row r="16" spans="1:29" ht="15">
      <c r="A16" s="387"/>
      <c r="B16" s="586"/>
      <c r="C16" s="2091" t="s">
        <v>3183</v>
      </c>
      <c r="D16" s="407"/>
      <c r="E16" s="406" t="s">
        <v>3268</v>
      </c>
      <c r="F16" s="407"/>
      <c r="G16" s="2091" t="s">
        <v>3183</v>
      </c>
      <c r="H16" s="409"/>
      <c r="I16" s="406" t="s">
        <v>3268</v>
      </c>
      <c r="J16" s="407"/>
      <c r="K16" s="572"/>
      <c r="L16" s="2952"/>
      <c r="M16" s="2946"/>
      <c r="N16" s="2946"/>
      <c r="O16" s="2946"/>
      <c r="P16" s="3314"/>
      <c r="Q16" s="1537"/>
      <c r="R16" s="714"/>
      <c r="S16" s="715"/>
      <c r="T16" s="714"/>
      <c r="U16" s="715"/>
      <c r="V16" s="714"/>
      <c r="W16" s="715"/>
      <c r="X16" s="1540"/>
      <c r="Y16" s="3316"/>
      <c r="Z16" s="1541"/>
      <c r="AA16" s="1538">
        <v>1</v>
      </c>
      <c r="AB16" s="1538">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2"/>
      <c r="M17" s="2946"/>
      <c r="N17" s="2946"/>
      <c r="O17" s="2946"/>
      <c r="P17" s="3314"/>
      <c r="Q17" s="1537" t="str">
        <f>B17</f>
        <v>交通便捷度</v>
      </c>
      <c r="R17" s="714" t="s">
        <v>17</v>
      </c>
      <c r="S17" s="715">
        <f>F17</f>
        <v>102</v>
      </c>
      <c r="T17" s="714" t="s">
        <v>17</v>
      </c>
      <c r="U17" s="715">
        <f>H17</f>
        <v>102</v>
      </c>
      <c r="V17" s="714" t="s">
        <v>17</v>
      </c>
      <c r="W17" s="715">
        <f>J17</f>
        <v>102</v>
      </c>
      <c r="X17" s="1540"/>
      <c r="Y17" s="3316"/>
      <c r="Z17" s="1541" t="str">
        <f>Q17</f>
        <v>交通便捷度</v>
      </c>
      <c r="AA17" s="1538">
        <f t="shared" si="3"/>
        <v>0.98039215686274506</v>
      </c>
      <c r="AB17" s="1538">
        <f t="shared" si="4"/>
        <v>0.98039215686274506</v>
      </c>
      <c r="AC17" s="2149">
        <f t="shared" si="5"/>
        <v>0.98039215686274506</v>
      </c>
    </row>
    <row r="18" spans="1:29" ht="15">
      <c r="A18" s="387"/>
      <c r="B18" s="588"/>
      <c r="C18" s="2151" t="s">
        <v>3248</v>
      </c>
      <c r="D18" s="409"/>
      <c r="E18" s="2089" t="s">
        <v>3183</v>
      </c>
      <c r="F18" s="409"/>
      <c r="G18" s="2090" t="s">
        <v>3183</v>
      </c>
      <c r="H18" s="407"/>
      <c r="I18" s="2090" t="s">
        <v>3183</v>
      </c>
      <c r="J18" s="407"/>
      <c r="K18" s="572"/>
      <c r="L18" s="2952"/>
      <c r="M18" s="2946"/>
      <c r="N18" s="2946"/>
      <c r="O18" s="2946"/>
      <c r="P18" s="3314"/>
      <c r="Q18" s="1537"/>
      <c r="R18" s="714"/>
      <c r="S18" s="715"/>
      <c r="T18" s="714"/>
      <c r="U18" s="715"/>
      <c r="V18" s="714"/>
      <c r="W18" s="715"/>
      <c r="X18" s="1540"/>
      <c r="Y18" s="3316"/>
      <c r="Z18" s="1541"/>
      <c r="AA18" s="1538">
        <v>1</v>
      </c>
      <c r="AB18" s="1538">
        <v>1</v>
      </c>
      <c r="AC18" s="2149">
        <v>1</v>
      </c>
    </row>
    <row r="19" spans="1:29" ht="42.75">
      <c r="A19" s="387"/>
      <c r="B19" s="587" t="s">
        <v>2510</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2"/>
      <c r="M19" s="2946"/>
      <c r="N19" s="2946"/>
      <c r="O19" s="2946"/>
      <c r="P19" s="3314"/>
      <c r="Q19" s="1537" t="str">
        <f>B19</f>
        <v>公共配套设施</v>
      </c>
      <c r="R19" s="714" t="s">
        <v>17</v>
      </c>
      <c r="S19" s="715">
        <f>F19</f>
        <v>100</v>
      </c>
      <c r="T19" s="714" t="s">
        <v>17</v>
      </c>
      <c r="U19" s="715">
        <f>H19</f>
        <v>100</v>
      </c>
      <c r="V19" s="714" t="s">
        <v>17</v>
      </c>
      <c r="W19" s="715">
        <f>J19</f>
        <v>100</v>
      </c>
      <c r="X19" s="1540"/>
      <c r="Y19" s="3316"/>
      <c r="Z19" s="1541" t="str">
        <f>Q19</f>
        <v>公共配套设施</v>
      </c>
      <c r="AA19" s="1538">
        <f t="shared" si="3"/>
        <v>1</v>
      </c>
      <c r="AB19" s="1538">
        <f t="shared" si="4"/>
        <v>1</v>
      </c>
      <c r="AC19" s="2149">
        <f t="shared" si="5"/>
        <v>1</v>
      </c>
    </row>
    <row r="20" spans="1:29" ht="15">
      <c r="A20" s="387"/>
      <c r="B20" s="588"/>
      <c r="C20" s="2091" t="s">
        <v>3248</v>
      </c>
      <c r="D20" s="407"/>
      <c r="E20" s="2091" t="s">
        <v>3248</v>
      </c>
      <c r="F20" s="407"/>
      <c r="G20" s="2091" t="s">
        <v>3248</v>
      </c>
      <c r="H20" s="407"/>
      <c r="I20" s="2091" t="s">
        <v>3248</v>
      </c>
      <c r="J20" s="407"/>
      <c r="K20" s="572"/>
      <c r="L20" s="2952"/>
      <c r="M20" s="2946"/>
      <c r="N20" s="2946"/>
      <c r="O20" s="2946"/>
      <c r="P20" s="3314"/>
      <c r="Q20" s="1537"/>
      <c r="R20" s="714"/>
      <c r="S20" s="715"/>
      <c r="T20" s="714"/>
      <c r="U20" s="715"/>
      <c r="V20" s="714"/>
      <c r="W20" s="715"/>
      <c r="X20" s="1540"/>
      <c r="Y20" s="3316"/>
      <c r="Z20" s="1541"/>
      <c r="AA20" s="1538">
        <v>1</v>
      </c>
      <c r="AB20" s="1538">
        <v>1</v>
      </c>
      <c r="AC20" s="2149">
        <v>1</v>
      </c>
    </row>
    <row r="21" spans="1:29" ht="28.5">
      <c r="A21" s="387"/>
      <c r="B21" s="589" t="s">
        <v>2511</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52"/>
      <c r="M21" s="2946"/>
      <c r="N21" s="2946"/>
      <c r="O21" s="2946"/>
      <c r="P21" s="3314"/>
      <c r="Q21" s="1537" t="str">
        <f>B21</f>
        <v>基础设施水平</v>
      </c>
      <c r="R21" s="714" t="s">
        <v>17</v>
      </c>
      <c r="S21" s="715">
        <f>F21</f>
        <v>100</v>
      </c>
      <c r="T21" s="714" t="s">
        <v>17</v>
      </c>
      <c r="U21" s="715">
        <f>H21</f>
        <v>100</v>
      </c>
      <c r="V21" s="714" t="s">
        <v>17</v>
      </c>
      <c r="W21" s="715">
        <f>J21</f>
        <v>100</v>
      </c>
      <c r="X21" s="1540"/>
      <c r="Y21" s="3316"/>
      <c r="Z21" s="1541" t="str">
        <f>Q21</f>
        <v>基础设施水平</v>
      </c>
      <c r="AA21" s="1538">
        <f t="shared" ref="AA21" si="8">D21/F21</f>
        <v>1</v>
      </c>
      <c r="AB21" s="1538">
        <f t="shared" ref="AB21" si="9">D21/H21</f>
        <v>1</v>
      </c>
      <c r="AC21" s="2149">
        <f t="shared" ref="AC21" si="10">D21/J21</f>
        <v>1</v>
      </c>
    </row>
    <row r="22" spans="1:29" ht="15">
      <c r="A22" s="387"/>
      <c r="B22" s="589"/>
      <c r="C22" s="2151" t="s">
        <v>3184</v>
      </c>
      <c r="D22" s="407"/>
      <c r="E22" s="406" t="s">
        <v>3184</v>
      </c>
      <c r="F22" s="407"/>
      <c r="G22" s="2091" t="s">
        <v>3184</v>
      </c>
      <c r="H22" s="407"/>
      <c r="I22" s="2091" t="s">
        <v>3184</v>
      </c>
      <c r="J22" s="407"/>
      <c r="K22" s="1291"/>
      <c r="L22" s="2952"/>
      <c r="M22" s="2946"/>
      <c r="N22" s="2946"/>
      <c r="O22" s="2946"/>
      <c r="P22" s="3314"/>
      <c r="Q22" s="1537"/>
      <c r="R22" s="714"/>
      <c r="S22" s="715"/>
      <c r="T22" s="714"/>
      <c r="U22" s="715"/>
      <c r="V22" s="714"/>
      <c r="W22" s="715"/>
      <c r="X22" s="1540"/>
      <c r="Y22" s="3316"/>
      <c r="Z22" s="1541"/>
      <c r="AA22" s="1538">
        <v>1</v>
      </c>
      <c r="AB22" s="1538">
        <v>1</v>
      </c>
      <c r="AC22" s="2149">
        <v>1</v>
      </c>
    </row>
    <row r="23" spans="1:29" ht="42.75">
      <c r="A23" s="387"/>
      <c r="B23" s="587" t="s">
        <v>2512</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2"/>
      <c r="M23" s="2946"/>
      <c r="N23" s="2946"/>
      <c r="O23" s="2946"/>
      <c r="P23" s="3314"/>
      <c r="Q23" s="1537" t="str">
        <f>B23</f>
        <v>环境质量</v>
      </c>
      <c r="R23" s="714" t="s">
        <v>17</v>
      </c>
      <c r="S23" s="715">
        <f>F23</f>
        <v>100</v>
      </c>
      <c r="T23" s="714" t="s">
        <v>17</v>
      </c>
      <c r="U23" s="715">
        <f>H23</f>
        <v>100</v>
      </c>
      <c r="V23" s="714" t="s">
        <v>17</v>
      </c>
      <c r="W23" s="715">
        <f>J23</f>
        <v>100</v>
      </c>
      <c r="X23" s="1540"/>
      <c r="Y23" s="3316"/>
      <c r="Z23" s="1541" t="str">
        <f>Q23</f>
        <v>环境质量</v>
      </c>
      <c r="AA23" s="1538">
        <f t="shared" si="3"/>
        <v>1</v>
      </c>
      <c r="AB23" s="1538">
        <f t="shared" si="4"/>
        <v>1</v>
      </c>
      <c r="AC23" s="2149">
        <f t="shared" si="5"/>
        <v>1</v>
      </c>
    </row>
    <row r="24" spans="1:29" ht="15">
      <c r="A24" s="387"/>
      <c r="B24" s="589"/>
      <c r="C24" s="2091" t="s">
        <v>3248</v>
      </c>
      <c r="D24" s="407"/>
      <c r="E24" s="2091" t="s">
        <v>3248</v>
      </c>
      <c r="F24" s="407"/>
      <c r="G24" s="2091" t="s">
        <v>3248</v>
      </c>
      <c r="H24" s="407"/>
      <c r="I24" s="2091" t="s">
        <v>3248</v>
      </c>
      <c r="J24" s="407"/>
      <c r="K24" s="572"/>
      <c r="L24" s="2952"/>
      <c r="M24" s="2946"/>
      <c r="N24" s="2946"/>
      <c r="O24" s="2946"/>
      <c r="P24" s="3314"/>
      <c r="Q24" s="1537"/>
      <c r="R24" s="714"/>
      <c r="S24" s="715"/>
      <c r="T24" s="714"/>
      <c r="U24" s="715"/>
      <c r="V24" s="714"/>
      <c r="W24" s="715"/>
      <c r="X24" s="1540"/>
      <c r="Y24" s="3316"/>
      <c r="Z24" s="1541"/>
      <c r="AA24" s="1538">
        <v>1</v>
      </c>
      <c r="AB24" s="1538">
        <v>1</v>
      </c>
      <c r="AC24" s="2149">
        <v>1</v>
      </c>
    </row>
    <row r="25" spans="1:29" ht="27">
      <c r="A25" s="364"/>
      <c r="B25" s="587" t="s">
        <v>2513</v>
      </c>
      <c r="C25" s="3082" t="s">
        <v>3271</v>
      </c>
      <c r="D25" s="394">
        <v>100</v>
      </c>
      <c r="E25" s="3083" t="s">
        <v>3270</v>
      </c>
      <c r="F25" s="394">
        <f>SUMIF(87:87,E26,88:88)-SUMIF(87:87,C26,88:88)+100</f>
        <v>102</v>
      </c>
      <c r="G25" s="3082" t="s">
        <v>3270</v>
      </c>
      <c r="H25" s="394">
        <f>SUMIF(87:87,G26,88:88)-SUMIF(87:87,C26,88:88)+100</f>
        <v>102</v>
      </c>
      <c r="I25" s="3083" t="s">
        <v>3270</v>
      </c>
      <c r="J25" s="394">
        <f>SUMIF(87:87,I26,88:88)-SUMIF(87:87,C26,88:88)+100</f>
        <v>102</v>
      </c>
      <c r="K25" s="571">
        <v>1</v>
      </c>
      <c r="L25" s="2952"/>
      <c r="M25" s="2946"/>
      <c r="N25" s="2946"/>
      <c r="O25" s="2946"/>
      <c r="P25" s="3314"/>
      <c r="Q25" s="1537" t="str">
        <f>B25</f>
        <v>毗邻道路的类型与等级</v>
      </c>
      <c r="R25" s="714" t="s">
        <v>17</v>
      </c>
      <c r="S25" s="715">
        <f>F25</f>
        <v>102</v>
      </c>
      <c r="T25" s="714" t="s">
        <v>17</v>
      </c>
      <c r="U25" s="715">
        <f>H25</f>
        <v>102</v>
      </c>
      <c r="V25" s="714" t="s">
        <v>17</v>
      </c>
      <c r="W25" s="715">
        <f>J25</f>
        <v>102</v>
      </c>
      <c r="X25" s="1540"/>
      <c r="Y25" s="3316"/>
      <c r="Z25" s="1541" t="str">
        <f>Q25</f>
        <v>毗邻道路的类型与等级</v>
      </c>
      <c r="AA25" s="1538">
        <f t="shared" si="3"/>
        <v>0.98039215686274506</v>
      </c>
      <c r="AB25" s="1538">
        <f t="shared" si="4"/>
        <v>0.98039215686274506</v>
      </c>
      <c r="AC25" s="2149">
        <f t="shared" si="5"/>
        <v>0.98039215686274506</v>
      </c>
    </row>
    <row r="26" spans="1:29" ht="15">
      <c r="A26" s="364"/>
      <c r="B26" s="588"/>
      <c r="C26" s="590" t="s">
        <v>3194</v>
      </c>
      <c r="D26" s="394"/>
      <c r="E26" s="573" t="s">
        <v>3192</v>
      </c>
      <c r="F26" s="394"/>
      <c r="G26" s="590" t="s">
        <v>3192</v>
      </c>
      <c r="H26" s="394"/>
      <c r="I26" s="573" t="s">
        <v>3192</v>
      </c>
      <c r="J26" s="394"/>
      <c r="K26" s="572"/>
      <c r="L26" s="2952"/>
      <c r="M26" s="2946"/>
      <c r="N26" s="2946"/>
      <c r="O26" s="2946"/>
      <c r="P26" s="3314"/>
      <c r="Q26" s="1537"/>
      <c r="R26" s="714"/>
      <c r="S26" s="715"/>
      <c r="T26" s="714"/>
      <c r="U26" s="715"/>
      <c r="V26" s="714"/>
      <c r="W26" s="715"/>
      <c r="X26" s="1540"/>
      <c r="Y26" s="3316"/>
      <c r="Z26" s="1541"/>
      <c r="AA26" s="1538">
        <v>1</v>
      </c>
      <c r="AB26" s="1538">
        <v>1</v>
      </c>
      <c r="AC26" s="2149">
        <v>1</v>
      </c>
    </row>
    <row r="27" spans="1:29" ht="15.75" thickBot="1">
      <c r="A27" s="387"/>
      <c r="B27" s="588" t="s">
        <v>2481</v>
      </c>
      <c r="C27" s="590" t="s">
        <v>3257</v>
      </c>
      <c r="D27" s="394">
        <v>100</v>
      </c>
      <c r="E27" s="573" t="s">
        <v>3257</v>
      </c>
      <c r="F27" s="394">
        <f>SUMIF(89:89,E27,90:90)-SUMIF(89:89,C27,90:90)+100</f>
        <v>100</v>
      </c>
      <c r="G27" s="590" t="s">
        <v>3259</v>
      </c>
      <c r="H27" s="394">
        <f>SUMIF(89:89,G27,90:90)-SUMIF(89:89,C27,90:90)+100</f>
        <v>97</v>
      </c>
      <c r="I27" s="573" t="s">
        <v>3259</v>
      </c>
      <c r="J27" s="394">
        <f>SUMIF(89:89,I27,90:90)-SUMIF(89:89,C27,90:90)+100</f>
        <v>97</v>
      </c>
      <c r="K27" s="569">
        <v>3</v>
      </c>
      <c r="L27" s="2952"/>
      <c r="M27" s="2946"/>
      <c r="N27" s="2946"/>
      <c r="O27" s="2946"/>
      <c r="P27" s="3314"/>
      <c r="Q27" s="1537" t="str">
        <f t="shared" ref="Q27:Q47" si="11">B27</f>
        <v>楼层</v>
      </c>
      <c r="R27" s="714" t="s">
        <v>17</v>
      </c>
      <c r="S27" s="715">
        <f>F27</f>
        <v>100</v>
      </c>
      <c r="T27" s="714" t="s">
        <v>17</v>
      </c>
      <c r="U27" s="715">
        <f>H27</f>
        <v>97</v>
      </c>
      <c r="V27" s="714" t="s">
        <v>17</v>
      </c>
      <c r="W27" s="715">
        <f>J27</f>
        <v>97</v>
      </c>
      <c r="X27" s="1540"/>
      <c r="Y27" s="3316"/>
      <c r="Z27" s="1541" t="str">
        <f>Q27</f>
        <v>楼层</v>
      </c>
      <c r="AA27" s="1538">
        <f t="shared" si="3"/>
        <v>1</v>
      </c>
      <c r="AB27" s="1538">
        <f t="shared" si="4"/>
        <v>1.0309278350515463</v>
      </c>
      <c r="AC27" s="2149">
        <f t="shared" si="5"/>
        <v>1.0309278350515463</v>
      </c>
    </row>
    <row r="28" spans="1:29" s="113" customFormat="1" ht="15" hidden="1">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14"/>
      <c r="Q28" s="1528" t="str">
        <f t="shared" si="11"/>
        <v>朝向</v>
      </c>
      <c r="R28" s="710" t="s">
        <v>17</v>
      </c>
      <c r="S28" s="711">
        <f>F28</f>
        <v>100</v>
      </c>
      <c r="T28" s="710" t="s">
        <v>17</v>
      </c>
      <c r="U28" s="711">
        <f>H28</f>
        <v>100</v>
      </c>
      <c r="V28" s="710" t="s">
        <v>17</v>
      </c>
      <c r="W28" s="711">
        <f>J28</f>
        <v>100</v>
      </c>
      <c r="X28" s="712"/>
      <c r="Y28" s="3316"/>
      <c r="Z28" s="55" t="str">
        <f>Q28</f>
        <v>朝向</v>
      </c>
      <c r="AA28" s="1538">
        <f>D28/F28</f>
        <v>1</v>
      </c>
      <c r="AB28" s="1538">
        <f>D28/H28</f>
        <v>1</v>
      </c>
      <c r="AC28" s="2149">
        <f>D28/J28</f>
        <v>1</v>
      </c>
    </row>
    <row r="29" spans="1:29" ht="15" hidden="1">
      <c r="A29" s="387"/>
      <c r="B29" s="2153">
        <v>111</v>
      </c>
      <c r="C29" s="2095"/>
      <c r="D29" s="394">
        <v>100</v>
      </c>
      <c r="E29" s="391">
        <v>701</v>
      </c>
      <c r="F29" s="394">
        <f>SUMIF(93:93,E29,94:94)-SUMIF(93:93,C29,94:94)+100</f>
        <v>100</v>
      </c>
      <c r="G29" s="2147">
        <v>106</v>
      </c>
      <c r="H29" s="394">
        <f>SUMIF(93:93,G29,94:94)-SUMIF(93:93,C29,94:94)+100</f>
        <v>100</v>
      </c>
      <c r="I29" s="391" t="s">
        <v>3209</v>
      </c>
      <c r="J29" s="394">
        <f>SUMIF(93:93,I29,94:94)-SUMIF(93:93,C29,94:94)+100</f>
        <v>100</v>
      </c>
      <c r="K29" s="570"/>
      <c r="L29" s="2952"/>
      <c r="M29" s="2946"/>
      <c r="N29" s="2946"/>
      <c r="O29" s="2946"/>
      <c r="P29" s="3314"/>
      <c r="Q29" s="1537">
        <f t="shared" si="11"/>
        <v>111</v>
      </c>
      <c r="R29" s="714" t="s">
        <v>17</v>
      </c>
      <c r="S29" s="715">
        <f t="shared" ref="S29:S47" si="12">F29</f>
        <v>100</v>
      </c>
      <c r="T29" s="714" t="s">
        <v>17</v>
      </c>
      <c r="U29" s="715">
        <f t="shared" ref="U29:U47" si="13">H29</f>
        <v>100</v>
      </c>
      <c r="V29" s="714" t="s">
        <v>17</v>
      </c>
      <c r="W29" s="715">
        <f t="shared" ref="W29:W47" si="14">J29</f>
        <v>100</v>
      </c>
      <c r="X29" s="1540"/>
      <c r="Y29" s="3316"/>
      <c r="Z29" s="1541">
        <f t="shared" ref="Z29:Z47" si="15">Q29</f>
        <v>111</v>
      </c>
      <c r="AA29" s="1538">
        <f t="shared" si="3"/>
        <v>1</v>
      </c>
      <c r="AB29" s="1538">
        <f t="shared" si="4"/>
        <v>1</v>
      </c>
      <c r="AC29" s="2149">
        <f t="shared" si="5"/>
        <v>1</v>
      </c>
    </row>
    <row r="30" spans="1:29" ht="15" hidden="1">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14"/>
      <c r="Q30" s="1537">
        <f t="shared" si="11"/>
        <v>111</v>
      </c>
      <c r="R30" s="714" t="s">
        <v>17</v>
      </c>
      <c r="S30" s="715">
        <f t="shared" si="12"/>
        <v>100</v>
      </c>
      <c r="T30" s="714" t="s">
        <v>17</v>
      </c>
      <c r="U30" s="715">
        <f t="shared" si="13"/>
        <v>100</v>
      </c>
      <c r="V30" s="714" t="s">
        <v>17</v>
      </c>
      <c r="W30" s="715">
        <f t="shared" si="14"/>
        <v>100</v>
      </c>
      <c r="X30" s="1540"/>
      <c r="Y30" s="3316"/>
      <c r="Z30" s="1541">
        <f t="shared" si="15"/>
        <v>111</v>
      </c>
      <c r="AA30" s="1538">
        <f t="shared" si="3"/>
        <v>1</v>
      </c>
      <c r="AB30" s="1538">
        <f t="shared" si="4"/>
        <v>1</v>
      </c>
      <c r="AC30" s="2149">
        <f t="shared" si="5"/>
        <v>1</v>
      </c>
    </row>
    <row r="31" spans="1:29" ht="15" hidden="1">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14"/>
      <c r="Q31" s="1537">
        <f t="shared" si="11"/>
        <v>111</v>
      </c>
      <c r="R31" s="714" t="s">
        <v>17</v>
      </c>
      <c r="S31" s="715">
        <f t="shared" si="12"/>
        <v>100</v>
      </c>
      <c r="T31" s="714" t="s">
        <v>17</v>
      </c>
      <c r="U31" s="715">
        <f t="shared" si="13"/>
        <v>100</v>
      </c>
      <c r="V31" s="714" t="s">
        <v>17</v>
      </c>
      <c r="W31" s="715">
        <f t="shared" si="14"/>
        <v>100</v>
      </c>
      <c r="X31" s="1540"/>
      <c r="Y31" s="3316"/>
      <c r="Z31" s="1541">
        <f t="shared" si="15"/>
        <v>111</v>
      </c>
      <c r="AA31" s="1538">
        <f t="shared" si="3"/>
        <v>1</v>
      </c>
      <c r="AB31" s="1538">
        <f t="shared" si="4"/>
        <v>1</v>
      </c>
      <c r="AC31" s="2149">
        <f t="shared" si="5"/>
        <v>1</v>
      </c>
    </row>
    <row r="32" spans="1:29" ht="15.75" hidden="1"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14"/>
      <c r="Q32" s="1537">
        <f t="shared" si="11"/>
        <v>111</v>
      </c>
      <c r="R32" s="714" t="s">
        <v>17</v>
      </c>
      <c r="S32" s="715">
        <f t="shared" si="12"/>
        <v>100</v>
      </c>
      <c r="T32" s="714" t="s">
        <v>17</v>
      </c>
      <c r="U32" s="715">
        <f t="shared" si="13"/>
        <v>100</v>
      </c>
      <c r="V32" s="714" t="s">
        <v>17</v>
      </c>
      <c r="W32" s="715">
        <f t="shared" si="14"/>
        <v>100</v>
      </c>
      <c r="X32" s="1540"/>
      <c r="Y32" s="3316"/>
      <c r="Z32" s="1541">
        <f t="shared" si="15"/>
        <v>111</v>
      </c>
      <c r="AA32" s="1538">
        <f t="shared" si="3"/>
        <v>1</v>
      </c>
      <c r="AB32" s="1538">
        <f t="shared" si="4"/>
        <v>1</v>
      </c>
      <c r="AC32" s="2149">
        <f t="shared" si="5"/>
        <v>1</v>
      </c>
    </row>
    <row r="33" spans="1:29" ht="15">
      <c r="A33" s="399" t="s">
        <v>2385</v>
      </c>
      <c r="B33" s="67" t="s">
        <v>2515</v>
      </c>
      <c r="C33" s="2154" t="s">
        <v>3195</v>
      </c>
      <c r="D33" s="426">
        <v>100</v>
      </c>
      <c r="E33" s="2154" t="s">
        <v>3185</v>
      </c>
      <c r="F33" s="420">
        <f>SUMIF(101:101,E33,102:102)-SUMIF(101:101,C33,102:102)+100</f>
        <v>97</v>
      </c>
      <c r="G33" s="2154" t="s">
        <v>3185</v>
      </c>
      <c r="H33" s="394">
        <f>SUMIF(101:101,G33,102:102)-SUMIF(101:101,C33,102:102)+100</f>
        <v>97</v>
      </c>
      <c r="I33" s="2154" t="s">
        <v>3185</v>
      </c>
      <c r="J33" s="426">
        <f>SUMIF(101:101,I33,102:102)-SUMIF(101:101,C33,102:102)+100</f>
        <v>97</v>
      </c>
      <c r="K33" s="569">
        <v>3</v>
      </c>
      <c r="L33" s="2952"/>
      <c r="M33" s="2946"/>
      <c r="N33" s="2946"/>
      <c r="O33" s="2946"/>
      <c r="P33" s="3317" t="s">
        <v>2387</v>
      </c>
      <c r="Q33" s="1537" t="str">
        <f t="shared" si="11"/>
        <v>建筑类型</v>
      </c>
      <c r="R33" s="714" t="s">
        <v>17</v>
      </c>
      <c r="S33" s="715">
        <f t="shared" si="12"/>
        <v>97</v>
      </c>
      <c r="T33" s="714" t="s">
        <v>17</v>
      </c>
      <c r="U33" s="715">
        <f t="shared" si="13"/>
        <v>97</v>
      </c>
      <c r="V33" s="714" t="s">
        <v>17</v>
      </c>
      <c r="W33" s="715">
        <f t="shared" si="14"/>
        <v>97</v>
      </c>
      <c r="X33" s="1540"/>
      <c r="Y33" s="3320" t="s">
        <v>2387</v>
      </c>
      <c r="Z33" s="1541" t="str">
        <f t="shared" si="15"/>
        <v>建筑类型</v>
      </c>
      <c r="AA33" s="1538">
        <f t="shared" si="3"/>
        <v>1.0309278350515463</v>
      </c>
      <c r="AB33" s="1538">
        <f t="shared" si="4"/>
        <v>1.0309278350515463</v>
      </c>
      <c r="AC33" s="2149">
        <f t="shared" si="5"/>
        <v>1.0309278350515463</v>
      </c>
    </row>
    <row r="34" spans="1:29" s="430" customFormat="1" ht="15">
      <c r="A34" s="427"/>
      <c r="B34" s="381" t="s">
        <v>2388</v>
      </c>
      <c r="C34" s="428">
        <f>面积指标!I2</f>
        <v>1303.6199999999999</v>
      </c>
      <c r="D34" s="132">
        <v>100</v>
      </c>
      <c r="E34" s="389">
        <v>698</v>
      </c>
      <c r="F34" s="384">
        <f>LOOKUP(E34,104:104,105:105)-LOOKUP(C34,104:104,105:105)+100</f>
        <v>102</v>
      </c>
      <c r="G34" s="388">
        <v>99</v>
      </c>
      <c r="H34" s="132">
        <f>LOOKUP(G34,104:104,105:105)-LOOKUP(C34,104:104,105:105)+100</f>
        <v>102</v>
      </c>
      <c r="I34" s="388">
        <v>149</v>
      </c>
      <c r="J34" s="132">
        <f>LOOKUP(I34,104:104,105:105)-LOOKUP(C34,104:104,105:105)+100</f>
        <v>102</v>
      </c>
      <c r="K34" s="570"/>
      <c r="L34" s="2951"/>
      <c r="M34" s="2953"/>
      <c r="N34" s="2953"/>
      <c r="O34" s="2953"/>
      <c r="P34" s="3318"/>
      <c r="Q34" s="716" t="str">
        <f t="shared" si="11"/>
        <v>项目建筑规模</v>
      </c>
      <c r="R34" s="717" t="s">
        <v>17</v>
      </c>
      <c r="S34" s="718">
        <f t="shared" si="12"/>
        <v>102</v>
      </c>
      <c r="T34" s="717" t="s">
        <v>17</v>
      </c>
      <c r="U34" s="718">
        <f t="shared" si="13"/>
        <v>102</v>
      </c>
      <c r="V34" s="717" t="s">
        <v>17</v>
      </c>
      <c r="W34" s="718">
        <f t="shared" si="14"/>
        <v>102</v>
      </c>
      <c r="X34" s="719"/>
      <c r="Y34" s="3320"/>
      <c r="Z34" s="720" t="str">
        <f t="shared" si="15"/>
        <v>项目建筑规模</v>
      </c>
      <c r="AA34" s="1538">
        <f t="shared" si="3"/>
        <v>0.98039215686274506</v>
      </c>
      <c r="AB34" s="1538">
        <f t="shared" si="4"/>
        <v>0.98039215686274506</v>
      </c>
      <c r="AC34" s="2149">
        <f t="shared" si="5"/>
        <v>0.98039215686274506</v>
      </c>
    </row>
    <row r="35" spans="1:29" ht="15">
      <c r="A35" s="431"/>
      <c r="B35" s="381" t="s">
        <v>2389</v>
      </c>
      <c r="C35" s="419" t="s">
        <v>3074</v>
      </c>
      <c r="D35" s="394">
        <v>100</v>
      </c>
      <c r="E35" s="419" t="s">
        <v>3074</v>
      </c>
      <c r="F35" s="420">
        <f>SUMIF(106:106,E35,107:107)-SUMIF(106:106,C35,107:107)+100</f>
        <v>100</v>
      </c>
      <c r="G35" s="419" t="s">
        <v>3074</v>
      </c>
      <c r="H35" s="394">
        <f>SUMIF(106:106,G35,107:107)-SUMIF(106:106,C35,107:107)+100</f>
        <v>100</v>
      </c>
      <c r="I35" s="419" t="s">
        <v>3074</v>
      </c>
      <c r="J35" s="394">
        <f>SUMIF(106:106,I35,107:107)-SUMIF(106:106,C35,107:107)+100</f>
        <v>100</v>
      </c>
      <c r="K35" s="569">
        <v>1</v>
      </c>
      <c r="L35" s="2952"/>
      <c r="M35" s="2946"/>
      <c r="N35" s="2946"/>
      <c r="O35" s="2946"/>
      <c r="P35" s="3318"/>
      <c r="Q35" s="1537" t="str">
        <f t="shared" si="11"/>
        <v>建筑结构</v>
      </c>
      <c r="R35" s="714" t="s">
        <v>17</v>
      </c>
      <c r="S35" s="715">
        <f t="shared" si="12"/>
        <v>100</v>
      </c>
      <c r="T35" s="714" t="s">
        <v>17</v>
      </c>
      <c r="U35" s="715">
        <f t="shared" si="13"/>
        <v>100</v>
      </c>
      <c r="V35" s="714" t="s">
        <v>17</v>
      </c>
      <c r="W35" s="715">
        <f t="shared" si="14"/>
        <v>100</v>
      </c>
      <c r="X35" s="1540"/>
      <c r="Y35" s="3320"/>
      <c r="Z35" s="1541" t="str">
        <f t="shared" si="15"/>
        <v>建筑结构</v>
      </c>
      <c r="AA35" s="1538">
        <f t="shared" si="3"/>
        <v>1</v>
      </c>
      <c r="AB35" s="1538">
        <f t="shared" si="4"/>
        <v>1</v>
      </c>
      <c r="AC35" s="2149">
        <f t="shared" si="5"/>
        <v>1</v>
      </c>
    </row>
    <row r="36" spans="1:29" ht="15">
      <c r="A36" s="431"/>
      <c r="B36" s="381" t="s">
        <v>2483</v>
      </c>
      <c r="C36" s="419" t="s">
        <v>3186</v>
      </c>
      <c r="D36" s="394">
        <v>100</v>
      </c>
      <c r="E36" s="419" t="s">
        <v>3186</v>
      </c>
      <c r="F36" s="420">
        <f>SUMIF(108:108,E36,109:109)-SUMIF(108:108,C36,109:109)+100</f>
        <v>100</v>
      </c>
      <c r="G36" s="419" t="s">
        <v>3186</v>
      </c>
      <c r="H36" s="394">
        <f>SUMIF(108:108,G36,109:109)-SUMIF(108:108,C36,109:109)+100</f>
        <v>100</v>
      </c>
      <c r="I36" s="419" t="s">
        <v>3186</v>
      </c>
      <c r="J36" s="394">
        <f>SUMIF(108:108,I36,109:109)-SUMIF(108:108,C36,109:109)+100</f>
        <v>100</v>
      </c>
      <c r="K36" s="569">
        <v>1</v>
      </c>
      <c r="L36" s="2952"/>
      <c r="M36" s="2946"/>
      <c r="N36" s="2946"/>
      <c r="O36" s="2946"/>
      <c r="P36" s="3318"/>
      <c r="Q36" s="1537" t="str">
        <f t="shared" si="11"/>
        <v>公共部分装修</v>
      </c>
      <c r="R36" s="714" t="s">
        <v>17</v>
      </c>
      <c r="S36" s="715">
        <f t="shared" si="12"/>
        <v>100</v>
      </c>
      <c r="T36" s="714" t="s">
        <v>17</v>
      </c>
      <c r="U36" s="715">
        <f t="shared" si="13"/>
        <v>100</v>
      </c>
      <c r="V36" s="714" t="s">
        <v>17</v>
      </c>
      <c r="W36" s="715">
        <f t="shared" si="14"/>
        <v>100</v>
      </c>
      <c r="X36" s="1540"/>
      <c r="Y36" s="3320"/>
      <c r="Z36" s="1541" t="str">
        <f t="shared" si="15"/>
        <v>公共部分装修</v>
      </c>
      <c r="AA36" s="1538">
        <f t="shared" si="3"/>
        <v>1</v>
      </c>
      <c r="AB36" s="1538">
        <f t="shared" si="4"/>
        <v>1</v>
      </c>
      <c r="AC36" s="2149">
        <f t="shared" si="5"/>
        <v>1</v>
      </c>
    </row>
    <row r="37" spans="1:29" ht="15">
      <c r="A37" s="431"/>
      <c r="B37" s="381" t="s">
        <v>2484</v>
      </c>
      <c r="C37" s="433">
        <v>0.93</v>
      </c>
      <c r="D37" s="394">
        <v>100</v>
      </c>
      <c r="E37" s="433">
        <v>0.95</v>
      </c>
      <c r="F37" s="420">
        <f>LOOKUP(E37,111:111,112:112)-LOOKUP(C37,111:111,112:112)+100</f>
        <v>100</v>
      </c>
      <c r="G37" s="433">
        <v>0.95</v>
      </c>
      <c r="H37" s="420">
        <f>LOOKUP(G37,111:111,112:112)-LOOKUP(C37,111:111,112:112)+100</f>
        <v>100</v>
      </c>
      <c r="I37" s="433">
        <v>0.95</v>
      </c>
      <c r="J37" s="394">
        <f>LOOKUP(I37,111:111,112:112)-LOOKUP(C37,111:111,112:112)+100</f>
        <v>100</v>
      </c>
      <c r="K37" s="569">
        <v>1</v>
      </c>
      <c r="L37" s="2952"/>
      <c r="M37" s="2946"/>
      <c r="N37" s="2946"/>
      <c r="O37" s="2946"/>
      <c r="P37" s="3318"/>
      <c r="Q37" s="1537" t="str">
        <f t="shared" si="11"/>
        <v>成新度</v>
      </c>
      <c r="R37" s="714" t="s">
        <v>17</v>
      </c>
      <c r="S37" s="715">
        <f t="shared" si="12"/>
        <v>100</v>
      </c>
      <c r="T37" s="714" t="s">
        <v>17</v>
      </c>
      <c r="U37" s="715">
        <f t="shared" si="13"/>
        <v>100</v>
      </c>
      <c r="V37" s="714" t="s">
        <v>17</v>
      </c>
      <c r="W37" s="715">
        <f t="shared" si="14"/>
        <v>100</v>
      </c>
      <c r="X37" s="1540"/>
      <c r="Y37" s="3320"/>
      <c r="Z37" s="1541" t="str">
        <f t="shared" si="15"/>
        <v>成新度</v>
      </c>
      <c r="AA37" s="1538">
        <f t="shared" si="3"/>
        <v>1</v>
      </c>
      <c r="AB37" s="1538">
        <f t="shared" si="4"/>
        <v>1</v>
      </c>
      <c r="AC37" s="2149">
        <f t="shared" si="5"/>
        <v>1</v>
      </c>
    </row>
    <row r="38" spans="1:29" s="113" customFormat="1" ht="15">
      <c r="A38" s="432"/>
      <c r="B38" s="381" t="s">
        <v>2516</v>
      </c>
      <c r="C38" s="419" t="s">
        <v>3187</v>
      </c>
      <c r="D38" s="132">
        <v>100</v>
      </c>
      <c r="E38" s="419" t="s">
        <v>3187</v>
      </c>
      <c r="F38" s="420">
        <f>SUMIF(113:113,E38,114:114)-SUMIF(113:113,C38,114:114)+100</f>
        <v>100</v>
      </c>
      <c r="G38" s="419" t="s">
        <v>3187</v>
      </c>
      <c r="H38" s="394">
        <f>SUMIF(113:113,G38,114:114)-SUMIF(113:113,C38,114:114)+100</f>
        <v>100</v>
      </c>
      <c r="I38" s="419" t="s">
        <v>3187</v>
      </c>
      <c r="J38" s="394">
        <f>SUMIF(113:113,I38,114:114)-SUMIF(113:113,C38,114:114)+100</f>
        <v>100</v>
      </c>
      <c r="K38" s="569">
        <v>1</v>
      </c>
      <c r="L38" s="2947"/>
      <c r="M38" s="2948"/>
      <c r="N38" s="2948"/>
      <c r="O38" s="2948"/>
      <c r="P38" s="3318"/>
      <c r="Q38" s="1528"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46">
        <f t="shared" si="5"/>
        <v>1</v>
      </c>
    </row>
    <row r="39" spans="1:29" ht="15">
      <c r="A39" s="431"/>
      <c r="B39" s="381" t="s">
        <v>2517</v>
      </c>
      <c r="C39" s="419" t="s">
        <v>3188</v>
      </c>
      <c r="D39" s="394">
        <v>100</v>
      </c>
      <c r="E39" s="419" t="s">
        <v>3188</v>
      </c>
      <c r="F39" s="420">
        <f>SUMIF(115:115,E39,116:116)-SUMIF(115:115,C39,116:116)+100</f>
        <v>100</v>
      </c>
      <c r="G39" s="419" t="s">
        <v>3188</v>
      </c>
      <c r="H39" s="394">
        <f>SUMIF(115:115,G39,116:116)-SUMIF(115:115,C39,116:116)+100</f>
        <v>100</v>
      </c>
      <c r="I39" s="419" t="s">
        <v>3188</v>
      </c>
      <c r="J39" s="394">
        <f>SUMIF(115:115,I39,116:116)-SUMIF(115:115,C39,116:116)+100</f>
        <v>100</v>
      </c>
      <c r="K39" s="569">
        <v>1</v>
      </c>
      <c r="L39" s="2952"/>
      <c r="M39" s="2946"/>
      <c r="N39" s="2946"/>
      <c r="O39" s="2946"/>
      <c r="P39" s="3318" t="s">
        <v>2387</v>
      </c>
      <c r="Q39" s="1537" t="str">
        <f t="shared" si="11"/>
        <v>物业管理</v>
      </c>
      <c r="R39" s="714" t="s">
        <v>17</v>
      </c>
      <c r="S39" s="715">
        <f t="shared" si="12"/>
        <v>100</v>
      </c>
      <c r="T39" s="714" t="s">
        <v>17</v>
      </c>
      <c r="U39" s="715">
        <f t="shared" si="13"/>
        <v>100</v>
      </c>
      <c r="V39" s="714" t="s">
        <v>17</v>
      </c>
      <c r="W39" s="715">
        <f t="shared" si="14"/>
        <v>100</v>
      </c>
      <c r="X39" s="1540"/>
      <c r="Y39" s="3320" t="s">
        <v>2387</v>
      </c>
      <c r="Z39" s="1541" t="str">
        <f t="shared" si="15"/>
        <v>物业管理</v>
      </c>
      <c r="AA39" s="1538">
        <f t="shared" si="3"/>
        <v>1</v>
      </c>
      <c r="AB39" s="1538">
        <f t="shared" si="4"/>
        <v>1</v>
      </c>
      <c r="AC39" s="2149">
        <f t="shared" si="5"/>
        <v>1</v>
      </c>
    </row>
    <row r="40" spans="1:29" ht="15">
      <c r="A40" s="431"/>
      <c r="B40" s="381" t="s">
        <v>2485</v>
      </c>
      <c r="C40" s="419" t="s">
        <v>3184</v>
      </c>
      <c r="D40" s="394">
        <v>100</v>
      </c>
      <c r="E40" s="419" t="s">
        <v>3184</v>
      </c>
      <c r="F40" s="420">
        <f>SUMIF(117:117,E40,118:118)-SUMIF(117:117,C40,118:118)+100</f>
        <v>100</v>
      </c>
      <c r="G40" s="419" t="s">
        <v>3184</v>
      </c>
      <c r="H40" s="394">
        <f>SUMIF(117:117,G40,118:118)-SUMIF(117:117,C40,118:118)+100</f>
        <v>100</v>
      </c>
      <c r="I40" s="419" t="s">
        <v>3184</v>
      </c>
      <c r="J40" s="394">
        <f>SUMIF(117:117,I40,118:118)-SUMIF(117:117,C40,118:118)+100</f>
        <v>100</v>
      </c>
      <c r="K40" s="569">
        <v>1</v>
      </c>
      <c r="L40" s="2952"/>
      <c r="M40" s="2946"/>
      <c r="N40" s="2946"/>
      <c r="O40" s="2946"/>
      <c r="P40" s="3318"/>
      <c r="Q40" s="1537" t="str">
        <f t="shared" si="11"/>
        <v>市政基础设施</v>
      </c>
      <c r="R40" s="714" t="s">
        <v>17</v>
      </c>
      <c r="S40" s="715">
        <f t="shared" si="12"/>
        <v>100</v>
      </c>
      <c r="T40" s="714" t="s">
        <v>17</v>
      </c>
      <c r="U40" s="715">
        <f t="shared" si="13"/>
        <v>100</v>
      </c>
      <c r="V40" s="714" t="s">
        <v>17</v>
      </c>
      <c r="W40" s="715">
        <f t="shared" si="14"/>
        <v>100</v>
      </c>
      <c r="X40" s="1540"/>
      <c r="Y40" s="3320"/>
      <c r="Z40" s="1541" t="str">
        <f t="shared" si="15"/>
        <v>市政基础设施</v>
      </c>
      <c r="AA40" s="1538">
        <f t="shared" si="3"/>
        <v>1</v>
      </c>
      <c r="AB40" s="1538">
        <f t="shared" si="4"/>
        <v>1</v>
      </c>
      <c r="AC40" s="2149">
        <f t="shared" si="5"/>
        <v>1</v>
      </c>
    </row>
    <row r="41" spans="1:29" ht="15">
      <c r="A41" s="431"/>
      <c r="B41" s="381" t="s">
        <v>2487</v>
      </c>
      <c r="C41" s="573" t="s">
        <v>3266</v>
      </c>
      <c r="D41" s="394">
        <v>100</v>
      </c>
      <c r="E41" s="573" t="s">
        <v>3266</v>
      </c>
      <c r="F41" s="420">
        <f>SUMIF(119:119,E41,120:120)-SUMIF(119:119,C41,120:120)+100</f>
        <v>100</v>
      </c>
      <c r="G41" s="573" t="s">
        <v>3266</v>
      </c>
      <c r="H41" s="394">
        <f>SUMIF(119:119,G41,120:120)-SUMIF(119:119,C41,120:120)+100</f>
        <v>100</v>
      </c>
      <c r="I41" s="573" t="s">
        <v>3266</v>
      </c>
      <c r="J41" s="394">
        <f>SUMIF(119:119,I41,120:120)-SUMIF(119:119,C41,120:120)+100</f>
        <v>100</v>
      </c>
      <c r="K41" s="569">
        <v>1</v>
      </c>
      <c r="L41" s="2952"/>
      <c r="M41" s="2946"/>
      <c r="N41" s="2946"/>
      <c r="O41" s="2946"/>
      <c r="P41" s="3318"/>
      <c r="Q41" s="1537" t="str">
        <f t="shared" si="11"/>
        <v>层高</v>
      </c>
      <c r="R41" s="714" t="s">
        <v>17</v>
      </c>
      <c r="S41" s="715">
        <f t="shared" si="12"/>
        <v>100</v>
      </c>
      <c r="T41" s="714" t="s">
        <v>17</v>
      </c>
      <c r="U41" s="715">
        <f t="shared" si="13"/>
        <v>100</v>
      </c>
      <c r="V41" s="714" t="s">
        <v>17</v>
      </c>
      <c r="W41" s="715">
        <f t="shared" si="14"/>
        <v>100</v>
      </c>
      <c r="X41" s="1540"/>
      <c r="Y41" s="3320"/>
      <c r="Z41" s="1541" t="str">
        <f t="shared" si="15"/>
        <v>层高</v>
      </c>
      <c r="AA41" s="1538">
        <f t="shared" si="3"/>
        <v>1</v>
      </c>
      <c r="AB41" s="1538">
        <f t="shared" si="4"/>
        <v>1</v>
      </c>
      <c r="AC41" s="2149">
        <f t="shared" si="5"/>
        <v>1</v>
      </c>
    </row>
    <row r="42" spans="1:29" s="430" customFormat="1" ht="15">
      <c r="A42" s="427"/>
      <c r="B42" s="1539"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18"/>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8">
        <f t="shared" si="3"/>
        <v>1</v>
      </c>
      <c r="AB42" s="1538">
        <f t="shared" si="4"/>
        <v>1</v>
      </c>
      <c r="AC42" s="2149">
        <f t="shared" si="5"/>
        <v>1</v>
      </c>
    </row>
    <row r="43" spans="1:29" ht="15">
      <c r="A43" s="431"/>
      <c r="B43" s="381" t="s">
        <v>2490</v>
      </c>
      <c r="C43" s="419" t="s">
        <v>3186</v>
      </c>
      <c r="D43" s="394">
        <v>100</v>
      </c>
      <c r="E43" s="419" t="s">
        <v>3189</v>
      </c>
      <c r="F43" s="420">
        <f>SUMIF(123:123,E43,124:124)-SUMIF(123:123,C43,124:124)+100</f>
        <v>97</v>
      </c>
      <c r="G43" s="419" t="s">
        <v>3189</v>
      </c>
      <c r="H43" s="394">
        <f>SUMIF(123:123,G43,124:124)-SUMIF(123:123,C43,124:124)+100</f>
        <v>97</v>
      </c>
      <c r="I43" s="419" t="s">
        <v>3189</v>
      </c>
      <c r="J43" s="394">
        <f>SUMIF(123:123,I43,124:124)-SUMIF(123:123,C43,124:124)+100</f>
        <v>97</v>
      </c>
      <c r="K43" s="3084">
        <v>1</v>
      </c>
      <c r="L43" s="2952"/>
      <c r="M43" s="2946"/>
      <c r="N43" s="2946"/>
      <c r="O43" s="2946"/>
      <c r="P43" s="3318"/>
      <c r="Q43" s="1537" t="str">
        <f t="shared" si="11"/>
        <v>内部装修</v>
      </c>
      <c r="R43" s="714" t="s">
        <v>17</v>
      </c>
      <c r="S43" s="715">
        <f t="shared" si="12"/>
        <v>97</v>
      </c>
      <c r="T43" s="714" t="s">
        <v>17</v>
      </c>
      <c r="U43" s="715">
        <f t="shared" si="13"/>
        <v>97</v>
      </c>
      <c r="V43" s="714" t="s">
        <v>17</v>
      </c>
      <c r="W43" s="715">
        <f t="shared" si="14"/>
        <v>97</v>
      </c>
      <c r="X43" s="1540"/>
      <c r="Y43" s="3320"/>
      <c r="Z43" s="1541" t="str">
        <f t="shared" si="15"/>
        <v>内部装修</v>
      </c>
      <c r="AA43" s="1538">
        <f t="shared" si="3"/>
        <v>1.0309278350515463</v>
      </c>
      <c r="AB43" s="1538">
        <f t="shared" si="4"/>
        <v>1.0309278350515463</v>
      </c>
      <c r="AC43" s="2149">
        <f t="shared" si="5"/>
        <v>1.0309278350515463</v>
      </c>
    </row>
    <row r="44" spans="1:29" ht="15.75" thickBot="1">
      <c r="A44" s="431"/>
      <c r="B44" s="381" t="s">
        <v>2398</v>
      </c>
      <c r="C44" s="419" t="s">
        <v>3183</v>
      </c>
      <c r="D44" s="394">
        <v>100</v>
      </c>
      <c r="E44" s="419" t="s">
        <v>3183</v>
      </c>
      <c r="F44" s="420">
        <f>SUMIF(125:125,E44,126:126)-SUMIF(125:125,C44,126:126)+100</f>
        <v>100</v>
      </c>
      <c r="G44" s="419" t="s">
        <v>3183</v>
      </c>
      <c r="H44" s="394">
        <f>SUMIF(125:125,G44,126:126)-SUMIF(125:125,C44,126:126)+100</f>
        <v>100</v>
      </c>
      <c r="I44" s="419" t="s">
        <v>3183</v>
      </c>
      <c r="J44" s="394">
        <f>SUMIF(125:125,I44,126:126)-SUMIF(125:125,C44,126:126)+100</f>
        <v>100</v>
      </c>
      <c r="K44" s="569">
        <v>1</v>
      </c>
      <c r="L44" s="2952"/>
      <c r="M44" s="2946"/>
      <c r="N44" s="2946"/>
      <c r="O44" s="2946"/>
      <c r="P44" s="3318"/>
      <c r="Q44" s="1537" t="str">
        <f t="shared" si="11"/>
        <v>内部装修维护情况</v>
      </c>
      <c r="R44" s="714" t="s">
        <v>17</v>
      </c>
      <c r="S44" s="715">
        <f t="shared" si="12"/>
        <v>100</v>
      </c>
      <c r="T44" s="714" t="s">
        <v>17</v>
      </c>
      <c r="U44" s="715">
        <f t="shared" si="13"/>
        <v>100</v>
      </c>
      <c r="V44" s="714" t="s">
        <v>17</v>
      </c>
      <c r="W44" s="715">
        <f t="shared" si="14"/>
        <v>100</v>
      </c>
      <c r="X44" s="1540"/>
      <c r="Y44" s="3320"/>
      <c r="Z44" s="1541" t="str">
        <f t="shared" si="15"/>
        <v>内部装修维护情况</v>
      </c>
      <c r="AA44" s="1538">
        <f t="shared" si="3"/>
        <v>1</v>
      </c>
      <c r="AB44" s="1538">
        <f t="shared" si="4"/>
        <v>1</v>
      </c>
      <c r="AC44" s="2149">
        <f t="shared" si="5"/>
        <v>1</v>
      </c>
    </row>
    <row r="45" spans="1:29" s="113" customFormat="1" ht="15" hidden="1">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18"/>
      <c r="Q45" s="1528">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46">
        <f t="shared" si="5"/>
        <v>1</v>
      </c>
    </row>
    <row r="46" spans="1:29" ht="15" hidden="1">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18"/>
      <c r="Q46" s="1537">
        <f t="shared" si="11"/>
        <v>111</v>
      </c>
      <c r="R46" s="714" t="s">
        <v>17</v>
      </c>
      <c r="S46" s="715">
        <f t="shared" si="12"/>
        <v>100</v>
      </c>
      <c r="T46" s="714" t="s">
        <v>17</v>
      </c>
      <c r="U46" s="715">
        <f t="shared" si="13"/>
        <v>100</v>
      </c>
      <c r="V46" s="714" t="s">
        <v>17</v>
      </c>
      <c r="W46" s="715">
        <f t="shared" si="14"/>
        <v>100</v>
      </c>
      <c r="X46" s="1540"/>
      <c r="Y46" s="3320"/>
      <c r="Z46" s="1541">
        <f t="shared" si="15"/>
        <v>111</v>
      </c>
      <c r="AA46" s="1538">
        <f t="shared" si="3"/>
        <v>1</v>
      </c>
      <c r="AB46" s="1538">
        <f t="shared" si="4"/>
        <v>1</v>
      </c>
      <c r="AC46" s="2149">
        <f t="shared" si="5"/>
        <v>1</v>
      </c>
    </row>
    <row r="47" spans="1:29" ht="15.75" hidden="1"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19"/>
      <c r="Q47" s="1537">
        <f t="shared" si="11"/>
        <v>111</v>
      </c>
      <c r="R47" s="714" t="s">
        <v>17</v>
      </c>
      <c r="S47" s="715">
        <f t="shared" si="12"/>
        <v>100</v>
      </c>
      <c r="T47" s="714" t="s">
        <v>17</v>
      </c>
      <c r="U47" s="715">
        <f t="shared" si="13"/>
        <v>100</v>
      </c>
      <c r="V47" s="714" t="s">
        <v>17</v>
      </c>
      <c r="W47" s="715">
        <f t="shared" si="14"/>
        <v>100</v>
      </c>
      <c r="X47" s="1540"/>
      <c r="Y47" s="3321"/>
      <c r="Z47" s="1541">
        <f t="shared" si="15"/>
        <v>111</v>
      </c>
      <c r="AA47" s="1538">
        <f t="shared" si="3"/>
        <v>1</v>
      </c>
      <c r="AB47" s="1538">
        <f t="shared" si="4"/>
        <v>1</v>
      </c>
      <c r="AC47" s="2149">
        <f t="shared" si="5"/>
        <v>1</v>
      </c>
    </row>
    <row r="48" spans="1:29" ht="15">
      <c r="A48" s="438" t="s">
        <v>2399</v>
      </c>
      <c r="B48" s="439"/>
      <c r="C48" s="1315" t="s">
        <v>1</v>
      </c>
      <c r="D48" s="1316"/>
      <c r="E48" s="1317">
        <v>39154</v>
      </c>
      <c r="F48" s="1318"/>
      <c r="G48" s="1319">
        <v>34493</v>
      </c>
      <c r="H48" s="1320"/>
      <c r="I48" s="1317">
        <v>41804</v>
      </c>
      <c r="J48" s="444"/>
      <c r="K48" s="723"/>
      <c r="L48" s="2954"/>
      <c r="M48" s="2946"/>
      <c r="N48" s="2946"/>
      <c r="O48" s="2946"/>
      <c r="P48" s="3293" t="str">
        <f>A48</f>
        <v>成交单价（元/平方米）</v>
      </c>
      <c r="Q48" s="3322"/>
      <c r="R48" s="3323">
        <f>E48</f>
        <v>39154</v>
      </c>
      <c r="S48" s="3323"/>
      <c r="T48" s="3323">
        <f>G48</f>
        <v>34493</v>
      </c>
      <c r="U48" s="3323"/>
      <c r="V48" s="3323">
        <f>I48</f>
        <v>41804</v>
      </c>
      <c r="W48" s="3323"/>
      <c r="X48" s="405"/>
      <c r="Y48" s="721"/>
      <c r="Z48" s="405"/>
      <c r="AA48" s="405"/>
      <c r="AB48" s="405"/>
      <c r="AC48" s="586"/>
    </row>
    <row r="49" spans="1:29" ht="15.75" thickBot="1">
      <c r="A49" s="445" t="s">
        <v>2491</v>
      </c>
      <c r="B49" s="446"/>
      <c r="C49" s="3085">
        <f>R50</f>
        <v>35265</v>
      </c>
      <c r="D49" s="2539" t="s">
        <v>2878</v>
      </c>
      <c r="E49" s="1322">
        <f>R49</f>
        <v>34949</v>
      </c>
      <c r="F49" s="2540"/>
      <c r="G49" s="1321">
        <f>T49</f>
        <v>32376</v>
      </c>
      <c r="H49" s="2540"/>
      <c r="I49" s="1322">
        <f>V49</f>
        <v>38469</v>
      </c>
      <c r="J49" s="2540"/>
      <c r="K49" s="2542">
        <f>F49+H49+J49</f>
        <v>0</v>
      </c>
      <c r="L49" s="2954"/>
      <c r="M49" s="2946"/>
      <c r="N49" s="2946"/>
      <c r="O49" s="2946"/>
      <c r="P49" s="3293" t="str">
        <f>A49</f>
        <v>比较价值（元/平方米）</v>
      </c>
      <c r="Q49" s="3322"/>
      <c r="R49" s="3323">
        <f>IF(F1="售价",ROUND(PRODUCT(R48,AA7:AA47),0),ROUND(PRODUCT(R48,AA7:AA47),1))</f>
        <v>34949</v>
      </c>
      <c r="S49" s="3323"/>
      <c r="T49" s="3323">
        <f>IF(F1="售价",ROUND(PRODUCT(T48,AB7:AB47),0),ROUND(PRODUCT(T48,AB7:AB47),1))</f>
        <v>32376</v>
      </c>
      <c r="U49" s="3323"/>
      <c r="V49" s="3323">
        <f>IF(F1="售价",ROUND(PRODUCT(V48,AC7:AC47),0),ROUND(PRODUCT(V48,AC7:AC47),1))</f>
        <v>38469</v>
      </c>
      <c r="W49" s="3323"/>
      <c r="X49" s="405"/>
      <c r="Y49" s="405"/>
      <c r="Z49" s="405"/>
      <c r="AA49" s="405"/>
      <c r="AB49" s="405"/>
      <c r="AC49" s="586"/>
    </row>
    <row r="50" spans="1:29" ht="15.75" thickBot="1">
      <c r="A50" s="449" t="s">
        <v>2492</v>
      </c>
      <c r="B50" s="450"/>
      <c r="C50" s="1324">
        <f>R50</f>
        <v>35265</v>
      </c>
      <c r="D50" s="1324"/>
      <c r="E50" s="1324"/>
      <c r="F50" s="1324"/>
      <c r="G50" s="1324"/>
      <c r="H50" s="1324"/>
      <c r="I50" s="1324"/>
      <c r="J50" s="451"/>
      <c r="K50" s="724"/>
      <c r="L50" s="2954"/>
      <c r="M50" s="2946"/>
      <c r="N50" s="2946"/>
      <c r="O50" s="2946"/>
      <c r="P50" s="3324" t="str">
        <f>A50</f>
        <v>估价对象XX用房的比较价值（楼面单价，元/平方米）</v>
      </c>
      <c r="Q50" s="3325"/>
      <c r="R50" s="3326">
        <f>IF(F1="售价",ROUND(IF(D49="简单平均",AVERAGE(R49:V49),R49*F49+T49*H49+V49*J49),0),ROUND(IF(D49="简单平均",AVERAGE(R49:V49),R49*F49+T49*H49+V49*J49),1))</f>
        <v>35265</v>
      </c>
      <c r="S50" s="3326"/>
      <c r="T50" s="3326"/>
      <c r="U50" s="3326"/>
      <c r="V50" s="3326"/>
      <c r="W50" s="3326"/>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2493</v>
      </c>
      <c r="D53" s="455"/>
      <c r="E53" s="456">
        <f>IF(E48&lt;E49,E49/E48-1,E48/E49-1)</f>
        <v>0.12031817791639243</v>
      </c>
      <c r="F53" s="457" t="str">
        <f>IF(OR(E53&gt;=0.3,E53&lt;=-0.3),"超过30%","")</f>
        <v/>
      </c>
      <c r="G53" s="456">
        <f>IF(G48&lt;G49,G49/G48-1,G48/G49-1)</f>
        <v>6.5387941685199014E-2</v>
      </c>
      <c r="H53" s="457" t="str">
        <f>IF(OR(G53&gt;=0.3,G53&lt;=-0.3),"超过30%","")</f>
        <v/>
      </c>
      <c r="I53" s="456">
        <f>IF(I48&lt;I49,I49/I48-1,I48/I49-1)</f>
        <v>8.669318152278449E-2</v>
      </c>
      <c r="J53" s="457" t="str">
        <f>IF(OR(I53&gt;=0.3,I53&lt;=-0.3),"超过30%","")</f>
        <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2494</v>
      </c>
      <c r="D54" s="458"/>
      <c r="E54" s="456">
        <f>IF(E49&lt;G49,G49/E49-1,E49/G49-1)</f>
        <v>7.9472448727452516E-2</v>
      </c>
      <c r="F54" s="457" t="str">
        <f>IF(OR(E54&gt;=0.2,E54&lt;=-0.2),"超过20%","")</f>
        <v/>
      </c>
      <c r="G54" s="456">
        <f>IF(G49&lt;I49,I49/G49-1,G49/I49-1)</f>
        <v>0.1881949592290586</v>
      </c>
      <c r="H54" s="457" t="str">
        <f>IF(OR(G54&gt;=0.2,G54&lt;=-0.2),"超过20%","")</f>
        <v/>
      </c>
      <c r="I54" s="456">
        <f>IF(I49&lt;E49,E49/I49-1,I49/E49-1)</f>
        <v>0.10071818936164134</v>
      </c>
      <c r="J54" s="457" t="str">
        <f>IF(OR(I54&gt;=0.2,I54&lt;=-0.2),"超过20%","")</f>
        <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2495</v>
      </c>
      <c r="D55" s="458"/>
      <c r="E55" s="456">
        <f>IF(E48&lt;G48,G48/E48-1,E48/G48-1)</f>
        <v>0.1351288667265822</v>
      </c>
      <c r="F55" s="457" t="str">
        <f>IF(OR(E55&gt;=0.3,E55&lt;=-0.3),"超过30%","")</f>
        <v/>
      </c>
      <c r="G55" s="456">
        <f>IF(G48&lt;I48,I48/G48-1,G48/I48-1)</f>
        <v>0.21195604905343113</v>
      </c>
      <c r="H55" s="457" t="str">
        <f>IF(OR(G55&gt;=0.3,G55&lt;=-0.3),"超过30%","")</f>
        <v/>
      </c>
      <c r="I55" s="456">
        <f>IF(I48&lt;E48,E48/I48-1,I48/E48-1)</f>
        <v>6.7681462941206583E-2</v>
      </c>
      <c r="J55" s="457" t="str">
        <f>IF(OR(I55&gt;=0.3,I55&lt;=-0.3),"超过30%","")</f>
        <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2496</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2370</v>
      </c>
      <c r="B59" s="463"/>
      <c r="C59" s="1345" t="str">
        <f>YEAR(C7)&amp;"-"&amp;MONTH(C7)</f>
        <v>2020-12</v>
      </c>
      <c r="D59" s="1346">
        <f>EDATE(C59,-1)</f>
        <v>44136</v>
      </c>
      <c r="E59" s="1346">
        <f>EDATE(D59,-1)</f>
        <v>44105</v>
      </c>
      <c r="F59" s="1346">
        <f t="shared" ref="F59:O59" si="16">EDATE(E59,-1)</f>
        <v>44075</v>
      </c>
      <c r="G59" s="1346">
        <f t="shared" si="16"/>
        <v>44044</v>
      </c>
      <c r="H59" s="1346">
        <f t="shared" si="16"/>
        <v>44013</v>
      </c>
      <c r="I59" s="1346">
        <f t="shared" si="16"/>
        <v>43983</v>
      </c>
      <c r="J59" s="1346">
        <f t="shared" si="16"/>
        <v>43952</v>
      </c>
      <c r="K59" s="1346">
        <f t="shared" si="16"/>
        <v>43922</v>
      </c>
      <c r="L59" s="1346">
        <f t="shared" si="16"/>
        <v>43891</v>
      </c>
      <c r="M59" s="1346">
        <f t="shared" si="16"/>
        <v>43862</v>
      </c>
      <c r="N59" s="1346">
        <f t="shared" si="16"/>
        <v>43831</v>
      </c>
      <c r="O59" s="1346">
        <f t="shared" si="16"/>
        <v>43800</v>
      </c>
      <c r="P59" s="3073">
        <f t="shared" ref="P59" si="17">EDATE(O59,-1)</f>
        <v>43770</v>
      </c>
      <c r="Q59" s="3073">
        <f t="shared" ref="Q59" si="18">EDATE(P59,-1)</f>
        <v>43739</v>
      </c>
      <c r="R59" s="3073">
        <f t="shared" ref="R59" si="19">EDATE(Q59,-1)</f>
        <v>43709</v>
      </c>
      <c r="S59" s="3073">
        <f t="shared" ref="S59" si="20">EDATE(R59,-1)</f>
        <v>43678</v>
      </c>
      <c r="T59" s="3073">
        <f t="shared" ref="T59" si="21">EDATE(S59,-1)</f>
        <v>43647</v>
      </c>
      <c r="U59" s="3073">
        <f t="shared" ref="U59" si="22">EDATE(T59,-1)</f>
        <v>43617</v>
      </c>
      <c r="V59" s="3073">
        <f t="shared" ref="V59" si="23">EDATE(U59,-1)</f>
        <v>43586</v>
      </c>
      <c r="W59" s="3073">
        <f t="shared" ref="W59" si="24">EDATE(V59,-1)</f>
        <v>43556</v>
      </c>
      <c r="X59" s="2971"/>
      <c r="Y59" s="2971"/>
      <c r="Z59" s="2971"/>
      <c r="AA59" s="2971"/>
      <c r="AB59" s="2971"/>
      <c r="AC59" s="2971"/>
    </row>
    <row r="60" spans="1:29" s="113" customFormat="1" ht="15">
      <c r="A60" s="466"/>
      <c r="B60" s="467"/>
      <c r="C60" s="1344">
        <v>100</v>
      </c>
      <c r="D60" s="469">
        <v>100</v>
      </c>
      <c r="E60" s="469">
        <v>100</v>
      </c>
      <c r="F60" s="469">
        <v>100</v>
      </c>
      <c r="G60" s="469">
        <v>100</v>
      </c>
      <c r="H60" s="469">
        <v>100</v>
      </c>
      <c r="I60" s="469">
        <v>100</v>
      </c>
      <c r="J60" s="469">
        <v>100</v>
      </c>
      <c r="K60" s="469">
        <v>100</v>
      </c>
      <c r="L60" s="469">
        <v>100</v>
      </c>
      <c r="M60" s="469">
        <v>100</v>
      </c>
      <c r="N60" s="469">
        <v>100</v>
      </c>
      <c r="O60" s="469">
        <v>100</v>
      </c>
      <c r="P60" s="469">
        <v>100</v>
      </c>
      <c r="Q60" s="469">
        <v>100</v>
      </c>
      <c r="R60" s="469">
        <v>100</v>
      </c>
      <c r="S60" s="469">
        <v>100</v>
      </c>
      <c r="T60" s="469">
        <v>100</v>
      </c>
      <c r="U60" s="469">
        <v>100</v>
      </c>
      <c r="V60" s="469">
        <v>100</v>
      </c>
      <c r="W60" s="469">
        <v>100</v>
      </c>
      <c r="X60" s="2889"/>
      <c r="Y60" s="2889"/>
      <c r="Z60" s="2889"/>
      <c r="AA60" s="2889"/>
      <c r="AB60" s="2889"/>
      <c r="AC60" s="2889"/>
    </row>
    <row r="61" spans="1:29" s="113" customFormat="1" ht="15.75" thickBot="1">
      <c r="A61" s="472" t="s">
        <v>2407</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2372</v>
      </c>
      <c r="B62" s="467"/>
      <c r="C62" s="479" t="s">
        <v>2474</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2410</v>
      </c>
      <c r="B64" s="485" t="s">
        <v>2376</v>
      </c>
      <c r="C64" s="486" t="str">
        <f>C9</f>
        <v>科教</v>
      </c>
      <c r="D64" s="3067" t="s">
        <v>3206</v>
      </c>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v>110</v>
      </c>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2380</v>
      </c>
      <c r="C68" s="504" t="str">
        <f>C69&amp;"（含）"&amp;"-"&amp;D69</f>
        <v>0（含）-1</v>
      </c>
      <c r="D68" s="504" t="str">
        <f t="shared" ref="D68:L68" si="25">D69&amp;"（含）"&amp;"-"&amp;E69</f>
        <v>1（含）-</v>
      </c>
      <c r="E68" s="504" t="str">
        <f t="shared" si="25"/>
        <v>（含）-</v>
      </c>
      <c r="F68" s="504" t="str">
        <f t="shared" si="25"/>
        <v>（含）-</v>
      </c>
      <c r="G68" s="504" t="str">
        <f t="shared" si="25"/>
        <v>（含）-</v>
      </c>
      <c r="H68" s="504" t="str">
        <f t="shared" si="25"/>
        <v>（含）-</v>
      </c>
      <c r="I68" s="504" t="str">
        <f t="shared" si="25"/>
        <v>（含）-</v>
      </c>
      <c r="J68" s="504" t="str">
        <f t="shared" si="25"/>
        <v>（含）-</v>
      </c>
      <c r="K68" s="504" t="str">
        <f t="shared" si="25"/>
        <v>（含）-</v>
      </c>
      <c r="L68" s="504" t="str">
        <f t="shared" si="25"/>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v>0</v>
      </c>
      <c r="D69" s="506">
        <v>1</v>
      </c>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26">C70-$K11</f>
        <v>100</v>
      </c>
      <c r="E70" s="501">
        <f t="shared" si="26"/>
        <v>100</v>
      </c>
      <c r="F70" s="501">
        <f t="shared" si="26"/>
        <v>100</v>
      </c>
      <c r="G70" s="501">
        <f t="shared" si="26"/>
        <v>100</v>
      </c>
      <c r="H70" s="501">
        <f t="shared" si="26"/>
        <v>100</v>
      </c>
      <c r="I70" s="501">
        <f t="shared" si="26"/>
        <v>100</v>
      </c>
      <c r="J70" s="501">
        <f t="shared" si="26"/>
        <v>100</v>
      </c>
      <c r="K70" s="501">
        <f t="shared" si="26"/>
        <v>100</v>
      </c>
      <c r="L70" s="501">
        <f t="shared" si="26"/>
        <v>100</v>
      </c>
      <c r="M70" s="502">
        <f t="shared" si="26"/>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2381</v>
      </c>
      <c r="B77" s="485" t="s">
        <v>2519</v>
      </c>
      <c r="C77" s="530" t="s">
        <v>2419</v>
      </c>
      <c r="D77" s="530" t="s">
        <v>2420</v>
      </c>
      <c r="E77" s="530" t="s">
        <v>2421</v>
      </c>
      <c r="F77" s="530" t="s">
        <v>2422</v>
      </c>
      <c r="G77" s="530" t="s">
        <v>2423</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98</v>
      </c>
      <c r="E78" s="501">
        <f>D78-$K15</f>
        <v>96</v>
      </c>
      <c r="F78" s="501">
        <f>E78-$K15</f>
        <v>94</v>
      </c>
      <c r="G78" s="501">
        <f>F78-$K15</f>
        <v>92</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2424</v>
      </c>
      <c r="C79" s="535" t="s">
        <v>2419</v>
      </c>
      <c r="D79" s="535" t="s">
        <v>2420</v>
      </c>
      <c r="E79" s="535" t="s">
        <v>2421</v>
      </c>
      <c r="F79" s="535" t="s">
        <v>2422</v>
      </c>
      <c r="G79" s="535" t="s">
        <v>2423</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98</v>
      </c>
      <c r="E80" s="501">
        <f>D80-$K17</f>
        <v>96</v>
      </c>
      <c r="F80" s="501">
        <f>E80-$K17</f>
        <v>94</v>
      </c>
      <c r="G80" s="501">
        <f>F80-$K17</f>
        <v>92</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2425</v>
      </c>
      <c r="C81" s="535" t="s">
        <v>2419</v>
      </c>
      <c r="D81" s="535" t="s">
        <v>2420</v>
      </c>
      <c r="E81" s="535" t="s">
        <v>2421</v>
      </c>
      <c r="F81" s="535" t="s">
        <v>2422</v>
      </c>
      <c r="G81" s="535" t="s">
        <v>2423</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98</v>
      </c>
      <c r="E82" s="501">
        <f>D82-$K19</f>
        <v>96</v>
      </c>
      <c r="F82" s="501">
        <f>E82-$K19</f>
        <v>94</v>
      </c>
      <c r="G82" s="501">
        <f>F82-$K19</f>
        <v>92</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2511</v>
      </c>
      <c r="C83" s="616" t="s">
        <v>2497</v>
      </c>
      <c r="D83" s="616" t="s">
        <v>2498</v>
      </c>
      <c r="E83" s="616" t="s">
        <v>2499</v>
      </c>
      <c r="F83" s="616" t="s">
        <v>2500</v>
      </c>
      <c r="G83" s="616" t="s">
        <v>2501</v>
      </c>
      <c r="H83" s="496"/>
      <c r="I83" s="496"/>
      <c r="J83" s="496"/>
      <c r="K83" s="496"/>
      <c r="L83" s="496"/>
      <c r="M83" s="1290"/>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98</v>
      </c>
      <c r="E84" s="501">
        <f>D84-$K21</f>
        <v>96</v>
      </c>
      <c r="F84" s="501">
        <f>E84-$K21</f>
        <v>94</v>
      </c>
      <c r="G84" s="501">
        <f>F84-$K21</f>
        <v>92</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2520</v>
      </c>
      <c r="C85" s="535" t="s">
        <v>2419</v>
      </c>
      <c r="D85" s="535" t="s">
        <v>2420</v>
      </c>
      <c r="E85" s="535" t="s">
        <v>2421</v>
      </c>
      <c r="F85" s="535" t="s">
        <v>2422</v>
      </c>
      <c r="G85" s="535" t="s">
        <v>2423</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98</v>
      </c>
      <c r="E86" s="501">
        <f>D86-$K23</f>
        <v>96</v>
      </c>
      <c r="F86" s="501">
        <f>E86-$K23</f>
        <v>94</v>
      </c>
      <c r="G86" s="501">
        <f>F86-$K23</f>
        <v>92</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2521</v>
      </c>
      <c r="C87" s="3065" t="s">
        <v>3191</v>
      </c>
      <c r="D87" s="3066" t="s">
        <v>3192</v>
      </c>
      <c r="E87" s="3066" t="s">
        <v>3193</v>
      </c>
      <c r="F87" s="3066" t="s">
        <v>3194</v>
      </c>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27">C88-$K25</f>
        <v>99</v>
      </c>
      <c r="E88" s="501">
        <f t="shared" si="27"/>
        <v>98</v>
      </c>
      <c r="F88" s="501">
        <f t="shared" si="27"/>
        <v>97</v>
      </c>
      <c r="G88" s="501">
        <f t="shared" si="27"/>
        <v>96</v>
      </c>
      <c r="H88" s="501">
        <f t="shared" si="27"/>
        <v>95</v>
      </c>
      <c r="I88" s="501">
        <f t="shared" si="27"/>
        <v>94</v>
      </c>
      <c r="J88" s="501">
        <f t="shared" si="27"/>
        <v>93</v>
      </c>
      <c r="K88" s="501">
        <f t="shared" si="27"/>
        <v>92</v>
      </c>
      <c r="L88" s="501">
        <f t="shared" si="27"/>
        <v>91</v>
      </c>
      <c r="M88" s="501">
        <f t="shared" si="27"/>
        <v>90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3066" t="s">
        <v>3256</v>
      </c>
      <c r="D89" s="3066" t="s">
        <v>3258</v>
      </c>
      <c r="E89" s="3066" t="s">
        <v>3260</v>
      </c>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97</v>
      </c>
      <c r="E90" s="501">
        <f t="shared" ref="E90:M90" si="28">D90-$K27</f>
        <v>94</v>
      </c>
      <c r="F90" s="501">
        <f t="shared" si="28"/>
        <v>91</v>
      </c>
      <c r="G90" s="501">
        <f t="shared" si="28"/>
        <v>88</v>
      </c>
      <c r="H90" s="501">
        <f t="shared" si="28"/>
        <v>85</v>
      </c>
      <c r="I90" s="501">
        <f t="shared" si="28"/>
        <v>82</v>
      </c>
      <c r="J90" s="501">
        <f t="shared" si="28"/>
        <v>79</v>
      </c>
      <c r="K90" s="501">
        <f t="shared" si="28"/>
        <v>76</v>
      </c>
      <c r="L90" s="501">
        <f t="shared" si="28"/>
        <v>73</v>
      </c>
      <c r="M90" s="501">
        <f t="shared" si="28"/>
        <v>70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9">C92-$K28</f>
        <v>100</v>
      </c>
      <c r="E92" s="501">
        <f t="shared" si="29"/>
        <v>100</v>
      </c>
      <c r="F92" s="501">
        <f t="shared" si="29"/>
        <v>100</v>
      </c>
      <c r="G92" s="501">
        <f t="shared" si="29"/>
        <v>100</v>
      </c>
      <c r="H92" s="501">
        <f t="shared" si="29"/>
        <v>100</v>
      </c>
      <c r="I92" s="501">
        <f t="shared" si="29"/>
        <v>100</v>
      </c>
      <c r="J92" s="501">
        <f t="shared" si="29"/>
        <v>100</v>
      </c>
      <c r="K92" s="501">
        <f t="shared" si="29"/>
        <v>100</v>
      </c>
      <c r="L92" s="501">
        <f t="shared" si="29"/>
        <v>100</v>
      </c>
      <c r="M92" s="501">
        <f t="shared" si="29"/>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2385</v>
      </c>
      <c r="B101" s="485" t="s">
        <v>2434</v>
      </c>
      <c r="C101" s="3067" t="s">
        <v>3195</v>
      </c>
      <c r="D101" s="3067" t="s">
        <v>3185</v>
      </c>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30">C102-$K33</f>
        <v>97</v>
      </c>
      <c r="E102" s="501">
        <f t="shared" si="30"/>
        <v>94</v>
      </c>
      <c r="F102" s="501">
        <f t="shared" si="30"/>
        <v>91</v>
      </c>
      <c r="G102" s="501">
        <f t="shared" si="30"/>
        <v>88</v>
      </c>
      <c r="H102" s="501">
        <f t="shared" si="30"/>
        <v>85</v>
      </c>
      <c r="I102" s="501">
        <f t="shared" si="30"/>
        <v>82</v>
      </c>
      <c r="J102" s="501">
        <f t="shared" si="30"/>
        <v>79</v>
      </c>
      <c r="K102" s="501">
        <f t="shared" si="30"/>
        <v>76</v>
      </c>
      <c r="L102" s="501">
        <f t="shared" si="30"/>
        <v>73</v>
      </c>
      <c r="M102" s="502">
        <f t="shared" si="30"/>
        <v>70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2435</v>
      </c>
      <c r="C103" s="535" t="str">
        <f>C104&amp;"(含)"&amp;"-"&amp;D104</f>
        <v>0(含)-300</v>
      </c>
      <c r="D103" s="535" t="str">
        <f t="shared" ref="D103:L103" si="31">D104&amp;"(含)"&amp;"-"&amp;E104</f>
        <v>300(含)-600</v>
      </c>
      <c r="E103" s="535" t="str">
        <f t="shared" si="31"/>
        <v>600(含)-900</v>
      </c>
      <c r="F103" s="535" t="str">
        <f t="shared" si="31"/>
        <v>900(含)-1500</v>
      </c>
      <c r="G103" s="535" t="str">
        <f t="shared" si="31"/>
        <v>1500(含)-</v>
      </c>
      <c r="H103" s="535" t="str">
        <f t="shared" si="31"/>
        <v>(含)-</v>
      </c>
      <c r="I103" s="535" t="str">
        <f t="shared" si="31"/>
        <v>(含)-</v>
      </c>
      <c r="J103" s="535" t="str">
        <f t="shared" si="31"/>
        <v>(含)-</v>
      </c>
      <c r="K103" s="535" t="str">
        <f t="shared" si="31"/>
        <v>(含)-</v>
      </c>
      <c r="L103" s="535" t="str">
        <f t="shared" si="31"/>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v>0</v>
      </c>
      <c r="D104" s="552">
        <v>300</v>
      </c>
      <c r="E104" s="552">
        <v>600</v>
      </c>
      <c r="F104" s="552">
        <v>900</v>
      </c>
      <c r="G104" s="552">
        <v>1500</v>
      </c>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v>98</v>
      </c>
      <c r="D105" s="493">
        <v>100</v>
      </c>
      <c r="E105" s="493">
        <v>98</v>
      </c>
      <c r="F105" s="493">
        <v>96</v>
      </c>
      <c r="G105" s="493">
        <v>94</v>
      </c>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2436</v>
      </c>
      <c r="C106" s="3066" t="s">
        <v>3265</v>
      </c>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32">C107-$K35</f>
        <v>99</v>
      </c>
      <c r="E107" s="501">
        <f t="shared" si="32"/>
        <v>98</v>
      </c>
      <c r="F107" s="501">
        <f t="shared" si="32"/>
        <v>97</v>
      </c>
      <c r="G107" s="501">
        <f t="shared" si="32"/>
        <v>96</v>
      </c>
      <c r="H107" s="501">
        <f t="shared" si="32"/>
        <v>95</v>
      </c>
      <c r="I107" s="501">
        <f t="shared" si="32"/>
        <v>94</v>
      </c>
      <c r="J107" s="501">
        <f t="shared" si="32"/>
        <v>93</v>
      </c>
      <c r="K107" s="501">
        <f t="shared" si="32"/>
        <v>92</v>
      </c>
      <c r="L107" s="501">
        <f t="shared" si="32"/>
        <v>91</v>
      </c>
      <c r="M107" s="502">
        <f t="shared" si="32"/>
        <v>90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2438</v>
      </c>
      <c r="C108" s="3066" t="s">
        <v>3261</v>
      </c>
      <c r="D108" s="3066" t="s">
        <v>3262</v>
      </c>
      <c r="E108" s="3066" t="s">
        <v>3263</v>
      </c>
      <c r="F108" s="3081" t="s">
        <v>3264</v>
      </c>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33">C109-$K36</f>
        <v>99</v>
      </c>
      <c r="E109" s="501">
        <f t="shared" si="33"/>
        <v>98</v>
      </c>
      <c r="F109" s="501">
        <f t="shared" si="33"/>
        <v>97</v>
      </c>
      <c r="G109" s="501">
        <f t="shared" si="33"/>
        <v>96</v>
      </c>
      <c r="H109" s="501">
        <f t="shared" si="33"/>
        <v>95</v>
      </c>
      <c r="I109" s="501">
        <f t="shared" si="33"/>
        <v>94</v>
      </c>
      <c r="J109" s="501">
        <f t="shared" si="33"/>
        <v>93</v>
      </c>
      <c r="K109" s="501">
        <f t="shared" si="33"/>
        <v>92</v>
      </c>
      <c r="L109" s="501">
        <f t="shared" si="33"/>
        <v>91</v>
      </c>
      <c r="M109" s="502">
        <f t="shared" si="33"/>
        <v>90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101</v>
      </c>
      <c r="E112" s="501">
        <f t="shared" ref="E112:M112" si="34">D112+$K37</f>
        <v>102</v>
      </c>
      <c r="F112" s="501">
        <f t="shared" si="34"/>
        <v>103</v>
      </c>
      <c r="G112" s="501">
        <f t="shared" si="34"/>
        <v>104</v>
      </c>
      <c r="H112" s="501">
        <f t="shared" si="34"/>
        <v>105</v>
      </c>
      <c r="I112" s="501">
        <f t="shared" si="34"/>
        <v>106</v>
      </c>
      <c r="J112" s="501">
        <f t="shared" si="34"/>
        <v>107</v>
      </c>
      <c r="K112" s="501">
        <f t="shared" si="34"/>
        <v>108</v>
      </c>
      <c r="L112" s="501">
        <f t="shared" si="34"/>
        <v>109</v>
      </c>
      <c r="M112" s="501">
        <f t="shared" si="34"/>
        <v>110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2522</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99</v>
      </c>
      <c r="E114" s="501">
        <f t="shared" ref="E114:M114" si="35">D114-$K38</f>
        <v>98</v>
      </c>
      <c r="F114" s="501">
        <f t="shared" si="35"/>
        <v>97</v>
      </c>
      <c r="G114" s="501">
        <f t="shared" si="35"/>
        <v>96</v>
      </c>
      <c r="H114" s="501">
        <f t="shared" si="35"/>
        <v>95</v>
      </c>
      <c r="I114" s="501">
        <f t="shared" si="35"/>
        <v>94</v>
      </c>
      <c r="J114" s="501">
        <f t="shared" si="35"/>
        <v>93</v>
      </c>
      <c r="K114" s="501">
        <f t="shared" si="35"/>
        <v>92</v>
      </c>
      <c r="L114" s="501">
        <f t="shared" si="35"/>
        <v>91</v>
      </c>
      <c r="M114" s="501">
        <f t="shared" si="35"/>
        <v>90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2439</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36">C116-$K39</f>
        <v>99</v>
      </c>
      <c r="E116" s="501">
        <f t="shared" si="36"/>
        <v>98</v>
      </c>
      <c r="F116" s="501">
        <f t="shared" si="36"/>
        <v>97</v>
      </c>
      <c r="G116" s="501">
        <f t="shared" si="36"/>
        <v>96</v>
      </c>
      <c r="H116" s="501">
        <f t="shared" si="36"/>
        <v>95</v>
      </c>
      <c r="I116" s="501">
        <f t="shared" si="36"/>
        <v>94</v>
      </c>
      <c r="J116" s="501">
        <f t="shared" si="36"/>
        <v>93</v>
      </c>
      <c r="K116" s="501">
        <f t="shared" si="36"/>
        <v>92</v>
      </c>
      <c r="L116" s="501">
        <f t="shared" si="36"/>
        <v>91</v>
      </c>
      <c r="M116" s="502">
        <f t="shared" si="36"/>
        <v>90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2440</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2523</v>
      </c>
      <c r="C119" s="3081" t="s">
        <v>3267</v>
      </c>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99</v>
      </c>
      <c r="E120" s="501">
        <f t="shared" ref="E120:M120" si="37">D120-$K41</f>
        <v>98</v>
      </c>
      <c r="F120" s="501">
        <f t="shared" si="37"/>
        <v>97</v>
      </c>
      <c r="G120" s="501">
        <f t="shared" si="37"/>
        <v>96</v>
      </c>
      <c r="H120" s="501">
        <f t="shared" si="37"/>
        <v>95</v>
      </c>
      <c r="I120" s="501">
        <f t="shared" si="37"/>
        <v>94</v>
      </c>
      <c r="J120" s="501">
        <f t="shared" si="37"/>
        <v>93</v>
      </c>
      <c r="K120" s="501">
        <f t="shared" si="37"/>
        <v>92</v>
      </c>
      <c r="L120" s="501">
        <f t="shared" si="37"/>
        <v>91</v>
      </c>
      <c r="M120" s="501">
        <f t="shared" si="37"/>
        <v>90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2506</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2442</v>
      </c>
      <c r="C123" s="3066" t="s">
        <v>3261</v>
      </c>
      <c r="D123" s="3066" t="s">
        <v>3262</v>
      </c>
      <c r="E123" s="3066" t="s">
        <v>3263</v>
      </c>
      <c r="F123" s="3081" t="s">
        <v>3264</v>
      </c>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8">C124-$K43</f>
        <v>99</v>
      </c>
      <c r="E124" s="501">
        <f t="shared" si="38"/>
        <v>98</v>
      </c>
      <c r="F124" s="501">
        <f t="shared" si="38"/>
        <v>97</v>
      </c>
      <c r="G124" s="501">
        <f t="shared" si="38"/>
        <v>96</v>
      </c>
      <c r="H124" s="501">
        <f t="shared" si="38"/>
        <v>95</v>
      </c>
      <c r="I124" s="501">
        <f t="shared" si="38"/>
        <v>94</v>
      </c>
      <c r="J124" s="501">
        <f t="shared" si="38"/>
        <v>93</v>
      </c>
      <c r="K124" s="501">
        <f t="shared" si="38"/>
        <v>92</v>
      </c>
      <c r="L124" s="501">
        <f t="shared" si="38"/>
        <v>91</v>
      </c>
      <c r="M124" s="502">
        <f t="shared" si="38"/>
        <v>90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6" t="str">
        <f>项目基本情况!B1</f>
        <v>北京市房地产抵押价值预评估</v>
      </c>
      <c r="C37" s="3086"/>
      <c r="D37" s="3086"/>
      <c r="E37" s="3086"/>
      <c r="F37" s="3086"/>
      <c r="G37" s="3086"/>
      <c r="H37" s="3086"/>
      <c r="I37" s="3086"/>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19" sqref="F1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1" t="s">
        <v>2824</v>
      </c>
      <c r="D1" s="3422"/>
      <c r="E1" s="3422"/>
      <c r="F1" s="3422"/>
      <c r="G1" s="3422"/>
      <c r="H1" s="3422"/>
      <c r="I1" s="3422"/>
      <c r="J1" s="3422"/>
      <c r="K1" s="3422"/>
      <c r="L1" s="3422"/>
      <c r="M1" s="3422"/>
      <c r="N1" s="3422"/>
      <c r="O1" s="3422"/>
      <c r="P1" s="3422"/>
      <c r="Q1" s="3422"/>
      <c r="R1" s="3422"/>
      <c r="S1" s="3423"/>
      <c r="T1" s="1114" t="s">
        <v>2825</v>
      </c>
    </row>
    <row r="2" spans="1:45" s="663" customFormat="1" ht="38.25">
      <c r="A2" s="1115"/>
      <c r="B2" s="659" t="s">
        <v>2826</v>
      </c>
      <c r="C2" s="660" t="str">
        <f t="shared" ref="C2:L2" si="0">C3&amp;"(含)"&amp;"-"&amp;D3</f>
        <v>0(含)-300</v>
      </c>
      <c r="D2" s="661" t="str">
        <f t="shared" si="0"/>
        <v>300(含)-600</v>
      </c>
      <c r="E2" s="661" t="str">
        <f t="shared" si="0"/>
        <v>600(含)-900</v>
      </c>
      <c r="F2" s="661" t="str">
        <f t="shared" si="0"/>
        <v>900(含)-1500</v>
      </c>
      <c r="G2" s="661" t="str">
        <f t="shared" si="0"/>
        <v>1500(含)-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300</v>
      </c>
      <c r="E3" s="666">
        <v>600</v>
      </c>
      <c r="F3" s="1474">
        <v>900</v>
      </c>
      <c r="G3" s="1474">
        <v>1500</v>
      </c>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98</v>
      </c>
      <c r="D4" s="1121">
        <v>100</v>
      </c>
      <c r="E4" s="1121">
        <v>98</v>
      </c>
      <c r="F4" s="1478">
        <v>96</v>
      </c>
      <c r="G4" s="1478">
        <v>94</v>
      </c>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idden="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hidden="1"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idden="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hidden="1"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idden="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hidden="1"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idden="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3430" t="s">
        <v>3282</v>
      </c>
      <c r="D17" s="3431" t="s">
        <v>3283</v>
      </c>
      <c r="E17" s="3431" t="s">
        <v>3284</v>
      </c>
      <c r="F17" s="3431" t="s">
        <v>3286</v>
      </c>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v>103</v>
      </c>
      <c r="D18" s="1153">
        <v>100</v>
      </c>
      <c r="E18" s="1153">
        <v>97</v>
      </c>
      <c r="F18" s="1153">
        <v>50</v>
      </c>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7" t="s">
        <v>2835</v>
      </c>
      <c r="E19" s="1525"/>
      <c r="F19" s="1525"/>
      <c r="G19" s="1525"/>
      <c r="H19" s="1189"/>
      <c r="I19" s="164"/>
      <c r="J19" s="164"/>
      <c r="K19" s="164"/>
      <c r="L19" s="164"/>
      <c r="M19" s="164"/>
      <c r="N19" s="164"/>
      <c r="O19" s="164"/>
      <c r="P19" s="164"/>
      <c r="Q19" s="164"/>
      <c r="R19" s="727"/>
      <c r="S19" s="134"/>
    </row>
    <row r="20" spans="1:45" ht="16.5" thickBot="1">
      <c r="A20" s="671" t="s">
        <v>2836</v>
      </c>
      <c r="B20" s="300">
        <f>IF(D20="——",S22,S22-F20)</f>
        <v>23283</v>
      </c>
      <c r="C20" s="164"/>
      <c r="D20" s="2368" t="s">
        <v>70</v>
      </c>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f>ROUND(B20*10000/B22,0)</f>
        <v>31930</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7291.8799999999992</v>
      </c>
      <c r="C22" s="3418" t="s">
        <v>33</v>
      </c>
      <c r="D22" s="3419"/>
      <c r="E22" s="3419"/>
      <c r="F22" s="3419"/>
      <c r="G22" s="3419"/>
      <c r="H22" s="3419"/>
      <c r="I22" s="3419"/>
      <c r="J22" s="3419"/>
      <c r="K22" s="3419"/>
      <c r="L22" s="3419"/>
      <c r="M22" s="3419"/>
      <c r="N22" s="3419"/>
      <c r="O22" s="3419"/>
      <c r="P22" s="3419"/>
      <c r="Q22" s="3420"/>
      <c r="R22" s="672">
        <f>ROUND(S22*10000/B22,0)</f>
        <v>31930</v>
      </c>
      <c r="S22" s="24">
        <f>SUM(S24:S10000)</f>
        <v>23283</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429" t="s">
        <v>3274</v>
      </c>
      <c r="B24" s="674">
        <f>面积指标!I2</f>
        <v>1303.6199999999999</v>
      </c>
      <c r="C24" s="3042">
        <v>1</v>
      </c>
      <c r="D24" s="3043"/>
      <c r="E24" s="3042">
        <v>1</v>
      </c>
      <c r="F24" s="3043"/>
      <c r="G24" s="3042">
        <v>1</v>
      </c>
      <c r="H24" s="3043"/>
      <c r="I24" s="3042">
        <v>1</v>
      </c>
      <c r="J24" s="3043"/>
      <c r="K24" s="3042">
        <v>1</v>
      </c>
      <c r="L24" s="3043"/>
      <c r="M24" s="3042">
        <v>1</v>
      </c>
      <c r="N24" s="3043"/>
      <c r="O24" s="3042">
        <v>1</v>
      </c>
      <c r="P24" s="3043" t="s">
        <v>3257</v>
      </c>
      <c r="Q24" s="3042">
        <v>1</v>
      </c>
      <c r="R24" s="677">
        <f>'比较法-办公'!C49</f>
        <v>35265</v>
      </c>
      <c r="S24" s="675">
        <f t="shared" ref="S24:S54" si="11">ROUND(R24*B24/10000,0)</f>
        <v>4597</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3276</v>
      </c>
      <c r="B25" s="57">
        <f>面积指标!G2</f>
        <v>1290.5999999999999</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3259</v>
      </c>
      <c r="Q25" s="24">
        <f>(SUMIF($17:$17,P25,$18:$18)-SUMIF($17:$17,$P$24,$18:$18)+100)/100</f>
        <v>0.97</v>
      </c>
      <c r="R25" s="672">
        <f>IF(B25="",0,ROUND($R$24*C25*E25*G25*I25*K25*M25*O25*Q25,0))</f>
        <v>34207</v>
      </c>
      <c r="S25" s="322">
        <f t="shared" si="11"/>
        <v>4415</v>
      </c>
    </row>
    <row r="26" spans="1:45">
      <c r="A26" s="155" t="s">
        <v>3277</v>
      </c>
      <c r="B26" s="57">
        <f>面积指标!H2</f>
        <v>1178.23</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3259</v>
      </c>
      <c r="Q26" s="24">
        <f t="shared" ref="Q26:Q89" si="19">(SUMIF($17:$17,P26,$18:$18)-SUMIF($17:$17,$P$24,$18:$18)+100)/100</f>
        <v>0.97</v>
      </c>
      <c r="R26" s="672">
        <f t="shared" ref="R26:R89" si="20">IF(B26="",0,ROUND($R$24*C26*E26*G26*I26*K26*M26*O26*Q26,0))</f>
        <v>34207</v>
      </c>
      <c r="S26" s="322">
        <f t="shared" si="11"/>
        <v>4030</v>
      </c>
    </row>
    <row r="27" spans="1:45">
      <c r="A27" s="155" t="s">
        <v>3278</v>
      </c>
      <c r="B27" s="57">
        <f>面积指标!J2</f>
        <v>1303.6199999999999</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3257</v>
      </c>
      <c r="Q27" s="24">
        <f t="shared" si="19"/>
        <v>1</v>
      </c>
      <c r="R27" s="672">
        <f t="shared" si="20"/>
        <v>35265</v>
      </c>
      <c r="S27" s="322">
        <f t="shared" si="11"/>
        <v>4597</v>
      </c>
    </row>
    <row r="28" spans="1:45">
      <c r="A28" s="155" t="s">
        <v>3279</v>
      </c>
      <c r="B28" s="57">
        <f>面积指标!K2</f>
        <v>894.12</v>
      </c>
      <c r="C28" s="24">
        <f t="shared" si="12"/>
        <v>1.02</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t="s">
        <v>3281</v>
      </c>
      <c r="Q28" s="24">
        <f t="shared" si="19"/>
        <v>1.03</v>
      </c>
      <c r="R28" s="672">
        <f t="shared" si="20"/>
        <v>37049</v>
      </c>
      <c r="S28" s="322">
        <f t="shared" si="11"/>
        <v>3313</v>
      </c>
    </row>
    <row r="29" spans="1:45">
      <c r="A29" s="155" t="s">
        <v>3280</v>
      </c>
      <c r="B29" s="57">
        <f>面积指标!M2</f>
        <v>1321.69</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t="s">
        <v>3285</v>
      </c>
      <c r="Q29" s="24">
        <f t="shared" si="19"/>
        <v>0.5</v>
      </c>
      <c r="R29" s="672">
        <f t="shared" si="20"/>
        <v>17633</v>
      </c>
      <c r="S29" s="322">
        <f t="shared" si="11"/>
        <v>2331</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v>1</v>
      </c>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v>2</v>
      </c>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v>4</v>
      </c>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v>5</v>
      </c>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t="s">
        <v>3275</v>
      </c>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70</v>
      </c>
      <c r="E1" s="1548" t="s">
        <v>1352</v>
      </c>
      <c r="F1" s="1192">
        <f ca="1">J53</f>
        <v>42.48</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15885</v>
      </c>
      <c r="C2" s="1572" t="s">
        <v>1481</v>
      </c>
      <c r="D2" s="1572"/>
      <c r="E2" s="1573"/>
      <c r="F2" s="1574"/>
      <c r="G2" s="2936"/>
      <c r="H2" s="2925"/>
      <c r="I2" s="2925"/>
      <c r="J2" s="2925"/>
      <c r="K2" s="2926"/>
      <c r="L2" s="2925"/>
      <c r="M2" s="2925"/>
    </row>
    <row r="3" spans="1:37" ht="18" customHeight="1" thickBot="1">
      <c r="A3" s="1575" t="s">
        <v>1482</v>
      </c>
      <c r="B3" s="1576">
        <f ca="1">IF(ISERROR(B2*10000/F43),0,ROUND(B2*10000/F43,0))</f>
        <v>16175</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937</v>
      </c>
      <c r="D5" s="1549" t="s">
        <v>1367</v>
      </c>
      <c r="E5" s="1202"/>
      <c r="F5" s="1203"/>
      <c r="G5" s="1569"/>
      <c r="H5" s="305">
        <v>1</v>
      </c>
      <c r="I5" s="306" t="s">
        <v>1366</v>
      </c>
      <c r="J5" s="1201">
        <f ca="1">J6+J10+J12</f>
        <v>0</v>
      </c>
      <c r="K5" s="1549" t="s">
        <v>1367</v>
      </c>
      <c r="L5" s="1202"/>
      <c r="M5" s="1203"/>
    </row>
    <row r="6" spans="1:37" ht="18" customHeight="1">
      <c r="A6" s="1200" t="s">
        <v>1003</v>
      </c>
      <c r="B6" s="3329" t="s">
        <v>1368</v>
      </c>
      <c r="C6" s="1205">
        <f ca="1">ROUND(F6*F8*F7*(1-F9)/10000,0)</f>
        <v>936</v>
      </c>
      <c r="D6" s="160" t="s">
        <v>2848</v>
      </c>
      <c r="E6" s="308" t="s">
        <v>1370</v>
      </c>
      <c r="F6" s="309">
        <f ca="1">INDIRECT("'数据-取费表'!u"&amp;$G$1)</f>
        <v>2.9</v>
      </c>
      <c r="G6" s="1569"/>
      <c r="H6" s="1200" t="s">
        <v>1003</v>
      </c>
      <c r="I6" s="3329" t="s">
        <v>1368</v>
      </c>
      <c r="J6" s="307">
        <f ca="1">ROUND(M6*M8*M7*(1-M9)/10000,0)</f>
        <v>0</v>
      </c>
      <c r="K6" s="160" t="s">
        <v>2847</v>
      </c>
      <c r="L6" s="308" t="s">
        <v>1370</v>
      </c>
      <c r="M6" s="309">
        <f ca="1">INDIRECT("'数据-取费表'!z"&amp;$G$1)</f>
        <v>0</v>
      </c>
    </row>
    <row r="7" spans="1:37" ht="18" customHeight="1">
      <c r="A7" s="1204"/>
      <c r="B7" s="3330"/>
      <c r="C7" s="1206"/>
      <c r="D7" s="313"/>
      <c r="E7" s="1207" t="s">
        <v>1371</v>
      </c>
      <c r="F7" s="309">
        <f ca="1">IF(INDIRECT("'数据-取费表'!ah"&amp;$G$1)="",INDIRECT("'数据-取费表'!k"&amp;$G$1),INDIRECT("'数据-取费表'!ah"&amp;$G$1))</f>
        <v>9820.56</v>
      </c>
      <c r="G7" s="1569"/>
      <c r="H7" s="310"/>
      <c r="I7" s="3330"/>
      <c r="J7" s="312"/>
      <c r="K7" s="313"/>
      <c r="L7" s="308" t="s">
        <v>1371</v>
      </c>
      <c r="M7" s="309">
        <f ca="1">F7</f>
        <v>9820.56</v>
      </c>
    </row>
    <row r="8" spans="1:37" ht="18" customHeight="1">
      <c r="A8" s="310"/>
      <c r="B8" s="3330"/>
      <c r="C8" s="312"/>
      <c r="D8" s="313"/>
      <c r="E8" s="308" t="s">
        <v>1372</v>
      </c>
      <c r="F8" s="309">
        <f ca="1">INDIRECT("'数据-取费表'!ai"&amp;$G$1)</f>
        <v>365</v>
      </c>
      <c r="G8" s="1569"/>
      <c r="H8" s="310"/>
      <c r="I8" s="3330"/>
      <c r="J8" s="312"/>
      <c r="K8" s="313"/>
      <c r="L8" s="308" t="s">
        <v>1372</v>
      </c>
      <c r="M8" s="309">
        <f ca="1">INDIRECT("'数据-取费表'!ai"&amp;$G$1)</f>
        <v>365</v>
      </c>
    </row>
    <row r="9" spans="1:37" ht="18" customHeight="1">
      <c r="A9" s="310"/>
      <c r="B9" s="3331"/>
      <c r="C9" s="312"/>
      <c r="D9" s="313"/>
      <c r="E9" s="308" t="s">
        <v>1373</v>
      </c>
      <c r="F9" s="318">
        <f ca="1">INDIRECT("'数据-取费表'!w"&amp;$G$1)</f>
        <v>0.1</v>
      </c>
      <c r="G9" s="1569"/>
      <c r="H9" s="310"/>
      <c r="I9" s="3331"/>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2856</v>
      </c>
      <c r="E10" s="319" t="s">
        <v>1375</v>
      </c>
      <c r="F10" s="1275" t="s">
        <v>3072</v>
      </c>
      <c r="G10" s="1569"/>
      <c r="H10" s="1200" t="s">
        <v>1007</v>
      </c>
      <c r="I10" s="1550" t="s">
        <v>1374</v>
      </c>
      <c r="J10" s="307">
        <f ca="1">ROUND(IF(M10="押一",J6/12*M11,IF(M10="押二",J6/12*2*M11,IF(M10="押三",J6/12*3*M11,J11*M11))),0)</f>
        <v>0</v>
      </c>
      <c r="K10" s="1551" t="s">
        <v>2855</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3510</v>
      </c>
      <c r="D13" s="1240" t="s">
        <v>1380</v>
      </c>
      <c r="E13" s="1240" t="s">
        <v>1381</v>
      </c>
      <c r="F13" s="1241">
        <f ca="1">INDIRECT("'数据-取费表'!y"&amp;$G$1)</f>
        <v>0.93</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2455</v>
      </c>
      <c r="D14" s="1530" t="s">
        <v>1383</v>
      </c>
      <c r="E14" s="1527"/>
      <c r="F14" s="325"/>
      <c r="G14" s="1569"/>
      <c r="H14" s="1113" t="s">
        <v>1003</v>
      </c>
      <c r="I14" s="308" t="s">
        <v>1384</v>
      </c>
      <c r="J14" s="24">
        <f ca="1">C29</f>
        <v>3774</v>
      </c>
      <c r="K14" s="15"/>
      <c r="L14" s="916"/>
      <c r="M14" s="917"/>
    </row>
    <row r="15" spans="1:37" s="1582" customFormat="1" ht="18" customHeight="1" thickBot="1">
      <c r="A15" s="1113" t="s">
        <v>1004</v>
      </c>
      <c r="B15" s="308" t="s">
        <v>1385</v>
      </c>
      <c r="C15" s="24">
        <f ca="1">ROUND(C14*F15,0)</f>
        <v>74</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70</v>
      </c>
      <c r="K16" s="1246" t="s">
        <v>1390</v>
      </c>
      <c r="L16" s="1247"/>
      <c r="M16" s="1203"/>
    </row>
    <row r="17" spans="1:37" s="1582" customFormat="1" ht="18" customHeight="1">
      <c r="A17" s="1113" t="s">
        <v>1355</v>
      </c>
      <c r="B17" s="308" t="s">
        <v>1391</v>
      </c>
      <c r="C17" s="24">
        <f ca="1">ROUND(F17*(F43+INDIRECT("'数据-取费表'!S"&amp;$G$1))/10000,0)</f>
        <v>196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32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37</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2762</v>
      </c>
      <c r="D19" s="136" t="s">
        <v>1401</v>
      </c>
      <c r="E19" s="1545"/>
      <c r="F19" s="26"/>
      <c r="G19" s="1569"/>
      <c r="H19" s="1113" t="s">
        <v>1004</v>
      </c>
      <c r="I19" s="308" t="s">
        <v>1402</v>
      </c>
      <c r="J19" s="24">
        <f ca="1">IF(K19="按租金收入计税",ROUND(J6*M19/(1+'数据-取费表'!C42),2),ROUND(C29*M19*0.7,2))</f>
        <v>31.7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55</v>
      </c>
      <c r="D20" s="329" t="s">
        <v>1405</v>
      </c>
      <c r="E20" s="308" t="s">
        <v>1387</v>
      </c>
      <c r="F20" s="328">
        <f>'数据-取费表'!B37</f>
        <v>0.02</v>
      </c>
      <c r="G20" s="1581"/>
      <c r="H20" s="1113" t="s">
        <v>1354</v>
      </c>
      <c r="I20" s="160" t="s">
        <v>1406</v>
      </c>
      <c r="J20" s="25">
        <f ca="1">ROUND(M20*M21/10000,2)</f>
        <v>0.6</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4000.72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37.700000000000003</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100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8" t="s">
        <v>999</v>
      </c>
      <c r="I25" s="1253" t="s">
        <v>1428</v>
      </c>
      <c r="J25" s="316">
        <f ca="1">J5-J16</f>
        <v>-70</v>
      </c>
      <c r="K25" s="1254" t="s">
        <v>1429</v>
      </c>
      <c r="L25" s="1255"/>
      <c r="M25" s="1256"/>
    </row>
    <row r="26" spans="1:37">
      <c r="A26" s="1113" t="s">
        <v>1002</v>
      </c>
      <c r="B26" s="308" t="s">
        <v>1430</v>
      </c>
      <c r="C26" s="24">
        <f ca="1">ROUND((C19+C20)*F26,0)</f>
        <v>563</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3774</v>
      </c>
      <c r="D29" s="1251"/>
      <c r="E29" s="1249"/>
      <c r="F29" s="1252"/>
      <c r="G29" s="1581"/>
      <c r="H29" s="340" t="s">
        <v>1001</v>
      </c>
      <c r="I29" s="341" t="s">
        <v>1444</v>
      </c>
      <c r="J29" s="342">
        <f ca="1">ROUND(J26/(1+F40)^F41,0)</f>
        <v>0</v>
      </c>
      <c r="K29" s="343" t="s">
        <v>1445</v>
      </c>
      <c r="L29" s="344"/>
      <c r="M29" s="345">
        <f ca="1">INDIRECT("'数据-取费表'!k"&amp;$G$1)</f>
        <v>9820.56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209</v>
      </c>
      <c r="D30" s="1246" t="s">
        <v>1390</v>
      </c>
      <c r="E30" s="1247"/>
      <c r="F30" s="1203"/>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157</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49.92</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106.97</v>
      </c>
      <c r="D33" s="1555" t="s">
        <v>3073</v>
      </c>
      <c r="E33" s="308" t="s">
        <v>1387</v>
      </c>
      <c r="F33" s="328">
        <f>IF(D33="按票据","——",IF(D33="按租金收入计税",'数据-取费表'!B51,'数据-取费表'!B50))</f>
        <v>0.12</v>
      </c>
      <c r="G33" s="1569"/>
      <c r="H33" s="2930"/>
      <c r="I33" s="1583"/>
      <c r="J33" s="1584"/>
      <c r="K33" s="2931"/>
      <c r="L33" s="2930"/>
      <c r="M33" s="2930"/>
    </row>
    <row r="34" spans="1:18" ht="18" customHeight="1">
      <c r="A34" s="1200" t="s">
        <v>1354</v>
      </c>
      <c r="B34" s="160" t="s">
        <v>1406</v>
      </c>
      <c r="C34" s="25">
        <f ca="1">IF(项目基本情况!B11="自然人","——",ROUND(F34*F35/10000,2))</f>
        <v>0.6</v>
      </c>
      <c r="D34" s="330" t="s">
        <v>1407</v>
      </c>
      <c r="E34" s="308" t="s">
        <v>1408</v>
      </c>
      <c r="F34" s="331">
        <f>'数据-取费表'!B52</f>
        <v>1.5</v>
      </c>
      <c r="G34" s="1569"/>
      <c r="H34" s="2927"/>
      <c r="I34" s="1583"/>
      <c r="J34" s="1584"/>
      <c r="K34" s="2932"/>
      <c r="L34" s="2933"/>
      <c r="M34" s="2933"/>
    </row>
    <row r="35" spans="1:18" ht="18" customHeight="1">
      <c r="A35" s="1262"/>
      <c r="B35" s="1260"/>
      <c r="C35" s="29"/>
      <c r="D35" s="333"/>
      <c r="E35" s="308" t="s">
        <v>1412</v>
      </c>
      <c r="F35" s="309">
        <f ca="1">INDIRECT("'数据-取费表'!r"&amp;$G$1)</f>
        <v>4000.72</v>
      </c>
      <c r="G35" s="1569"/>
      <c r="H35" s="2927"/>
      <c r="I35" s="1583"/>
      <c r="J35" s="1584"/>
      <c r="K35" s="2931"/>
      <c r="L35" s="2930"/>
      <c r="M35" s="2930"/>
    </row>
    <row r="36" spans="1:18" ht="18" customHeight="1">
      <c r="A36" s="1261" t="s">
        <v>1007</v>
      </c>
      <c r="B36" s="308" t="s">
        <v>1414</v>
      </c>
      <c r="C36" s="24">
        <f ca="1">ROUND(C29*F36,1)</f>
        <v>37.700000000000003</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ROUND(C13*F37,1)</f>
        <v>5.3</v>
      </c>
      <c r="D37" s="1529" t="s">
        <v>1419</v>
      </c>
      <c r="E37" s="308" t="s">
        <v>1420</v>
      </c>
      <c r="F37" s="336">
        <f ca="1">INDIRECT("'数据-取费表'!Al"&amp;$G$1)</f>
        <v>1.5E-3</v>
      </c>
      <c r="G37" s="1569"/>
      <c r="H37" s="2930"/>
      <c r="I37" s="1583"/>
      <c r="J37" s="1584"/>
      <c r="K37" s="2771"/>
      <c r="L37" s="2930"/>
      <c r="M37" s="2930"/>
    </row>
    <row r="38" spans="1:18" ht="18" customHeight="1" thickBot="1">
      <c r="A38" s="1248" t="s">
        <v>1358</v>
      </c>
      <c r="B38" s="1249" t="s">
        <v>1404</v>
      </c>
      <c r="C38" s="1250">
        <f ca="1">ROUND(C5*F38,1)</f>
        <v>9.4</v>
      </c>
      <c r="D38" s="1251" t="s">
        <v>1424</v>
      </c>
      <c r="E38" s="1249" t="s">
        <v>1420</v>
      </c>
      <c r="F38" s="1245">
        <f ca="1">INDIRECT("'数据-取费表'!Am"&amp;$G$1)</f>
        <v>0.01</v>
      </c>
      <c r="G38" s="1569"/>
      <c r="H38" s="2930"/>
      <c r="I38" s="1583"/>
      <c r="J38" s="1584"/>
      <c r="K38" s="2934"/>
      <c r="L38" s="2930"/>
      <c r="M38" s="2930"/>
    </row>
    <row r="39" spans="1:18" ht="24.6" customHeight="1" thickTop="1">
      <c r="A39" s="1238" t="s">
        <v>999</v>
      </c>
      <c r="B39" s="1253" t="s">
        <v>1448</v>
      </c>
      <c r="C39" s="316">
        <f ca="1">C5-C30</f>
        <v>728</v>
      </c>
      <c r="D39" s="1254" t="s">
        <v>1449</v>
      </c>
      <c r="E39" s="1255"/>
      <c r="F39" s="1256"/>
      <c r="G39" s="1569"/>
      <c r="H39" s="2930"/>
      <c r="I39" s="1583"/>
      <c r="J39" s="1584"/>
      <c r="K39" s="2934"/>
      <c r="L39" s="2930"/>
      <c r="M39" s="2930"/>
    </row>
    <row r="40" spans="1:18" ht="18" customHeight="1">
      <c r="A40" s="305" t="s">
        <v>1000</v>
      </c>
      <c r="B40" s="306" t="s">
        <v>1450</v>
      </c>
      <c r="C40" s="307">
        <f ca="1">ROUND(C39*(1-((1+F42)/(1+F40))^F41)/(F40-F42),0)</f>
        <v>15838</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42.48</v>
      </c>
      <c r="G41" s="1569"/>
      <c r="H41" s="1352"/>
      <c r="I41" s="1583"/>
      <c r="J41" s="1584"/>
      <c r="K41" s="2771"/>
      <c r="L41" s="1352"/>
      <c r="M41" s="1352"/>
    </row>
    <row r="42" spans="1:18" ht="18" customHeight="1">
      <c r="A42" s="314"/>
      <c r="B42" s="315"/>
      <c r="C42" s="316"/>
      <c r="D42" s="333"/>
      <c r="E42" s="308" t="s">
        <v>1442</v>
      </c>
      <c r="F42" s="318">
        <f ca="1">INDIRECT("'数据-取费表'!v"&amp;$G$1)</f>
        <v>0.02</v>
      </c>
      <c r="G42" s="1569"/>
      <c r="H42" s="1352"/>
      <c r="I42" s="1583"/>
      <c r="J42" s="1584"/>
      <c r="K42" s="2771"/>
      <c r="L42" s="1352"/>
      <c r="M42" s="1352"/>
    </row>
    <row r="43" spans="1:18" ht="18" customHeight="1" thickBot="1">
      <c r="A43" s="340" t="s">
        <v>1001</v>
      </c>
      <c r="B43" s="341" t="s">
        <v>1452</v>
      </c>
      <c r="C43" s="342">
        <f ca="1">ROUND(C40*10000/F43,0)</f>
        <v>16127</v>
      </c>
      <c r="D43" s="343" t="s">
        <v>1453</v>
      </c>
      <c r="E43" s="344" t="s">
        <v>1454</v>
      </c>
      <c r="F43" s="345">
        <f ca="1">INDIRECT("'数据-取费表'!k"&amp;$G$1)</f>
        <v>9820.56</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-21727</v>
      </c>
      <c r="D46" s="1591" t="str">
        <f>C2</f>
        <v>万元</v>
      </c>
      <c r="E46" s="1585"/>
      <c r="F46" s="1585"/>
      <c r="I46" s="1592" t="s">
        <v>1486</v>
      </c>
      <c r="J46" s="1593"/>
      <c r="K46" s="1594"/>
      <c r="L46" s="1595">
        <f ca="1">IF(M47="住宅",0,IF(L48&gt;J51,L60,J60))</f>
        <v>47</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3074</v>
      </c>
      <c r="K47" s="1601" t="s">
        <v>1492</v>
      </c>
      <c r="L47" s="1602">
        <f ca="1">INDIRECT("'数据-取费表'!d"&amp;$G$1)</f>
        <v>50</v>
      </c>
      <c r="M47" s="1565" t="str">
        <f>IF(ISNUMBER(FIND("住宅",C1)),"住宅","非住宅")</f>
        <v>非住宅</v>
      </c>
      <c r="O47" s="1603" t="s">
        <v>1008</v>
      </c>
      <c r="P47" s="1604" t="s">
        <v>1493</v>
      </c>
      <c r="Q47" s="1605">
        <f ca="1">C40+J29</f>
        <v>15838</v>
      </c>
      <c r="R47" s="1605" t="s">
        <v>1494</v>
      </c>
    </row>
    <row r="48" spans="1:18" s="1569" customFormat="1" ht="28.5" thickBot="1">
      <c r="A48" s="1269" t="s">
        <v>1103</v>
      </c>
      <c r="B48" s="306" t="s">
        <v>1366</v>
      </c>
      <c r="C48" s="1544">
        <f ca="1">C49+C53+C55</f>
        <v>0</v>
      </c>
      <c r="D48" s="1271"/>
      <c r="E48" s="1272"/>
      <c r="F48" s="1093"/>
      <c r="G48" s="731"/>
      <c r="H48" s="732"/>
      <c r="I48" s="1606" t="s">
        <v>1495</v>
      </c>
      <c r="J48" s="1607" t="s">
        <v>3075</v>
      </c>
      <c r="K48" s="1608" t="s">
        <v>1496</v>
      </c>
      <c r="L48" s="1609">
        <f ca="1">INDIRECT("'数据-取费表'!f"&amp;$G$1)</f>
        <v>42.48</v>
      </c>
      <c r="O48" s="1603" t="s">
        <v>1009</v>
      </c>
      <c r="P48" s="1604" t="s">
        <v>1497</v>
      </c>
      <c r="Q48" s="1605">
        <f ca="1">J60</f>
        <v>47</v>
      </c>
      <c r="R48" s="1605" t="s">
        <v>1498</v>
      </c>
    </row>
    <row r="49" spans="1:18" s="1569" customFormat="1" ht="13.5" thickBot="1">
      <c r="A49" s="1106" t="s">
        <v>1104</v>
      </c>
      <c r="B49" s="1556" t="s">
        <v>1455</v>
      </c>
      <c r="C49" s="1273">
        <f ca="1">ROUND(F49*F51*F50*(1-F52)/10000,0)</f>
        <v>0</v>
      </c>
      <c r="D49" s="1185" t="s">
        <v>2849</v>
      </c>
      <c r="E49" s="1557" t="s">
        <v>1456</v>
      </c>
      <c r="F49" s="1190"/>
      <c r="G49" s="1610"/>
      <c r="H49" s="732"/>
      <c r="I49" s="1606" t="s">
        <v>1499</v>
      </c>
      <c r="J49" s="1611">
        <v>2016</v>
      </c>
      <c r="K49" s="1608" t="s">
        <v>1500</v>
      </c>
      <c r="L49" s="1612"/>
      <c r="O49" s="1613" t="s">
        <v>1010</v>
      </c>
      <c r="P49" s="1604" t="s">
        <v>1501</v>
      </c>
      <c r="Q49" s="1605">
        <f ca="1">C29</f>
        <v>3774</v>
      </c>
      <c r="R49" s="1605" t="s">
        <v>1494</v>
      </c>
    </row>
    <row r="50" spans="1:18" s="1569" customFormat="1" ht="13.5" thickBot="1">
      <c r="A50" s="1107"/>
      <c r="B50" s="1110"/>
      <c r="C50" s="1277"/>
      <c r="D50" s="1084"/>
      <c r="E50" s="1186" t="s">
        <v>1371</v>
      </c>
      <c r="F50" s="1187">
        <f ca="1">F7</f>
        <v>9820.56</v>
      </c>
      <c r="H50" s="732"/>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8362</v>
      </c>
      <c r="M51" s="1621"/>
      <c r="O51" s="1613" t="s">
        <v>1012</v>
      </c>
      <c r="P51" s="1604" t="s">
        <v>1507</v>
      </c>
      <c r="Q51" s="1616">
        <f>J52</f>
        <v>8.5000000000000006E-2</v>
      </c>
      <c r="R51" s="1605"/>
    </row>
    <row r="52" spans="1:18" s="1569" customFormat="1" ht="13.5" thickBot="1">
      <c r="A52" s="1108"/>
      <c r="B52" s="1110"/>
      <c r="C52" s="1111"/>
      <c r="D52" s="1084"/>
      <c r="E52" s="1112" t="s">
        <v>1373</v>
      </c>
      <c r="F52" s="1184"/>
      <c r="I52" s="1622" t="s">
        <v>1508</v>
      </c>
      <c r="J52" s="1623">
        <v>8.5000000000000006E-2</v>
      </c>
      <c r="K52" s="1622" t="s">
        <v>1509</v>
      </c>
      <c r="L52" s="1623"/>
      <c r="O52" s="1613" t="s">
        <v>1013</v>
      </c>
      <c r="P52" s="1604" t="s">
        <v>1510</v>
      </c>
      <c r="Q52" s="1605">
        <f ca="1">J53</f>
        <v>42.48</v>
      </c>
      <c r="R52" s="1605" t="s">
        <v>1511</v>
      </c>
    </row>
    <row r="53" spans="1:18" s="1569" customFormat="1" ht="24.75" thickBot="1">
      <c r="A53" s="1313" t="s">
        <v>1105</v>
      </c>
      <c r="B53" s="1558" t="s">
        <v>1374</v>
      </c>
      <c r="C53" s="322">
        <f ca="1">ROUND(IF(F53="押一",C49/12*F11,IF(F53="押二",C49/12*2*F11,IF(F53="押三",C49/12*3*F11,C54*F11))),0)</f>
        <v>0</v>
      </c>
      <c r="D53" s="1551" t="s">
        <v>2855</v>
      </c>
      <c r="E53" s="319" t="s">
        <v>1375</v>
      </c>
      <c r="F53" s="1275"/>
      <c r="I53" s="1624" t="s">
        <v>1512</v>
      </c>
      <c r="J53" s="2387">
        <f ca="1">IF(M47="住宅",IF(D1="——",MAX(J51,L48),MAX(J51,L48-'数据-取费表'!B24)),IF(D1="——",MIN(J51,L48),MIN(J51,L48-'数据-取费表'!B24)))</f>
        <v>42.48</v>
      </c>
      <c r="K53" s="3327" t="s">
        <v>1513</v>
      </c>
      <c r="L53" s="3328"/>
      <c r="O53" s="1603" t="s">
        <v>1014</v>
      </c>
      <c r="P53" s="1604" t="s">
        <v>1514</v>
      </c>
      <c r="Q53" s="1605">
        <f ca="1">Q47+Q48</f>
        <v>15885</v>
      </c>
      <c r="R53" s="1605" t="s">
        <v>1015</v>
      </c>
    </row>
    <row r="54" spans="1:18" s="1569" customFormat="1" ht="13.5" thickBot="1">
      <c r="A54" s="1314"/>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f ca="1">ROUND(IF(J47="钢混",J57/J50,1-(1-2%)*(J50-J57)/J50),3)</f>
        <v>0.22500000000000001</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3510</v>
      </c>
      <c r="D56" s="1632"/>
      <c r="E56" s="1633"/>
      <c r="F56" s="1625"/>
      <c r="I56" s="1634" t="s">
        <v>1519</v>
      </c>
      <c r="J56" s="1635" t="s">
        <v>3076</v>
      </c>
      <c r="K56" s="1606" t="s">
        <v>1520</v>
      </c>
      <c r="L56" s="1609" t="str">
        <f ca="1">IF(L48&lt;J51,"——",L48-J53)</f>
        <v>——</v>
      </c>
      <c r="O56" s="1603" t="s">
        <v>1008</v>
      </c>
      <c r="P56" s="1604" t="s">
        <v>1493</v>
      </c>
      <c r="Q56" s="1605">
        <f ca="1">C40+J29</f>
        <v>15838</v>
      </c>
      <c r="R56" s="1605" t="s">
        <v>1494</v>
      </c>
    </row>
    <row r="57" spans="1:18" s="1569" customFormat="1" ht="24.75" thickBot="1">
      <c r="A57" s="1636"/>
      <c r="B57" s="1081" t="s">
        <v>1443</v>
      </c>
      <c r="C57" s="244">
        <f ca="1">C29</f>
        <v>3774</v>
      </c>
      <c r="D57" s="1637"/>
      <c r="E57" s="1638"/>
      <c r="F57" s="1639"/>
      <c r="I57" s="1640" t="s">
        <v>1521</v>
      </c>
      <c r="J57" s="1641">
        <f ca="1">IF(OR(M47="住宅",J51&lt;L48,J56="是"),"——",J51-L48)</f>
        <v>13.520000000000003</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361</v>
      </c>
      <c r="D58" s="1091" t="s">
        <v>1390</v>
      </c>
      <c r="E58" s="1092"/>
      <c r="F58" s="1093"/>
      <c r="I58" s="1640" t="s">
        <v>1525</v>
      </c>
      <c r="J58" s="1642">
        <f ca="1">IF(J55&lt;0.4,0.4,J55)</f>
        <v>0.4</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318</v>
      </c>
      <c r="D59" s="1094" t="s">
        <v>1395</v>
      </c>
      <c r="E59" s="1095" t="s">
        <v>1396</v>
      </c>
      <c r="F59" s="2534" t="str">
        <f>IF(项目基本情况!B11="企业","——",IF('数据-取费表'!B10="住宅",IF(F49*F50*F51/12/(1+'数据-取费表'!F30)&gt;100000,4%,2.5%),IF(F49*F50*F51/12/(1+'数据-取费表'!F30)&gt;100000,12%,7%)))</f>
        <v>——</v>
      </c>
      <c r="I59" s="1640" t="s">
        <v>1528</v>
      </c>
      <c r="J59" s="1641">
        <f ca="1">IF(OR(M47="住宅",J51&lt;L48,J56="是"),"——",ROUND(C29*J58,0))</f>
        <v>1510</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47</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317.02</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0.6</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15838</v>
      </c>
      <c r="R62" s="1605" t="s">
        <v>1015</v>
      </c>
    </row>
    <row r="63" spans="1:18" s="1569" customFormat="1" ht="13.5" thickBot="1">
      <c r="A63" s="332"/>
      <c r="B63" s="1087"/>
      <c r="C63" s="29"/>
      <c r="D63" s="1097"/>
      <c r="E63" s="1081" t="s">
        <v>1464</v>
      </c>
      <c r="F63" s="309">
        <f t="shared" ca="1" si="0"/>
        <v>4000.72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37.700000000000003</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5.3</v>
      </c>
      <c r="D65" s="1095" t="s">
        <v>1419</v>
      </c>
      <c r="E65" s="1081" t="s">
        <v>1420</v>
      </c>
      <c r="F65" s="336">
        <f t="shared" ca="1" si="0"/>
        <v>1.5E-3</v>
      </c>
      <c r="I65" s="1647" t="s">
        <v>1544</v>
      </c>
      <c r="J65" s="1648">
        <v>40</v>
      </c>
      <c r="K65" s="1648">
        <v>30</v>
      </c>
      <c r="L65" s="1648">
        <v>50</v>
      </c>
      <c r="M65" s="1650">
        <v>0.02</v>
      </c>
      <c r="O65" s="1603" t="s">
        <v>1008</v>
      </c>
      <c r="P65" s="1604" t="s">
        <v>1545</v>
      </c>
      <c r="Q65" s="1605">
        <f ca="1">C40+J29</f>
        <v>15838</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-361</v>
      </c>
      <c r="D67" s="1094" t="s">
        <v>1429</v>
      </c>
      <c r="E67" s="1099"/>
      <c r="F67" s="1100"/>
      <c r="O67" s="1613" t="s">
        <v>1010</v>
      </c>
      <c r="P67" s="1604" t="s">
        <v>1527</v>
      </c>
      <c r="Q67" s="1651">
        <f ca="1">L51</f>
        <v>8362</v>
      </c>
      <c r="R67" s="1605" t="s">
        <v>1547</v>
      </c>
    </row>
    <row r="68" spans="1:18" s="1569" customFormat="1" ht="16.5" thickBot="1">
      <c r="A68" s="1078" t="s">
        <v>1000</v>
      </c>
      <c r="B68" s="1079" t="s">
        <v>1450</v>
      </c>
      <c r="C68" s="307">
        <f ca="1">ROUND(C67*(1-((1+F70)/(1+F68))^F69)/(F68-F70),0)</f>
        <v>-5889</v>
      </c>
      <c r="D68" s="1096" t="s">
        <v>1434</v>
      </c>
      <c r="E68" s="1081" t="s">
        <v>1435</v>
      </c>
      <c r="F68" s="318">
        <f ca="1">F40</f>
        <v>5.5E-2</v>
      </c>
      <c r="O68" s="1613" t="s">
        <v>1011</v>
      </c>
      <c r="P68" s="1652" t="s">
        <v>1548</v>
      </c>
      <c r="Q68" s="1605">
        <f ca="1">ROUND(Q69-Q70*Q71,0)</f>
        <v>447</v>
      </c>
      <c r="R68" s="1605" t="s">
        <v>1019</v>
      </c>
    </row>
    <row r="69" spans="1:18" s="1569" customFormat="1" ht="13.5" thickBot="1">
      <c r="A69" s="1082"/>
      <c r="B69" s="1083"/>
      <c r="C69" s="312"/>
      <c r="D69" s="1101" t="s">
        <v>1438</v>
      </c>
      <c r="E69" s="1081" t="s">
        <v>1439</v>
      </c>
      <c r="F69" s="339">
        <f ca="1">F41</f>
        <v>42.48</v>
      </c>
      <c r="O69" s="1613" t="s">
        <v>1016</v>
      </c>
      <c r="P69" s="1652" t="s">
        <v>1549</v>
      </c>
      <c r="Q69" s="1605">
        <f ca="1">C39</f>
        <v>728</v>
      </c>
      <c r="R69" s="1605" t="s">
        <v>1494</v>
      </c>
    </row>
    <row r="70" spans="1:18" s="1569" customFormat="1" ht="13.5" thickBot="1">
      <c r="A70" s="1085"/>
      <c r="B70" s="1086"/>
      <c r="C70" s="316"/>
      <c r="D70" s="1097"/>
      <c r="E70" s="1081" t="s">
        <v>1442</v>
      </c>
      <c r="F70" s="1184"/>
      <c r="O70" s="1613" t="s">
        <v>1017</v>
      </c>
      <c r="P70" s="1652" t="s">
        <v>1550</v>
      </c>
      <c r="Q70" s="1605">
        <f ca="1">C13</f>
        <v>3510</v>
      </c>
      <c r="R70" s="1605" t="s">
        <v>1494</v>
      </c>
    </row>
    <row r="71" spans="1:18" s="1569" customFormat="1" ht="13.5" thickBot="1">
      <c r="A71" s="1102" t="s">
        <v>1001</v>
      </c>
      <c r="B71" s="1103" t="s">
        <v>1452</v>
      </c>
      <c r="C71" s="342">
        <f ca="1">ROUND(C68*10000/F71,0)</f>
        <v>-5997</v>
      </c>
      <c r="D71" s="1104" t="s">
        <v>1453</v>
      </c>
      <c r="E71" s="1105" t="s">
        <v>1454</v>
      </c>
      <c r="F71" s="345">
        <f ca="1">F43</f>
        <v>9820.56</v>
      </c>
      <c r="O71" s="1613" t="s">
        <v>1018</v>
      </c>
      <c r="P71" s="1652" t="s">
        <v>1551</v>
      </c>
      <c r="Q71" s="1616">
        <f ca="1">C76</f>
        <v>0.08</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281</v>
      </c>
      <c r="D75" s="1569"/>
      <c r="E75" s="1569"/>
      <c r="F75" s="1569"/>
      <c r="K75" s="1587"/>
      <c r="L75" s="1569"/>
      <c r="O75" s="1603" t="s">
        <v>1014</v>
      </c>
      <c r="P75" s="1604" t="s">
        <v>1514</v>
      </c>
      <c r="Q75" s="1605">
        <f ca="1">Q65+Q66</f>
        <v>15838</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0.61399999999999999</v>
      </c>
    </row>
    <row r="80" spans="1:18">
      <c r="B80" s="346" t="s">
        <v>1476</v>
      </c>
      <c r="C80" s="280">
        <f ca="1">ROUND(C75/C39,3)</f>
        <v>0.38600000000000001</v>
      </c>
    </row>
    <row r="81" spans="2:3">
      <c r="B81" s="276" t="s">
        <v>1477</v>
      </c>
      <c r="C81" s="244"/>
    </row>
    <row r="82" spans="2:3">
      <c r="B82" s="279" t="s">
        <v>1478</v>
      </c>
      <c r="C82" s="281">
        <f ca="1">1-C83</f>
        <v>0.77800000000000002</v>
      </c>
    </row>
    <row r="83" spans="2:3">
      <c r="B83" s="279" t="s">
        <v>1479</v>
      </c>
      <c r="C83" s="280">
        <f ca="1">ROUND(C13/C40,3)</f>
        <v>0.222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0" sqref="I2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t="s">
        <v>27</v>
      </c>
      <c r="C1" s="204"/>
      <c r="D1" s="204"/>
      <c r="E1" s="204"/>
      <c r="F1" s="204"/>
      <c r="G1" s="1287">
        <f>MATCH(B1,'数据-取费表'!A6:A16,0)+5</f>
        <v>6</v>
      </c>
    </row>
    <row r="2" spans="1:9" s="206" customFormat="1" ht="18" customHeight="1">
      <c r="A2" s="207" t="s">
        <v>2149</v>
      </c>
      <c r="B2" s="208">
        <f ca="1">IF(D2="——",C52,C52-E2)</f>
        <v>13092</v>
      </c>
      <c r="C2" s="205" t="s">
        <v>2150</v>
      </c>
      <c r="D2" s="2040" t="s">
        <v>70</v>
      </c>
      <c r="E2" s="1330"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13331</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6813</v>
      </c>
      <c r="D5" s="217" t="s">
        <v>2156</v>
      </c>
      <c r="E5" s="218" t="s">
        <v>2157</v>
      </c>
      <c r="F5" s="218" t="s">
        <v>2158</v>
      </c>
      <c r="G5" s="219"/>
    </row>
    <row r="6" spans="1:9" s="220" customFormat="1" ht="13.5" customHeight="1">
      <c r="A6" s="886" t="s">
        <v>2159</v>
      </c>
      <c r="B6" s="221" t="s">
        <v>2160</v>
      </c>
      <c r="C6" s="222">
        <f ca="1">基准地价修正!C26</f>
        <v>6421</v>
      </c>
      <c r="D6" s="223"/>
      <c r="E6" s="224"/>
      <c r="F6" s="224"/>
      <c r="G6" s="225"/>
    </row>
    <row r="7" spans="1:9" s="220" customFormat="1" ht="13.5" customHeight="1">
      <c r="A7" s="886" t="s">
        <v>2161</v>
      </c>
      <c r="B7" s="221" t="s">
        <v>2162</v>
      </c>
      <c r="C7" s="226">
        <f ca="1">ROUND(C6*F7,0)</f>
        <v>196</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196</v>
      </c>
      <c r="D8" s="228"/>
      <c r="E8" s="226"/>
      <c r="F8" s="227"/>
      <c r="G8" s="2043" t="s">
        <v>3077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3250</v>
      </c>
      <c r="H9" s="1298"/>
      <c r="I9" s="2045" t="s">
        <v>2166</v>
      </c>
    </row>
    <row r="10" spans="1:9" s="220" customFormat="1" ht="13.5" customHeight="1">
      <c r="A10" s="887" t="s">
        <v>801</v>
      </c>
      <c r="B10" s="230" t="s">
        <v>2167</v>
      </c>
      <c r="C10" s="231">
        <f ca="1">ROUND(D10*E10/10000,0)</f>
        <v>196</v>
      </c>
      <c r="D10" s="954">
        <f ca="1">IF(B1="",'数据-汇总表'!E6,IF(INDIRECT("'数据-取费表'!c"&amp;$G$1)="住宅",INDIRECT("'数据-取费表'!s"&amp;$G$1),INDIRECT("'数据-取费表'!k"&amp;$G$1)+INDIRECT("'数据-取费表'!s"&amp;$G$1)))</f>
        <v>9820.56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9820.56</v>
      </c>
      <c r="E19" s="217">
        <f>'数据-取费表'!B31</f>
        <v>200</v>
      </c>
      <c r="F19" s="237"/>
      <c r="G19" s="2043" t="s">
        <v>3078</v>
      </c>
    </row>
    <row r="20" spans="1:7" s="220" customFormat="1" ht="13.5" customHeight="1">
      <c r="A20" s="261" t="s">
        <v>2180</v>
      </c>
      <c r="B20" s="216" t="s">
        <v>2181</v>
      </c>
      <c r="C20" s="238">
        <f ca="1">ROUND((C5+C19)*F20,0)</f>
        <v>136</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496</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4">
        <f ca="1">ROUND(IF('数据-取费表'!B22&lt;=1,C5*F22*'数据-取费表'!B23,C5*(POWER((1+F22),'数据-取费表'!B23)-1)),0)</f>
        <v>491</v>
      </c>
      <c r="D23" s="244"/>
      <c r="E23" s="244"/>
      <c r="F23" s="245"/>
      <c r="G23" s="246" t="s">
        <v>2191</v>
      </c>
    </row>
    <row r="24" spans="1:7" s="220" customFormat="1" ht="13.5" customHeight="1">
      <c r="A24" s="888" t="s">
        <v>2192</v>
      </c>
      <c r="B24" s="221" t="s">
        <v>2193</v>
      </c>
      <c r="C24" s="1264">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4">
        <f ca="1">ROUND(IF('数据-取费表'!B22&lt;=1,C20*F22*'数据-取费表'!B23/2,C20*(POWER((1+F22),'数据-取费表'!B23/2)-1)),0)</f>
        <v>5</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1390</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1390</v>
      </c>
      <c r="D28" s="241"/>
      <c r="E28" s="242"/>
      <c r="F28" s="252"/>
      <c r="G28" s="253"/>
    </row>
    <row r="29" spans="1:7" s="220" customFormat="1" ht="13.5" customHeight="1">
      <c r="A29" s="888"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9582</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2762</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2455</v>
      </c>
      <c r="D34" s="223"/>
      <c r="E34" s="226"/>
      <c r="F34" s="263">
        <f ca="1">IF('数据-取费表'!B24=0,1,IF(B1="",'数据-取费表'!N16,INDIRECT("'数据-取费表'!n"&amp;$G$1)))</f>
        <v>1</v>
      </c>
      <c r="G34" s="225" t="s">
        <v>2213</v>
      </c>
    </row>
    <row r="35" spans="1:7" ht="13.5" customHeight="1">
      <c r="A35" s="888" t="s">
        <v>796</v>
      </c>
      <c r="B35" s="221" t="s">
        <v>2214</v>
      </c>
      <c r="C35" s="226">
        <f ca="1">ROUND(C34*F35,0)</f>
        <v>74</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196</v>
      </c>
      <c r="D37" s="223">
        <f ca="1">D19</f>
        <v>9820.56</v>
      </c>
      <c r="E37" s="255">
        <f>'数据-取费表'!B35</f>
        <v>200</v>
      </c>
      <c r="F37" s="265"/>
      <c r="G37" s="267" t="s">
        <v>2219</v>
      </c>
    </row>
    <row r="38" spans="1:7" ht="13.5" customHeight="1">
      <c r="A38" s="888" t="s">
        <v>799</v>
      </c>
      <c r="B38" s="221" t="s">
        <v>2220</v>
      </c>
      <c r="C38" s="226">
        <f ca="1">ROUND(C34*F38,0)</f>
        <v>37</v>
      </c>
      <c r="D38" s="226"/>
      <c r="E38" s="226"/>
      <c r="F38" s="265">
        <f>'数据-取费表'!B36</f>
        <v>1.4999999999999999E-2</v>
      </c>
      <c r="G38" s="225" t="s">
        <v>2215</v>
      </c>
    </row>
    <row r="39" spans="1:7" s="220" customFormat="1" ht="13.5" customHeight="1">
      <c r="A39" s="261" t="s">
        <v>2221</v>
      </c>
      <c r="B39" s="216" t="s">
        <v>2222</v>
      </c>
      <c r="C39" s="238">
        <f ca="1">ROUND(C33*F20,0)</f>
        <v>55</v>
      </c>
      <c r="D39" s="238"/>
      <c r="E39" s="238"/>
      <c r="F39" s="2536">
        <f>F20</f>
        <v>0.02</v>
      </c>
      <c r="G39" s="240" t="s">
        <v>2223</v>
      </c>
    </row>
    <row r="40" spans="1:7" s="220" customFormat="1" ht="13.5" customHeight="1">
      <c r="A40" s="261" t="s">
        <v>2224</v>
      </c>
      <c r="B40" s="216" t="s">
        <v>2225</v>
      </c>
      <c r="C40" s="1496">
        <f>F21</f>
        <v>0.02</v>
      </c>
      <c r="D40" s="242" t="s">
        <v>2226</v>
      </c>
      <c r="E40" s="238"/>
      <c r="F40" s="2536">
        <f>F21</f>
        <v>0.02</v>
      </c>
      <c r="G40" s="240" t="s">
        <v>2227</v>
      </c>
    </row>
    <row r="41" spans="1:7" s="220" customFormat="1" ht="13.5" customHeight="1">
      <c r="A41" s="261" t="s">
        <v>2228</v>
      </c>
      <c r="B41" s="216" t="s">
        <v>2229</v>
      </c>
      <c r="C41" s="238">
        <f ca="1">ROUND(SUM(C42:C43),0)</f>
        <v>100</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98</v>
      </c>
      <c r="D42" s="244"/>
      <c r="E42" s="244"/>
      <c r="F42" s="245"/>
      <c r="G42" s="3332" t="s">
        <v>2231</v>
      </c>
    </row>
    <row r="43" spans="1:7" ht="13.5" customHeight="1">
      <c r="A43" s="888" t="s">
        <v>792</v>
      </c>
      <c r="B43" s="221" t="s">
        <v>2232</v>
      </c>
      <c r="C43" s="244">
        <f ca="1">ROUND(IF('数据-取费表'!B22&lt;=1,C39*F22*'数据-取费表'!B21/2,C39*(POWER((1+F22),'数据-取费表'!B21/2)-1)),0)</f>
        <v>2</v>
      </c>
      <c r="D43" s="244"/>
      <c r="E43" s="244"/>
      <c r="F43" s="245"/>
      <c r="G43" s="3333"/>
    </row>
    <row r="44" spans="1:7" ht="13.5" customHeight="1">
      <c r="A44" s="888" t="s">
        <v>793</v>
      </c>
      <c r="B44" s="221" t="s">
        <v>2233</v>
      </c>
      <c r="C44" s="244">
        <f ca="1">ROUND(IF('数据-取费表'!B22&lt;=1,C40*F22*'数据-取费表'!B21/2,C40*(POWER((1+F22),'数据-取费表'!B21/2)-1)),4)</f>
        <v>6.9999999999999999E-4</v>
      </c>
      <c r="D44" s="244"/>
      <c r="E44" s="244"/>
      <c r="F44" s="245"/>
      <c r="G44" s="3334"/>
    </row>
    <row r="45" spans="1:7" s="220" customFormat="1" ht="13.5" customHeight="1">
      <c r="A45" s="261" t="s">
        <v>2234</v>
      </c>
      <c r="B45" s="250" t="s">
        <v>2200</v>
      </c>
      <c r="C45" s="251">
        <f ca="1">C46</f>
        <v>563</v>
      </c>
      <c r="D45" s="241">
        <f ca="1">C47</f>
        <v>4.0000000000000001E-3</v>
      </c>
      <c r="E45" s="242" t="s">
        <v>2226</v>
      </c>
      <c r="F45" s="2538">
        <f ca="1">F27</f>
        <v>0.2</v>
      </c>
      <c r="G45" s="253" t="s">
        <v>2235</v>
      </c>
    </row>
    <row r="46" spans="1:7" s="220" customFormat="1" ht="13.5" customHeight="1">
      <c r="A46" s="888" t="s">
        <v>791</v>
      </c>
      <c r="B46" s="254" t="s">
        <v>2236</v>
      </c>
      <c r="C46" s="255">
        <f ca="1">ROUND((C33+C39)*F27,0)</f>
        <v>563</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1496">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3774</v>
      </c>
      <c r="D49" s="238"/>
      <c r="E49" s="238"/>
      <c r="F49" s="270"/>
      <c r="G49" s="240" t="s">
        <v>2241</v>
      </c>
    </row>
    <row r="50" spans="1:7" s="264" customFormat="1" ht="24">
      <c r="A50" s="261" t="s">
        <v>2242</v>
      </c>
      <c r="B50" s="216" t="s">
        <v>2243</v>
      </c>
      <c r="C50" s="238"/>
      <c r="D50" s="238"/>
      <c r="E50" s="238"/>
      <c r="F50" s="270">
        <f>IF('数据-取费表'!B24=0,'数据-取费表'!N16,1)</f>
        <v>0.93</v>
      </c>
      <c r="G50" s="253" t="s">
        <v>2244</v>
      </c>
    </row>
    <row r="51" spans="1:7" ht="16.5" customHeight="1">
      <c r="A51" s="261" t="s">
        <v>2245</v>
      </c>
      <c r="B51" s="216" t="s">
        <v>2246</v>
      </c>
      <c r="C51" s="238">
        <f ca="1">ROUND(C49*F50,0)</f>
        <v>3510</v>
      </c>
      <c r="D51" s="238"/>
      <c r="E51" s="238"/>
      <c r="F51" s="270"/>
      <c r="G51" s="240" t="s">
        <v>2247</v>
      </c>
    </row>
    <row r="52" spans="1:7" s="214" customFormat="1" ht="16.5" thickBot="1">
      <c r="A52" s="271" t="s">
        <v>2248</v>
      </c>
      <c r="B52" s="272"/>
      <c r="C52" s="273">
        <f ca="1">C31+C51</f>
        <v>13092</v>
      </c>
      <c r="D52" s="272"/>
      <c r="E52" s="272"/>
      <c r="F52" s="272"/>
      <c r="G52" s="274"/>
    </row>
    <row r="55" spans="1:7" ht="15">
      <c r="B55" s="276" t="s">
        <v>2249</v>
      </c>
      <c r="C55" s="277"/>
    </row>
    <row r="56" spans="1:7">
      <c r="B56" s="279" t="s">
        <v>1478</v>
      </c>
      <c r="C56" s="281">
        <f ca="1">1-C57</f>
        <v>0.73199999999999998</v>
      </c>
    </row>
    <row r="57" spans="1:7">
      <c r="B57" s="279" t="s">
        <v>1479</v>
      </c>
      <c r="C57" s="280">
        <f ca="1">ROUND(C51/C52,3)</f>
        <v>0.26800000000000002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6" t="s">
        <v>2250</v>
      </c>
      <c r="D1" s="204"/>
      <c r="E1" s="204"/>
      <c r="F1" s="204"/>
      <c r="G1" s="1287">
        <f>MATCH(B1,'数据-取费表'!A6:A16,0)+5</f>
        <v>7</v>
      </c>
      <c r="H1" s="1191" t="str">
        <f>IF(ISERROR(FIND("住宅",B1)),"非住宅","住宅")</f>
        <v>非住宅</v>
      </c>
    </row>
    <row r="2" spans="1:8" s="206" customFormat="1" ht="18" customHeight="1">
      <c r="A2" s="207" t="s">
        <v>2149</v>
      </c>
      <c r="B2" s="208">
        <f ca="1">ROUND(IF(D2="——",C52/10000,C52/10000-E2),0)</f>
        <v>4063</v>
      </c>
      <c r="C2" s="205" t="s">
        <v>2150</v>
      </c>
      <c r="D2" s="2040" t="s">
        <v>70</v>
      </c>
      <c r="E2" s="1330"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4137</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1964112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1964112</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1964112</v>
      </c>
      <c r="D10" s="954">
        <f ca="1">IF(B1="",'数据-汇总表'!E6,IF(INDIRECT("'数据-取费表'!c"&amp;$G$1)="住宅",INDIRECT("'数据-取费表'!s"&amp;$G$1),INDIRECT("'数据-取费表'!k"&amp;$G$1)+INDIRECT("'数据-取费表'!s"&amp;$G$1)))</f>
        <v>9820.56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1964112</v>
      </c>
      <c r="D19" s="958">
        <f ca="1">D9+D10</f>
        <v>9820.56</v>
      </c>
      <c r="E19" s="217">
        <f>'数据-取费表'!B31</f>
        <v>200</v>
      </c>
      <c r="F19" s="237"/>
      <c r="G19" s="2043"/>
    </row>
    <row r="20" spans="1:7" s="220" customFormat="1" ht="13.5" customHeight="1">
      <c r="A20" s="261" t="s">
        <v>2261</v>
      </c>
      <c r="B20" s="216" t="s">
        <v>2262</v>
      </c>
      <c r="C20" s="238">
        <f ca="1">ROUND((C5+C19)*F20,0)</f>
        <v>78564</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8">
        <f ca="1">ROUND(SUM(C23:C25),0)</f>
        <v>285967</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89">
        <f ca="1">ROUND(IF('数据-取费表'!B22&lt;=1,C5*F22*'数据-取费表'!B22,C5*(POWER((1+F22),'数据-取费表'!B22)-1)),0)</f>
        <v>141592</v>
      </c>
      <c r="D23" s="244"/>
      <c r="E23" s="244"/>
      <c r="F23" s="245"/>
      <c r="G23" s="246" t="s">
        <v>2271</v>
      </c>
    </row>
    <row r="24" spans="1:7" s="220" customFormat="1" ht="13.5" customHeight="1">
      <c r="A24" s="888" t="s">
        <v>2161</v>
      </c>
      <c r="B24" s="221" t="s">
        <v>2272</v>
      </c>
      <c r="C24" s="1289">
        <f ca="1">ROUND(IF('数据-取费表'!B22&lt;=1,C19*F22*('数据-取费表'!B19/2+'数据-取费表'!B20),C19*(POWER((1+F22),('数据-取费表'!B19/2+'数据-取费表'!B20))-1)),0)</f>
        <v>141592</v>
      </c>
      <c r="D24" s="244"/>
      <c r="E24" s="244"/>
      <c r="F24" s="245"/>
      <c r="G24" s="246" t="s">
        <v>2273</v>
      </c>
    </row>
    <row r="25" spans="1:7" s="220" customFormat="1" ht="24">
      <c r="A25" s="888" t="s">
        <v>2163</v>
      </c>
      <c r="B25" s="221" t="s">
        <v>2274</v>
      </c>
      <c r="C25" s="1289">
        <f ca="1">ROUND(IF('数据-取费表'!B22&lt;=1,C20*F22*'数据-取费表'!B22/2,C20*(POWER((1+F22),'数据-取费表'!B22/2)-1)),0)</f>
        <v>2783</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801358</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ROUND((C5+C19+C20)*F27,0)</f>
        <v>801358</v>
      </c>
      <c r="D28" s="241"/>
      <c r="E28" s="242"/>
      <c r="F28" s="252"/>
      <c r="G28" s="253"/>
    </row>
    <row r="29" spans="1:7" s="220" customFormat="1" ht="13.5" customHeight="1">
      <c r="A29" s="888" t="s">
        <v>792</v>
      </c>
      <c r="B29" s="254" t="s">
        <v>2204</v>
      </c>
      <c r="C29" s="244">
        <f ca="1">ROUND(C21*F27,4)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5525068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27620325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24551400</v>
      </c>
      <c r="D34" s="223"/>
      <c r="E34" s="226"/>
      <c r="F34" s="263"/>
      <c r="G34" s="225"/>
    </row>
    <row r="35" spans="1:7" ht="13.5" customHeight="1">
      <c r="A35" s="888" t="s">
        <v>796</v>
      </c>
      <c r="B35" s="221" t="s">
        <v>2214</v>
      </c>
      <c r="C35" s="226">
        <f ca="1">ROUND(C34*F35,0)</f>
        <v>736542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1964112</v>
      </c>
      <c r="D37" s="223">
        <f ca="1">D19</f>
        <v>9820.56</v>
      </c>
      <c r="E37" s="255">
        <f>'数据-取费表'!B35</f>
        <v>200</v>
      </c>
      <c r="F37" s="265"/>
      <c r="G37" s="267"/>
    </row>
    <row r="38" spans="1:7" ht="13.5" customHeight="1">
      <c r="A38" s="888" t="s">
        <v>799</v>
      </c>
      <c r="B38" s="221" t="s">
        <v>2220</v>
      </c>
      <c r="C38" s="226">
        <f ca="1">ROUND(C34*F38,0)</f>
        <v>368271</v>
      </c>
      <c r="D38" s="226"/>
      <c r="E38" s="226"/>
      <c r="F38" s="265">
        <f>'数据-取费表'!B36</f>
        <v>1.4999999999999999E-2</v>
      </c>
      <c r="G38" s="225" t="s">
        <v>2215</v>
      </c>
    </row>
    <row r="39" spans="1:7" s="220" customFormat="1" ht="13.5" customHeight="1">
      <c r="A39" s="261" t="s">
        <v>2221</v>
      </c>
      <c r="B39" s="216" t="s">
        <v>2222</v>
      </c>
      <c r="C39" s="238">
        <f ca="1">ROUND(C33*F20,0)</f>
        <v>552407</v>
      </c>
      <c r="D39" s="238"/>
      <c r="E39" s="238"/>
      <c r="F39" s="2536">
        <f>F20</f>
        <v>0.02</v>
      </c>
      <c r="G39" s="240" t="s">
        <v>2223</v>
      </c>
    </row>
    <row r="40" spans="1:7" s="220" customFormat="1" ht="13.5" customHeight="1">
      <c r="A40" s="261" t="s">
        <v>2224</v>
      </c>
      <c r="B40" s="216" t="s">
        <v>2225</v>
      </c>
      <c r="C40" s="1496">
        <f>F21</f>
        <v>0.02</v>
      </c>
      <c r="D40" s="242" t="s">
        <v>2226</v>
      </c>
      <c r="E40" s="238"/>
      <c r="F40" s="2536">
        <f>F21</f>
        <v>0.02</v>
      </c>
      <c r="G40" s="240" t="s">
        <v>2227</v>
      </c>
    </row>
    <row r="41" spans="1:7" s="220" customFormat="1" ht="13.5" customHeight="1">
      <c r="A41" s="261" t="s">
        <v>2228</v>
      </c>
      <c r="B41" s="216" t="s">
        <v>2229</v>
      </c>
      <c r="C41" s="238">
        <f ca="1">ROUND(SUM(C42:C43),0)</f>
        <v>997809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978244</v>
      </c>
      <c r="D42" s="244"/>
      <c r="E42" s="244"/>
      <c r="F42" s="245"/>
      <c r="G42" s="3332" t="s">
        <v>2278</v>
      </c>
    </row>
    <row r="43" spans="1:7" ht="13.5" customHeight="1">
      <c r="A43" s="888" t="s">
        <v>792</v>
      </c>
      <c r="B43" s="221" t="s">
        <v>2232</v>
      </c>
      <c r="C43" s="244">
        <f ca="1">ROUND(IF('数据-取费表'!B22&lt;=1,C39*F22*'数据-取费表'!B20/2,C39*(POWER((1+F22),'数据-取费表'!B20/2)-1)),0)</f>
        <v>19565</v>
      </c>
      <c r="D43" s="244"/>
      <c r="E43" s="244"/>
      <c r="F43" s="245"/>
      <c r="G43" s="3333"/>
    </row>
    <row r="44" spans="1:7" ht="13.5" customHeight="1">
      <c r="A44" s="888" t="s">
        <v>793</v>
      </c>
      <c r="B44" s="221" t="s">
        <v>2233</v>
      </c>
      <c r="C44" s="244">
        <f ca="1">ROUND(IF('数据-取费表'!B22&lt;=1,C40*F22*'数据-取费表'!B20/2,C40*(POWER((1+F22),'数据-取费表'!B20/2)-1)),4)</f>
        <v>6.9999999999999999E-4</v>
      </c>
      <c r="D44" s="244"/>
      <c r="E44" s="244"/>
      <c r="F44" s="245"/>
      <c r="G44" s="3334"/>
    </row>
    <row r="45" spans="1:7" s="220" customFormat="1" ht="13.5" customHeight="1">
      <c r="A45" s="261" t="s">
        <v>2234</v>
      </c>
      <c r="B45" s="250" t="s">
        <v>2200</v>
      </c>
      <c r="C45" s="251">
        <f ca="1">C46</f>
        <v>5634546</v>
      </c>
      <c r="D45" s="241">
        <f ca="1">C47</f>
        <v>4.0000000000000001E-3</v>
      </c>
      <c r="E45" s="242" t="s">
        <v>2226</v>
      </c>
      <c r="F45" s="2538">
        <f ca="1">F27</f>
        <v>0.2</v>
      </c>
      <c r="G45" s="253" t="s">
        <v>2235</v>
      </c>
    </row>
    <row r="46" spans="1:7" s="220" customFormat="1" ht="13.5" customHeight="1">
      <c r="A46" s="888" t="s">
        <v>791</v>
      </c>
      <c r="B46" s="254" t="s">
        <v>2236</v>
      </c>
      <c r="C46" s="255">
        <f ca="1">ROUND((C33+C39)*F27,0)</f>
        <v>5634546</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37749552</v>
      </c>
      <c r="D49" s="238"/>
      <c r="E49" s="238"/>
      <c r="F49" s="270"/>
      <c r="G49" s="240" t="s">
        <v>2241</v>
      </c>
    </row>
    <row r="50" spans="1:7" s="264" customFormat="1">
      <c r="A50" s="261" t="s">
        <v>2242</v>
      </c>
      <c r="B50" s="216" t="s">
        <v>2243</v>
      </c>
      <c r="C50" s="238"/>
      <c r="D50" s="238"/>
      <c r="E50" s="238"/>
      <c r="F50" s="270">
        <f>IF('数据-取费表'!B24=0,'数据-取费表'!N16,1)</f>
        <v>0.93</v>
      </c>
      <c r="G50" s="253"/>
    </row>
    <row r="51" spans="1:7" ht="16.5" customHeight="1">
      <c r="A51" s="261" t="s">
        <v>2245</v>
      </c>
      <c r="B51" s="216" t="s">
        <v>2280</v>
      </c>
      <c r="C51" s="238">
        <f ca="1">ROUND(C49*F50,0)</f>
        <v>35107083</v>
      </c>
      <c r="D51" s="238"/>
      <c r="E51" s="238"/>
      <c r="F51" s="270"/>
      <c r="G51" s="240" t="s">
        <v>2247</v>
      </c>
    </row>
    <row r="52" spans="1:7" s="214" customFormat="1" ht="16.5" thickBot="1">
      <c r="A52" s="271" t="s">
        <v>2248</v>
      </c>
      <c r="B52" s="272"/>
      <c r="C52" s="273">
        <f ca="1">C31+C51</f>
        <v>40632151</v>
      </c>
      <c r="D52" s="272"/>
      <c r="E52" s="272"/>
      <c r="F52" s="272"/>
      <c r="G52" s="274"/>
    </row>
    <row r="55" spans="1:7" ht="15">
      <c r="B55" s="276" t="s">
        <v>2249</v>
      </c>
      <c r="C55" s="277"/>
    </row>
    <row r="56" spans="1:7">
      <c r="B56" s="279" t="s">
        <v>1478</v>
      </c>
      <c r="C56" s="281">
        <f ca="1">1-C57</f>
        <v>0.13600000000000001</v>
      </c>
    </row>
    <row r="57" spans="1:7">
      <c r="B57" s="279" t="s">
        <v>1479</v>
      </c>
      <c r="C57" s="280">
        <f ca="1">ROUND(C51/C52,3)</f>
        <v>0.86399999999999999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8"/>
      <c r="F1" s="3038"/>
      <c r="G1" s="2901"/>
      <c r="H1" s="3038"/>
      <c r="I1" s="3038"/>
      <c r="J1" s="3038"/>
      <c r="K1" s="3039">
        <f>MATCH(C1,'数据-取费表'!A6:A16,0)+5</f>
        <v>7</v>
      </c>
    </row>
    <row r="2" spans="1:33" ht="18" customHeight="1">
      <c r="A2" s="207" t="s">
        <v>2149</v>
      </c>
      <c r="B2" s="210">
        <f ca="1">C32</f>
        <v>0</v>
      </c>
      <c r="C2" s="282" t="s">
        <v>2282</v>
      </c>
      <c r="D2" s="282"/>
      <c r="E2" s="3038"/>
      <c r="F2" s="3038"/>
      <c r="G2" s="3038"/>
      <c r="H2" s="3038"/>
      <c r="I2" s="3038"/>
      <c r="J2" s="3038"/>
      <c r="K2" s="3038"/>
    </row>
    <row r="3" spans="1:33" ht="18" customHeight="1" thickBot="1">
      <c r="A3" s="209" t="s">
        <v>2151</v>
      </c>
      <c r="B3" s="210">
        <f ca="1">ROUND(B2*10000/IF(C1="",'数据-汇总表'!E3,INDIRECT("'数据-取费表'!K"&amp;$K$1)),0)</f>
        <v>0</v>
      </c>
      <c r="C3" s="282" t="s">
        <v>2283</v>
      </c>
      <c r="D3" s="282"/>
      <c r="E3" s="3038"/>
      <c r="F3" s="3038"/>
      <c r="G3" s="3038"/>
      <c r="H3" s="3038"/>
      <c r="I3" s="3038"/>
      <c r="J3" s="3038"/>
      <c r="K3" s="3038"/>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9820.56</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9820.56</v>
      </c>
      <c r="E17" s="24">
        <f>'数据-取费表'!B32</f>
        <v>0</v>
      </c>
      <c r="F17" s="915"/>
      <c r="G17" s="136" t="s">
        <v>2313</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8"/>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2317</v>
      </c>
      <c r="C20" s="24">
        <f ca="1">ROUND(D20*E20/10000,0)</f>
        <v>196</v>
      </c>
      <c r="D20" s="955">
        <f ca="1">IF(C1="",'数据-汇总表'!E6,IF(INDIRECT("'数据-取费表'!c"&amp;$K$1)="住宅",INDIRECT("'数据-取费表'!s"&amp;$K$1),INDIRECT("'数据-取费表'!k"&amp;$K$1)+INDIRECT("'数据-取费表'!s"&amp;$K$1)))</f>
        <v>9820.56</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6">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7">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2">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1">
        <f ca="1">C6+C10+C12</f>
        <v>0</v>
      </c>
      <c r="D5" s="1549" t="s">
        <v>1566</v>
      </c>
      <c r="E5" s="1202"/>
      <c r="F5" s="1203"/>
      <c r="G5" s="1569"/>
      <c r="H5" s="305">
        <v>1</v>
      </c>
      <c r="I5" s="306" t="s">
        <v>1565</v>
      </c>
      <c r="J5" s="1201">
        <f ca="1">J6+J10+J12</f>
        <v>0</v>
      </c>
      <c r="K5" s="1549" t="s">
        <v>1566</v>
      </c>
      <c r="L5" s="1202"/>
      <c r="M5" s="1203"/>
    </row>
    <row r="6" spans="1:37" ht="18" customHeight="1">
      <c r="A6" s="1200" t="s">
        <v>1003</v>
      </c>
      <c r="B6" s="3329" t="s">
        <v>1368</v>
      </c>
      <c r="C6" s="1205">
        <f ca="1">ROUND(F6*F8*F7*(1-F9),0)</f>
        <v>0</v>
      </c>
      <c r="D6" s="160" t="s">
        <v>2845</v>
      </c>
      <c r="E6" s="308" t="s">
        <v>1370</v>
      </c>
      <c r="F6" s="309">
        <f ca="1">INDIRECT("'数据-取费表'!u"&amp;$G$1)</f>
        <v>0</v>
      </c>
      <c r="G6" s="1569"/>
      <c r="H6" s="1200" t="s">
        <v>1003</v>
      </c>
      <c r="I6" s="3329" t="s">
        <v>1368</v>
      </c>
      <c r="J6" s="307">
        <f ca="1">ROUND(M6*M8*M7*(1-M9),0)</f>
        <v>0</v>
      </c>
      <c r="K6" s="1561" t="s">
        <v>2846</v>
      </c>
      <c r="L6" s="308" t="s">
        <v>1370</v>
      </c>
      <c r="M6" s="309">
        <f ca="1">INDIRECT("'数据-取费表'!z"&amp;$G$1)</f>
        <v>0</v>
      </c>
    </row>
    <row r="7" spans="1:37" ht="18" customHeight="1">
      <c r="A7" s="1204"/>
      <c r="B7" s="3330"/>
      <c r="C7" s="1206"/>
      <c r="D7" s="313"/>
      <c r="E7" s="1207" t="s">
        <v>1371</v>
      </c>
      <c r="F7" s="309">
        <f ca="1">IF(INDIRECT("'数据-取费表'!ah"&amp;$G$1)="",INDIRECT("'数据-取费表'!k"&amp;$G$1),INDIRECT("'数据-取费表'!ah"&amp;$G$1))</f>
        <v>0</v>
      </c>
      <c r="G7" s="1569"/>
      <c r="H7" s="310"/>
      <c r="I7" s="3330"/>
      <c r="J7" s="312"/>
      <c r="K7" s="313"/>
      <c r="L7" s="308" t="s">
        <v>1371</v>
      </c>
      <c r="M7" s="309">
        <f ca="1">F7</f>
        <v>0</v>
      </c>
    </row>
    <row r="8" spans="1:37" ht="18" customHeight="1">
      <c r="A8" s="310"/>
      <c r="B8" s="3330"/>
      <c r="C8" s="312"/>
      <c r="D8" s="313"/>
      <c r="E8" s="308" t="s">
        <v>1372</v>
      </c>
      <c r="F8" s="309">
        <f ca="1">INDIRECT("'数据-取费表'!ai"&amp;$G$1)</f>
        <v>0</v>
      </c>
      <c r="G8" s="1569"/>
      <c r="H8" s="310"/>
      <c r="I8" s="3330"/>
      <c r="J8" s="312"/>
      <c r="K8" s="313"/>
      <c r="L8" s="308" t="s">
        <v>1372</v>
      </c>
      <c r="M8" s="309">
        <f ca="1">INDIRECT("'数据-取费表'!ai"&amp;$G$1)</f>
        <v>0</v>
      </c>
    </row>
    <row r="9" spans="1:37" ht="18" customHeight="1">
      <c r="A9" s="310"/>
      <c r="B9" s="3331"/>
      <c r="C9" s="312"/>
      <c r="D9" s="313"/>
      <c r="E9" s="308" t="s">
        <v>1373</v>
      </c>
      <c r="F9" s="318">
        <f ca="1">INDIRECT("'数据-取费表'!w"&amp;$G$1)</f>
        <v>0</v>
      </c>
      <c r="G9" s="1569"/>
      <c r="H9" s="310"/>
      <c r="I9" s="3331"/>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2855</v>
      </c>
      <c r="E10" s="319" t="s">
        <v>1375</v>
      </c>
      <c r="F10" s="1275"/>
      <c r="G10" s="1569"/>
      <c r="H10" s="1200" t="s">
        <v>1007</v>
      </c>
      <c r="I10" s="1550" t="s">
        <v>1374</v>
      </c>
      <c r="J10" s="307">
        <f ca="1">ROUND(IF(M10="押一",J6/12*M11,IF(M10="押二",J6/12*2*M11,IF(M10="押三",J6/12*3*M11,J11*M11))),0)</f>
        <v>0</v>
      </c>
      <c r="K10" s="1562" t="s">
        <v>2857</v>
      </c>
      <c r="L10" s="319" t="s">
        <v>1375</v>
      </c>
      <c r="M10" s="1275"/>
    </row>
    <row r="11" spans="1:37" ht="18" customHeight="1">
      <c r="A11" s="314"/>
      <c r="B11" s="1552" t="s">
        <v>1567</v>
      </c>
      <c r="C11" s="1090"/>
      <c r="D11" s="313"/>
      <c r="E11" s="319" t="s">
        <v>1377</v>
      </c>
      <c r="F11" s="320">
        <f ca="1">'数据-取费表'!B39</f>
        <v>1.4999999999999999E-2</v>
      </c>
      <c r="G11" s="1569"/>
      <c r="H11" s="1208"/>
      <c r="I11" s="1552" t="s">
        <v>1568</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3"/>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3"/>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0"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2"/>
      <c r="B35" s="1260"/>
      <c r="C35" s="29"/>
      <c r="D35" s="333"/>
      <c r="E35" s="308" t="s">
        <v>1412</v>
      </c>
      <c r="F35" s="309">
        <f ca="1">INDIRECT("'数据-取费表'!r"&amp;$G$1)</f>
        <v>0</v>
      </c>
      <c r="G35" s="1569"/>
      <c r="H35" s="2927"/>
      <c r="I35" s="1583"/>
      <c r="J35" s="1584"/>
      <c r="K35" s="2931"/>
      <c r="L35" s="2930"/>
      <c r="M35" s="2930"/>
    </row>
    <row r="36" spans="1:18" ht="18" customHeight="1">
      <c r="A36" s="1261"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8" t="s">
        <v>1358</v>
      </c>
      <c r="B38" s="1249" t="s">
        <v>1404</v>
      </c>
      <c r="C38" s="1250">
        <f ca="1">ROUND(C5*F38,1)</f>
        <v>0</v>
      </c>
      <c r="D38" s="1251" t="s">
        <v>1424</v>
      </c>
      <c r="E38" s="1249" t="s">
        <v>1420</v>
      </c>
      <c r="F38" s="1245">
        <f ca="1">INDIRECT("'数据-取费表'!Am"&amp;$G$1)</f>
        <v>0</v>
      </c>
      <c r="G38" s="1569"/>
      <c r="H38" s="2930"/>
      <c r="I38" s="1583"/>
      <c r="J38" s="1584"/>
      <c r="K38" s="2934"/>
      <c r="L38" s="2930"/>
      <c r="M38" s="2930"/>
    </row>
    <row r="39" spans="1:18" ht="24.6" customHeight="1" thickTop="1">
      <c r="A39" s="1238" t="s">
        <v>999</v>
      </c>
      <c r="B39" s="1253" t="s">
        <v>1448</v>
      </c>
      <c r="C39" s="316">
        <f ca="1">C5-C30</f>
        <v>0</v>
      </c>
      <c r="D39" s="1254" t="s">
        <v>1449</v>
      </c>
      <c r="E39" s="1255"/>
      <c r="F39" s="1256"/>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8" t="s">
        <v>1365</v>
      </c>
      <c r="F47" s="1189"/>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3">
        <f ca="1">ROUND(F49*F51*F50*(1-F52),0)</f>
        <v>0</v>
      </c>
      <c r="D49" s="1185" t="s">
        <v>1369</v>
      </c>
      <c r="E49" s="1557" t="s">
        <v>1456</v>
      </c>
      <c r="F49" s="1190"/>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6" t="s">
        <v>1371</v>
      </c>
      <c r="F50" s="1187">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9" t="s">
        <v>1374</v>
      </c>
      <c r="C53" s="322">
        <f ca="1">ROUND(IF(F53="押一",C49/12*F11,IF(F53="押二",C49/12*2*F11,IF(F53="押三",C49/12*3*F11,C54*F11))),0)</f>
        <v>0</v>
      </c>
      <c r="D53" s="1551" t="s">
        <v>2858</v>
      </c>
      <c r="E53" s="319" t="s">
        <v>1375</v>
      </c>
      <c r="F53" s="1275"/>
      <c r="I53" s="1624" t="s">
        <v>1512</v>
      </c>
      <c r="J53" s="2387">
        <f ca="1">IF(M47="住宅",IF(D1="——",MAX(J51,L48),MAX(J51,L48-'数据-取费表'!B24)),IF(D1="——",MIN(J51,L48),MIN(J51,L48-'数据-取费表'!B24)))</f>
        <v>0</v>
      </c>
      <c r="K53" s="3327" t="s">
        <v>1513</v>
      </c>
      <c r="L53" s="332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4">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7"/>
      <c r="G1" s="1675"/>
      <c r="H1" s="1675"/>
      <c r="I1" s="1675"/>
      <c r="J1" s="1675"/>
      <c r="K1" s="1675"/>
      <c r="L1" s="1675"/>
      <c r="M1" s="1675"/>
      <c r="N1" s="1675"/>
      <c r="O1" s="1675"/>
      <c r="P1" s="1675"/>
      <c r="Q1" s="1675"/>
      <c r="R1" s="1675"/>
      <c r="S1" s="1675"/>
    </row>
    <row r="2" spans="1:22" ht="15.75">
      <c r="A2" s="2057" t="s">
        <v>2149</v>
      </c>
      <c r="B2" s="2058">
        <f ca="1">SUMIF(B6:B13,"&lt;&gt;#ref!",B6:B13)</f>
        <v>15885</v>
      </c>
      <c r="C2" s="2059" t="s">
        <v>2341</v>
      </c>
      <c r="D2" s="2060" t="s">
        <v>2342</v>
      </c>
      <c r="E2" s="2834">
        <f>SUM(E6:E13)</f>
        <v>9820.56</v>
      </c>
      <c r="F2" s="2937"/>
      <c r="G2" s="1675"/>
      <c r="H2" s="1675"/>
      <c r="I2" s="1675"/>
      <c r="J2" s="1675"/>
      <c r="K2" s="1675"/>
      <c r="L2" s="1675"/>
      <c r="M2" s="1675"/>
      <c r="N2" s="1675"/>
      <c r="O2" s="1675"/>
      <c r="P2" s="1675"/>
      <c r="Q2" s="1675"/>
      <c r="R2" s="1675"/>
      <c r="S2" s="1675"/>
    </row>
    <row r="3" spans="1:22" ht="15.75">
      <c r="A3" s="2057" t="s">
        <v>1360</v>
      </c>
      <c r="B3" s="2828">
        <f ca="1">ROUND(B2*10000/E2,0)</f>
        <v>16175</v>
      </c>
      <c r="C3" s="2059" t="s">
        <v>2349</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2343</v>
      </c>
      <c r="B5" s="3335" t="s">
        <v>2344</v>
      </c>
      <c r="C5" s="3336"/>
      <c r="D5" s="2938"/>
      <c r="E5" s="2061" t="s">
        <v>2345</v>
      </c>
      <c r="F5" s="2062" t="s">
        <v>2346</v>
      </c>
      <c r="G5" s="1675"/>
      <c r="H5" s="1675"/>
      <c r="I5" s="1675"/>
      <c r="J5" s="1675"/>
      <c r="K5" s="1675"/>
      <c r="L5" s="1675"/>
      <c r="M5" s="1675"/>
      <c r="N5" s="1675"/>
      <c r="O5" s="1675"/>
      <c r="P5" s="1675"/>
      <c r="Q5" s="1675"/>
      <c r="R5" s="1675"/>
      <c r="S5" s="1675"/>
    </row>
    <row r="6" spans="1:22">
      <c r="A6" s="2831" t="str">
        <f>'数据-取费表'!AN6</f>
        <v>收益法</v>
      </c>
      <c r="B6" s="2829">
        <f ca="1">IF(F6="是",'数据-取费表'!AO6,0)</f>
        <v>15885</v>
      </c>
      <c r="C6" s="2059" t="s">
        <v>2341</v>
      </c>
      <c r="D6" s="2939"/>
      <c r="E6" s="2833">
        <f>IF(OR(A6=0,F6="否"),0,'数据-取费表'!K6+'数据-取费表'!S6)</f>
        <v>9820.56</v>
      </c>
      <c r="F6" s="2063" t="s">
        <v>2347</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2341</v>
      </c>
      <c r="D7" s="2939"/>
      <c r="E7" s="2833">
        <f>IF(OR(A7=0,F7="否"),0,'数据-取费表'!K7+'数据-取费表'!S7)</f>
        <v>0</v>
      </c>
      <c r="F7" s="2063" t="s">
        <v>2347</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2341</v>
      </c>
      <c r="D8" s="2939"/>
      <c r="E8" s="2833">
        <f>IF(OR(A8=0,F8="否"),0,'数据-取费表'!K8+'数据-取费表'!S8)</f>
        <v>0</v>
      </c>
      <c r="F8" s="2063" t="s">
        <v>2347</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2341</v>
      </c>
      <c r="D9" s="2939"/>
      <c r="E9" s="2833">
        <f>IF(OR(A9=0,F9="否"),0,'数据-取费表'!K9+'数据-取费表'!S9)</f>
        <v>0</v>
      </c>
      <c r="F9" s="2063" t="s">
        <v>2347</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2341</v>
      </c>
      <c r="D10" s="2939"/>
      <c r="E10" s="2833">
        <f>IF(OR(A10=0,F10="否"),0,'数据-取费表'!K10+'数据-取费表'!S10)</f>
        <v>0</v>
      </c>
      <c r="F10" s="2063" t="s">
        <v>2347</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2341</v>
      </c>
      <c r="D11" s="2939"/>
      <c r="E11" s="2833">
        <f>IF(OR(A11=0,F11="否"),0,'数据-取费表'!K11+'数据-取费表'!S11)</f>
        <v>0</v>
      </c>
      <c r="F11" s="2063" t="s">
        <v>2347</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2341</v>
      </c>
      <c r="D12" s="2939"/>
      <c r="E12" s="2833">
        <f>IF(OR(A12=0,F12="否"),0,'数据-取费表'!K12+'数据-取费表'!S12)</f>
        <v>0</v>
      </c>
      <c r="F12" s="2063" t="s">
        <v>2347</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7" t="s">
        <v>1044</v>
      </c>
      <c r="B1" s="3338"/>
      <c r="C1" s="3339"/>
      <c r="D1" s="3340">
        <f>SUM(I10,I15,I20,I21,I23)</f>
        <v>0</v>
      </c>
      <c r="E1" s="3340"/>
      <c r="F1" s="3340"/>
      <c r="G1" s="3340"/>
      <c r="H1" s="3340"/>
      <c r="I1" s="3341"/>
    </row>
    <row r="2" spans="1:9">
      <c r="A2" s="3342" t="s">
        <v>1045</v>
      </c>
      <c r="B2" s="3343" t="s">
        <v>1046</v>
      </c>
      <c r="C2" s="3343"/>
      <c r="D2" s="1210" t="s">
        <v>1047</v>
      </c>
      <c r="E2" s="1210" t="s">
        <v>1048</v>
      </c>
      <c r="F2" s="1210" t="s">
        <v>1049</v>
      </c>
      <c r="G2" s="1210" t="s">
        <v>1050</v>
      </c>
      <c r="H2" s="1210" t="s">
        <v>1051</v>
      </c>
      <c r="I2" s="1211" t="s">
        <v>1052</v>
      </c>
    </row>
    <row r="3" spans="1:9">
      <c r="A3" s="3342"/>
      <c r="B3" s="3343" t="s">
        <v>1053</v>
      </c>
      <c r="C3" s="3343"/>
      <c r="D3" s="1212"/>
      <c r="E3" s="1210"/>
      <c r="F3" s="1213"/>
      <c r="G3" s="1213"/>
      <c r="H3" s="1214"/>
      <c r="I3" s="1215">
        <f>ROUND(D3*E3*F3*G3*H3/10000,0)</f>
        <v>0</v>
      </c>
    </row>
    <row r="4" spans="1:9">
      <c r="A4" s="3342"/>
      <c r="B4" s="3343" t="s">
        <v>1054</v>
      </c>
      <c r="C4" s="3343"/>
      <c r="D4" s="1212"/>
      <c r="E4" s="1210"/>
      <c r="F4" s="1213"/>
      <c r="G4" s="1213"/>
      <c r="H4" s="1214"/>
      <c r="I4" s="1215">
        <f t="shared" ref="I4:I9" si="0">ROUND(D4*E4*F4*G4*H4/10000,0)</f>
        <v>0</v>
      </c>
    </row>
    <row r="5" spans="1:9">
      <c r="A5" s="3342"/>
      <c r="B5" s="3343" t="s">
        <v>1055</v>
      </c>
      <c r="C5" s="3343"/>
      <c r="D5" s="1212"/>
      <c r="E5" s="1210"/>
      <c r="F5" s="1213"/>
      <c r="G5" s="1213"/>
      <c r="H5" s="1214"/>
      <c r="I5" s="1215">
        <f t="shared" si="0"/>
        <v>0</v>
      </c>
    </row>
    <row r="6" spans="1:9">
      <c r="A6" s="3342"/>
      <c r="B6" s="3343" t="s">
        <v>1056</v>
      </c>
      <c r="C6" s="3343"/>
      <c r="D6" s="1212"/>
      <c r="E6" s="1210"/>
      <c r="F6" s="1213"/>
      <c r="G6" s="1213"/>
      <c r="H6" s="1214"/>
      <c r="I6" s="1215">
        <f t="shared" si="0"/>
        <v>0</v>
      </c>
    </row>
    <row r="7" spans="1:9">
      <c r="A7" s="3342"/>
      <c r="B7" s="3343" t="s">
        <v>1057</v>
      </c>
      <c r="C7" s="3343"/>
      <c r="D7" s="1212"/>
      <c r="E7" s="1210"/>
      <c r="F7" s="1213"/>
      <c r="G7" s="1213"/>
      <c r="H7" s="1214"/>
      <c r="I7" s="1215">
        <f t="shared" si="0"/>
        <v>0</v>
      </c>
    </row>
    <row r="8" spans="1:9">
      <c r="A8" s="3342"/>
      <c r="B8" s="3343" t="s">
        <v>1058</v>
      </c>
      <c r="C8" s="3343"/>
      <c r="D8" s="1212"/>
      <c r="E8" s="1210"/>
      <c r="F8" s="1213"/>
      <c r="G8" s="1213"/>
      <c r="H8" s="1214"/>
      <c r="I8" s="1215">
        <f t="shared" si="0"/>
        <v>0</v>
      </c>
    </row>
    <row r="9" spans="1:9">
      <c r="A9" s="3342"/>
      <c r="B9" s="3343" t="s">
        <v>1059</v>
      </c>
      <c r="C9" s="3343"/>
      <c r="D9" s="1212"/>
      <c r="E9" s="1210"/>
      <c r="F9" s="1213"/>
      <c r="G9" s="1213"/>
      <c r="H9" s="1214"/>
      <c r="I9" s="1215">
        <f t="shared" si="0"/>
        <v>0</v>
      </c>
    </row>
    <row r="10" spans="1:9">
      <c r="A10" s="3342"/>
      <c r="B10" s="3344" t="s">
        <v>1060</v>
      </c>
      <c r="C10" s="3344"/>
      <c r="D10" s="1216"/>
      <c r="E10" s="1216" t="e">
        <f>ROUND(D1*10000/D10/H9,0)</f>
        <v>#DIV/0!</v>
      </c>
      <c r="F10" s="1217"/>
      <c r="G10" s="1217"/>
      <c r="H10" s="1218"/>
      <c r="I10" s="1219">
        <f>SUM(I3:I9)</f>
        <v>0</v>
      </c>
    </row>
    <row r="11" spans="1:9" ht="14.25">
      <c r="A11" s="3342" t="s">
        <v>1061</v>
      </c>
      <c r="B11" s="3343" t="s">
        <v>1062</v>
      </c>
      <c r="C11" s="3343"/>
      <c r="D11" s="1212" t="s">
        <v>1063</v>
      </c>
      <c r="E11" s="1212" t="s">
        <v>1064</v>
      </c>
      <c r="F11" s="1213" t="s">
        <v>1065</v>
      </c>
      <c r="G11" s="1213" t="s">
        <v>1051</v>
      </c>
      <c r="H11" s="1220" t="s">
        <v>1066</v>
      </c>
      <c r="I11" s="1211" t="s">
        <v>1052</v>
      </c>
    </row>
    <row r="12" spans="1:9">
      <c r="A12" s="3342"/>
      <c r="B12" s="3343" t="s">
        <v>1067</v>
      </c>
      <c r="C12" s="3343"/>
      <c r="D12" s="1212"/>
      <c r="E12" s="1212"/>
      <c r="F12" s="1213"/>
      <c r="G12" s="1214"/>
      <c r="H12" s="1221"/>
      <c r="I12" s="1211">
        <f>ROUND(D12*E12*F12*G12/10000,0)</f>
        <v>0</v>
      </c>
    </row>
    <row r="13" spans="1:9">
      <c r="A13" s="3342"/>
      <c r="B13" s="3343" t="s">
        <v>1068</v>
      </c>
      <c r="C13" s="3343"/>
      <c r="D13" s="1212"/>
      <c r="E13" s="1212"/>
      <c r="F13" s="1213"/>
      <c r="G13" s="1214"/>
      <c r="H13" s="1221"/>
      <c r="I13" s="1211">
        <f>ROUND(D13*E13*F13*G13/10000,0)</f>
        <v>0</v>
      </c>
    </row>
    <row r="14" spans="1:9">
      <c r="A14" s="3342"/>
      <c r="B14" s="3343" t="s">
        <v>1069</v>
      </c>
      <c r="C14" s="3343"/>
      <c r="D14" s="1212"/>
      <c r="E14" s="1212"/>
      <c r="F14" s="1213"/>
      <c r="G14" s="1214"/>
      <c r="H14" s="1221"/>
      <c r="I14" s="1211">
        <f>ROUND(D14*E14*F14*G14/10000,0)</f>
        <v>0</v>
      </c>
    </row>
    <row r="15" spans="1:9">
      <c r="A15" s="3342"/>
      <c r="B15" s="3344" t="s">
        <v>1060</v>
      </c>
      <c r="C15" s="3344"/>
      <c r="D15" s="1216"/>
      <c r="E15" s="1216">
        <f>SUM(E12:E14)</f>
        <v>0</v>
      </c>
      <c r="F15" s="1217"/>
      <c r="G15" s="1214"/>
      <c r="H15" s="1221"/>
      <c r="I15" s="1222">
        <f>SUM(I12:I14)</f>
        <v>0</v>
      </c>
    </row>
    <row r="16" spans="1:9" ht="24">
      <c r="A16" s="3342" t="s">
        <v>1070</v>
      </c>
      <c r="B16" s="3343" t="s">
        <v>1071</v>
      </c>
      <c r="C16" s="3343"/>
      <c r="D16" s="1212" t="s">
        <v>1047</v>
      </c>
      <c r="E16" s="1223" t="s">
        <v>1072</v>
      </c>
      <c r="F16" s="1213" t="s">
        <v>1073</v>
      </c>
      <c r="G16" s="1214" t="s">
        <v>1051</v>
      </c>
      <c r="H16" s="1220" t="s">
        <v>1066</v>
      </c>
      <c r="I16" s="1211" t="s">
        <v>1052</v>
      </c>
    </row>
    <row r="17" spans="1:9" ht="14.25">
      <c r="A17" s="3342"/>
      <c r="B17" s="3343" t="s">
        <v>1074</v>
      </c>
      <c r="C17" s="3343"/>
      <c r="D17" s="1212"/>
      <c r="E17" s="1212"/>
      <c r="F17" s="1213"/>
      <c r="G17" s="1214"/>
      <c r="H17" s="1224"/>
      <c r="I17" s="1225">
        <f>ROUND(D17*E17*F17*G17/10000,0)</f>
        <v>0</v>
      </c>
    </row>
    <row r="18" spans="1:9" ht="14.25">
      <c r="A18" s="3342"/>
      <c r="B18" s="3343" t="s">
        <v>1075</v>
      </c>
      <c r="C18" s="3343"/>
      <c r="D18" s="1212"/>
      <c r="E18" s="1212"/>
      <c r="F18" s="1213"/>
      <c r="G18" s="1214"/>
      <c r="H18" s="1224"/>
      <c r="I18" s="1225">
        <f>ROUND(D18*E18*F18*G18/10000,0)</f>
        <v>0</v>
      </c>
    </row>
    <row r="19" spans="1:9" ht="14.25">
      <c r="A19" s="3342"/>
      <c r="B19" s="3343" t="s">
        <v>1076</v>
      </c>
      <c r="C19" s="3343"/>
      <c r="D19" s="1212"/>
      <c r="E19" s="1212"/>
      <c r="F19" s="1213"/>
      <c r="G19" s="1214"/>
      <c r="H19" s="1224"/>
      <c r="I19" s="1225">
        <f>ROUND(D19*E19*F19*G19/10000,0)</f>
        <v>0</v>
      </c>
    </row>
    <row r="20" spans="1:9">
      <c r="A20" s="3342"/>
      <c r="B20" s="3344" t="s">
        <v>1060</v>
      </c>
      <c r="C20" s="3344"/>
      <c r="D20" s="1216">
        <f>SUM(D17:D19)</f>
        <v>0</v>
      </c>
      <c r="E20" s="1216"/>
      <c r="F20" s="1217"/>
      <c r="G20" s="1214"/>
      <c r="H20" s="1221"/>
      <c r="I20" s="1222">
        <f>SUM(I17:I19)</f>
        <v>0</v>
      </c>
    </row>
    <row r="21" spans="1:9">
      <c r="A21" s="3342" t="s">
        <v>1077</v>
      </c>
      <c r="B21" s="3346"/>
      <c r="C21" s="3346"/>
      <c r="D21" s="3346"/>
      <c r="E21" s="3346"/>
      <c r="F21" s="3346"/>
      <c r="G21" s="3346"/>
      <c r="H21" s="1503">
        <v>0.1</v>
      </c>
      <c r="I21" s="1219">
        <f>ROUND(I10*H21,0)</f>
        <v>0</v>
      </c>
    </row>
    <row r="22" spans="1:9" ht="14.25">
      <c r="A22" s="3347" t="s">
        <v>1078</v>
      </c>
      <c r="B22" s="3348"/>
      <c r="C22" s="3349"/>
      <c r="D22" s="1226" t="s">
        <v>1079</v>
      </c>
      <c r="E22" s="1226" t="s">
        <v>1080</v>
      </c>
      <c r="F22" s="1227" t="s">
        <v>1081</v>
      </c>
      <c r="G22" s="1227" t="s">
        <v>1082</v>
      </c>
      <c r="H22" s="1220" t="s">
        <v>1083</v>
      </c>
      <c r="I22" s="1211" t="s">
        <v>1084</v>
      </c>
    </row>
    <row r="23" spans="1:9" ht="14.25" thickBot="1">
      <c r="A23" s="3350"/>
      <c r="B23" s="3351"/>
      <c r="C23" s="3352"/>
      <c r="D23" s="1228"/>
      <c r="E23" s="1228"/>
      <c r="F23" s="1228"/>
      <c r="G23" s="1229"/>
      <c r="H23" s="1230"/>
      <c r="I23" s="1231">
        <f>ROUND(E23*D23*F23*(1-G23)/10000,0)</f>
        <v>0</v>
      </c>
    </row>
    <row r="26" spans="1:9">
      <c r="A26" s="1232" t="s">
        <v>1085</v>
      </c>
      <c r="B26" s="1232"/>
      <c r="C26" s="1232"/>
      <c r="D26" s="1232"/>
      <c r="E26" s="3353">
        <f>C27-C30-C31-C32</f>
        <v>0</v>
      </c>
      <c r="F26" s="3353"/>
      <c r="G26" s="3353"/>
      <c r="H26" s="1500" t="s">
        <v>1306</v>
      </c>
    </row>
    <row r="27" spans="1:9">
      <c r="A27" s="1233">
        <v>1</v>
      </c>
      <c r="B27" s="1234" t="s">
        <v>1086</v>
      </c>
      <c r="C27" s="1234">
        <f>C28+C29</f>
        <v>0</v>
      </c>
      <c r="D27" s="1234"/>
      <c r="E27" s="3354"/>
      <c r="F27" s="3354"/>
      <c r="G27" s="3354"/>
    </row>
    <row r="28" spans="1:9">
      <c r="A28" s="1235" t="s">
        <v>1087</v>
      </c>
      <c r="B28" s="1234" t="s">
        <v>1088</v>
      </c>
      <c r="C28" s="1234"/>
      <c r="D28" s="1234"/>
      <c r="E28" s="3354"/>
      <c r="F28" s="3354"/>
      <c r="G28" s="335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45"/>
      <c r="F32" s="3345"/>
      <c r="G32" s="3345"/>
    </row>
    <row r="33" spans="1:7" hidden="1">
      <c r="A33" s="3355" t="s">
        <v>1097</v>
      </c>
      <c r="B33" s="3356"/>
      <c r="C33" s="3356"/>
      <c r="D33" s="3357"/>
      <c r="E33" s="3353"/>
      <c r="F33" s="3353"/>
      <c r="G33" s="3353"/>
    </row>
    <row r="34" spans="1:7" hidden="1">
      <c r="A34" s="1237">
        <v>1</v>
      </c>
      <c r="B34" s="1234" t="s">
        <v>1098</v>
      </c>
      <c r="C34" s="1234"/>
      <c r="D34" s="1234"/>
      <c r="E34" s="3354"/>
      <c r="F34" s="3354"/>
      <c r="G34" s="3354"/>
    </row>
    <row r="35" spans="1:7" hidden="1">
      <c r="A35" s="1237">
        <v>2</v>
      </c>
      <c r="B35" s="1234" t="s">
        <v>1099</v>
      </c>
      <c r="C35" s="1234"/>
      <c r="D35" s="1234"/>
      <c r="E35" s="3354"/>
      <c r="F35" s="3354"/>
      <c r="G35" s="3354"/>
    </row>
    <row r="36" spans="1:7" hidden="1">
      <c r="A36" s="1237">
        <v>3</v>
      </c>
      <c r="B36" s="1234" t="s">
        <v>1100</v>
      </c>
      <c r="C36" s="1234"/>
      <c r="D36" s="1234"/>
      <c r="E36" s="3354"/>
      <c r="F36" s="3354"/>
      <c r="G36" s="3354"/>
    </row>
    <row r="37" spans="1:7" hidden="1">
      <c r="A37" s="1237">
        <v>4</v>
      </c>
      <c r="B37" s="1234" t="s">
        <v>1101</v>
      </c>
      <c r="C37" s="1234"/>
      <c r="D37" s="1234"/>
      <c r="E37" s="3354"/>
      <c r="F37" s="3354"/>
      <c r="G37" s="3354"/>
    </row>
    <row r="38" spans="1:7" hidden="1">
      <c r="A38" s="3355" t="s">
        <v>1102</v>
      </c>
      <c r="B38" s="3356"/>
      <c r="C38" s="3356"/>
      <c r="D38" s="3357"/>
      <c r="E38" s="3353"/>
      <c r="F38" s="3353"/>
      <c r="G38" s="33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9820.56</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1"/>
    </row>
    <row r="4" spans="1:29" ht="15">
      <c r="A4" s="361" t="s">
        <v>2357</v>
      </c>
      <c r="B4" s="362"/>
      <c r="C4" s="3297" t="s">
        <v>2358</v>
      </c>
      <c r="D4" s="3298"/>
      <c r="E4" s="3299" t="s">
        <v>2359</v>
      </c>
      <c r="F4" s="3300"/>
      <c r="G4" s="3297" t="s">
        <v>2360</v>
      </c>
      <c r="H4" s="3298"/>
      <c r="I4" s="3297" t="s">
        <v>2361</v>
      </c>
      <c r="J4" s="3298"/>
      <c r="K4" s="2076" t="s">
        <v>2362</v>
      </c>
      <c r="L4" s="2945"/>
      <c r="M4" s="2946"/>
      <c r="N4" s="2946"/>
      <c r="O4" s="2946"/>
      <c r="P4" s="3363" t="s">
        <v>2363</v>
      </c>
      <c r="Q4" s="3364"/>
      <c r="R4" s="3359" t="s">
        <v>2359</v>
      </c>
      <c r="S4" s="3360"/>
      <c r="T4" s="3359" t="s">
        <v>2360</v>
      </c>
      <c r="U4" s="3360"/>
      <c r="V4" s="3310" t="s">
        <v>2361</v>
      </c>
      <c r="W4" s="3310"/>
      <c r="X4" s="1540"/>
      <c r="Y4" s="3359" t="s">
        <v>2363</v>
      </c>
      <c r="Z4" s="3360"/>
      <c r="AA4" s="3358" t="s">
        <v>2359</v>
      </c>
      <c r="AB4" s="3358" t="s">
        <v>2360</v>
      </c>
      <c r="AC4" s="3358" t="s">
        <v>2361</v>
      </c>
    </row>
    <row r="5" spans="1:29" ht="15">
      <c r="A5" s="364"/>
      <c r="B5" s="365"/>
      <c r="C5" s="3286" t="s">
        <v>2364</v>
      </c>
      <c r="D5" s="3287"/>
      <c r="E5" s="3361" t="s">
        <v>2365</v>
      </c>
      <c r="F5" s="3362"/>
      <c r="G5" s="3286" t="s">
        <v>2366</v>
      </c>
      <c r="H5" s="3287"/>
      <c r="I5" s="3286" t="s">
        <v>2367</v>
      </c>
      <c r="J5" s="3287"/>
      <c r="K5" s="2077"/>
      <c r="L5" s="2945"/>
      <c r="M5" s="2946"/>
      <c r="N5" s="2946"/>
      <c r="O5" s="2946"/>
      <c r="P5" s="3365"/>
      <c r="Q5" s="3304"/>
      <c r="R5" s="3282"/>
      <c r="S5" s="3283"/>
      <c r="T5" s="3282"/>
      <c r="U5" s="3283"/>
      <c r="V5" s="3310"/>
      <c r="W5" s="3310"/>
      <c r="X5" s="1540"/>
      <c r="Y5" s="3282"/>
      <c r="Z5" s="3283"/>
      <c r="AA5" s="3276"/>
      <c r="AB5" s="3276"/>
      <c r="AC5" s="3276"/>
    </row>
    <row r="6" spans="1:29" ht="15.75" thickBot="1">
      <c r="A6" s="366"/>
      <c r="B6" s="367"/>
      <c r="C6" s="3288" t="s">
        <v>2368</v>
      </c>
      <c r="D6" s="3289"/>
      <c r="E6" s="3291" t="s">
        <v>2368</v>
      </c>
      <c r="F6" s="3292"/>
      <c r="G6" s="3288" t="s">
        <v>2368</v>
      </c>
      <c r="H6" s="3289"/>
      <c r="I6" s="3288" t="s">
        <v>2368</v>
      </c>
      <c r="J6" s="3289"/>
      <c r="K6" s="2077" t="s">
        <v>2369</v>
      </c>
      <c r="L6" s="2945"/>
      <c r="M6" s="2946"/>
      <c r="N6" s="2946"/>
      <c r="O6" s="2946"/>
      <c r="P6" s="3366"/>
      <c r="Q6" s="3306"/>
      <c r="R6" s="3282"/>
      <c r="S6" s="3283"/>
      <c r="T6" s="3307"/>
      <c r="U6" s="3308"/>
      <c r="V6" s="3310"/>
      <c r="W6" s="3310"/>
      <c r="X6" s="1540"/>
      <c r="Y6" s="3307"/>
      <c r="Z6" s="3308"/>
      <c r="AA6" s="3277"/>
      <c r="AB6" s="3277"/>
      <c r="AC6" s="3277"/>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78" t="s">
        <v>2371</v>
      </c>
      <c r="Q7" s="3312"/>
      <c r="R7" s="710" t="s">
        <v>23</v>
      </c>
      <c r="S7" s="711">
        <f t="shared" ref="S7:S15" si="0">F7</f>
        <v>0</v>
      </c>
      <c r="T7" s="710" t="s">
        <v>23</v>
      </c>
      <c r="U7" s="711">
        <f t="shared" ref="U7:U15" si="1">H7</f>
        <v>0</v>
      </c>
      <c r="V7" s="710" t="s">
        <v>23</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78" t="s">
        <v>2374</v>
      </c>
      <c r="Q8" s="3279"/>
      <c r="R8" s="710" t="s">
        <v>23</v>
      </c>
      <c r="S8" s="711">
        <f t="shared" si="0"/>
        <v>0</v>
      </c>
      <c r="T8" s="710" t="s">
        <v>23</v>
      </c>
      <c r="U8" s="711">
        <f t="shared" si="1"/>
        <v>0</v>
      </c>
      <c r="V8" s="710" t="s">
        <v>23</v>
      </c>
      <c r="W8" s="711">
        <f t="shared" si="2"/>
        <v>0</v>
      </c>
      <c r="X8" s="712"/>
      <c r="Y8" s="3278" t="s">
        <v>2374</v>
      </c>
      <c r="Z8" s="3279"/>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3" t="s">
        <v>2377</v>
      </c>
      <c r="Q9" s="1528" t="str">
        <f t="shared" ref="Q9:Q15" si="6">B9</f>
        <v>用途</v>
      </c>
      <c r="R9" s="710" t="s">
        <v>17</v>
      </c>
      <c r="S9" s="711">
        <f t="shared" si="0"/>
        <v>100</v>
      </c>
      <c r="T9" s="710" t="s">
        <v>17</v>
      </c>
      <c r="U9" s="711">
        <f t="shared" si="1"/>
        <v>100</v>
      </c>
      <c r="V9" s="710" t="s">
        <v>17</v>
      </c>
      <c r="W9" s="711">
        <f t="shared" si="2"/>
        <v>100</v>
      </c>
      <c r="X9" s="712"/>
      <c r="Y9" s="325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3"/>
      <c r="Q10" s="1528"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3"/>
      <c r="Q11" s="1528" t="str">
        <f t="shared" si="6"/>
        <v>容积率</v>
      </c>
      <c r="R11" s="710" t="s">
        <v>21</v>
      </c>
      <c r="S11" s="711" t="e">
        <f t="shared" si="0"/>
        <v>#N/A</v>
      </c>
      <c r="T11" s="710" t="s">
        <v>21</v>
      </c>
      <c r="U11" s="711" t="e">
        <f t="shared" si="1"/>
        <v>#N/A</v>
      </c>
      <c r="V11" s="710" t="s">
        <v>21</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3"/>
      <c r="Q12" s="1528">
        <f t="shared" si="6"/>
        <v>111</v>
      </c>
      <c r="R12" s="710" t="s">
        <v>21</v>
      </c>
      <c r="S12" s="711">
        <f t="shared" si="0"/>
        <v>100</v>
      </c>
      <c r="T12" s="710" t="s">
        <v>21</v>
      </c>
      <c r="U12" s="711">
        <f t="shared" si="1"/>
        <v>100</v>
      </c>
      <c r="V12" s="710" t="s">
        <v>21</v>
      </c>
      <c r="W12" s="711">
        <f t="shared" si="2"/>
        <v>100</v>
      </c>
      <c r="X12" s="712"/>
      <c r="Y12" s="3251"/>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3"/>
      <c r="Q13" s="1528">
        <f t="shared" si="6"/>
        <v>111</v>
      </c>
      <c r="R13" s="710" t="s">
        <v>21</v>
      </c>
      <c r="S13" s="711">
        <f t="shared" si="0"/>
        <v>100</v>
      </c>
      <c r="T13" s="710" t="s">
        <v>21</v>
      </c>
      <c r="U13" s="711">
        <f t="shared" si="1"/>
        <v>100</v>
      </c>
      <c r="V13" s="710" t="s">
        <v>21</v>
      </c>
      <c r="W13" s="711">
        <f t="shared" si="2"/>
        <v>100</v>
      </c>
      <c r="X13" s="712"/>
      <c r="Y13" s="3251"/>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3"/>
      <c r="Q14" s="1528">
        <f t="shared" si="6"/>
        <v>111</v>
      </c>
      <c r="R14" s="710" t="s">
        <v>21</v>
      </c>
      <c r="S14" s="711">
        <f t="shared" si="0"/>
        <v>100</v>
      </c>
      <c r="T14" s="710" t="s">
        <v>21</v>
      </c>
      <c r="U14" s="711">
        <f t="shared" si="1"/>
        <v>100</v>
      </c>
      <c r="V14" s="710" t="s">
        <v>21</v>
      </c>
      <c r="W14" s="711">
        <f t="shared" si="2"/>
        <v>100</v>
      </c>
      <c r="X14" s="712"/>
      <c r="Y14" s="3251"/>
      <c r="Z14" s="55">
        <f t="shared" si="7"/>
        <v>111</v>
      </c>
      <c r="AA14" s="713">
        <f t="shared" si="3"/>
        <v>1</v>
      </c>
      <c r="AB14" s="713">
        <f t="shared" si="4"/>
        <v>1</v>
      </c>
      <c r="AC14" s="713">
        <f t="shared" si="5"/>
        <v>1</v>
      </c>
    </row>
    <row r="15" spans="1:29" ht="99.75">
      <c r="A15" s="399" t="s">
        <v>2381</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13" t="s">
        <v>2382</v>
      </c>
      <c r="Q15" s="1537" t="str">
        <f t="shared" si="6"/>
        <v>居住社区成熟度</v>
      </c>
      <c r="R15" s="714" t="s">
        <v>21</v>
      </c>
      <c r="S15" s="715">
        <f t="shared" si="0"/>
        <v>100</v>
      </c>
      <c r="T15" s="714" t="s">
        <v>21</v>
      </c>
      <c r="U15" s="715">
        <f t="shared" si="1"/>
        <v>100</v>
      </c>
      <c r="V15" s="714" t="s">
        <v>21</v>
      </c>
      <c r="W15" s="715">
        <f t="shared" si="2"/>
        <v>100</v>
      </c>
      <c r="X15" s="1540"/>
      <c r="Y15" s="3315" t="s">
        <v>2382</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14"/>
      <c r="Q16" s="1537"/>
      <c r="R16" s="714"/>
      <c r="S16" s="715"/>
      <c r="T16" s="714"/>
      <c r="U16" s="715"/>
      <c r="V16" s="714"/>
      <c r="W16" s="715"/>
      <c r="X16" s="1540"/>
      <c r="Y16" s="3316"/>
      <c r="Z16" s="1541"/>
      <c r="AA16" s="1538">
        <v>1</v>
      </c>
      <c r="AB16" s="1538">
        <v>1</v>
      </c>
      <c r="AC16" s="1538">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14"/>
      <c r="Q17" s="1537" t="str">
        <f>B17</f>
        <v>交通便捷度</v>
      </c>
      <c r="R17" s="714" t="s">
        <v>21</v>
      </c>
      <c r="S17" s="715">
        <f>F17</f>
        <v>100</v>
      </c>
      <c r="T17" s="714" t="s">
        <v>21</v>
      </c>
      <c r="U17" s="715">
        <f>H17</f>
        <v>100</v>
      </c>
      <c r="V17" s="714" t="s">
        <v>21</v>
      </c>
      <c r="W17" s="715">
        <f>J17</f>
        <v>100</v>
      </c>
      <c r="X17" s="1540"/>
      <c r="Y17" s="3316"/>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14"/>
      <c r="Q18" s="1537"/>
      <c r="R18" s="714"/>
      <c r="S18" s="715"/>
      <c r="T18" s="714"/>
      <c r="U18" s="715"/>
      <c r="V18" s="714"/>
      <c r="W18" s="715"/>
      <c r="X18" s="1540"/>
      <c r="Y18" s="3316"/>
      <c r="Z18" s="1541"/>
      <c r="AA18" s="1538">
        <v>1</v>
      </c>
      <c r="AB18" s="1538">
        <v>1</v>
      </c>
      <c r="AC18" s="1538">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14"/>
      <c r="Q19" s="1537" t="str">
        <f>B19</f>
        <v>公共配套设施</v>
      </c>
      <c r="R19" s="714" t="s">
        <v>21</v>
      </c>
      <c r="S19" s="715">
        <f>F19</f>
        <v>100</v>
      </c>
      <c r="T19" s="714" t="s">
        <v>21</v>
      </c>
      <c r="U19" s="715">
        <f>H19</f>
        <v>100</v>
      </c>
      <c r="V19" s="714" t="s">
        <v>21</v>
      </c>
      <c r="W19" s="715">
        <f>J19</f>
        <v>100</v>
      </c>
      <c r="X19" s="1540"/>
      <c r="Y19" s="3316"/>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14"/>
      <c r="Q20" s="1537"/>
      <c r="R20" s="714"/>
      <c r="S20" s="715"/>
      <c r="T20" s="714"/>
      <c r="U20" s="715"/>
      <c r="V20" s="714"/>
      <c r="W20" s="715"/>
      <c r="X20" s="1540"/>
      <c r="Y20" s="3316"/>
      <c r="Z20" s="1541"/>
      <c r="AA20" s="1538">
        <v>1</v>
      </c>
      <c r="AB20" s="1538">
        <v>1</v>
      </c>
      <c r="AC20" s="1538">
        <v>1</v>
      </c>
    </row>
    <row r="21" spans="1:29" ht="28.5">
      <c r="A21" s="387"/>
      <c r="B21" s="1292"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14"/>
      <c r="Q21" s="1537" t="str">
        <f>B21</f>
        <v>基础设施水平</v>
      </c>
      <c r="R21" s="714" t="s">
        <v>17</v>
      </c>
      <c r="S21" s="715">
        <f>F21</f>
        <v>100</v>
      </c>
      <c r="T21" s="714" t="s">
        <v>17</v>
      </c>
      <c r="U21" s="715">
        <f>H21</f>
        <v>100</v>
      </c>
      <c r="V21" s="714" t="s">
        <v>17</v>
      </c>
      <c r="W21" s="715">
        <f>J21</f>
        <v>100</v>
      </c>
      <c r="X21" s="1540"/>
      <c r="Y21" s="3316"/>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52"/>
      <c r="M22" s="2946"/>
      <c r="N22" s="2946"/>
      <c r="O22" s="2946"/>
      <c r="P22" s="3314"/>
      <c r="Q22" s="1537"/>
      <c r="R22" s="714"/>
      <c r="S22" s="715"/>
      <c r="T22" s="714"/>
      <c r="U22" s="715"/>
      <c r="V22" s="714"/>
      <c r="W22" s="715"/>
      <c r="X22" s="1540"/>
      <c r="Y22" s="3316"/>
      <c r="Z22" s="1541"/>
      <c r="AA22" s="1538">
        <v>1</v>
      </c>
      <c r="AB22" s="1538">
        <v>1</v>
      </c>
      <c r="AC22" s="1538">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14"/>
      <c r="Q23" s="1537" t="str">
        <f>B23</f>
        <v>自然及人文环境</v>
      </c>
      <c r="R23" s="714" t="s">
        <v>21</v>
      </c>
      <c r="S23" s="715">
        <f>F23</f>
        <v>100</v>
      </c>
      <c r="T23" s="714" t="s">
        <v>21</v>
      </c>
      <c r="U23" s="715">
        <f>H23</f>
        <v>100</v>
      </c>
      <c r="V23" s="714" t="s">
        <v>21</v>
      </c>
      <c r="W23" s="715">
        <f>J23</f>
        <v>100</v>
      </c>
      <c r="X23" s="1540"/>
      <c r="Y23" s="3316"/>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14"/>
      <c r="Q24" s="1537"/>
      <c r="R24" s="714"/>
      <c r="S24" s="715"/>
      <c r="T24" s="714"/>
      <c r="U24" s="715"/>
      <c r="V24" s="714"/>
      <c r="W24" s="715"/>
      <c r="X24" s="1540"/>
      <c r="Y24" s="3316"/>
      <c r="Z24" s="1541"/>
      <c r="AA24" s="1538">
        <v>1</v>
      </c>
      <c r="AB24" s="1538">
        <v>1</v>
      </c>
      <c r="AC24" s="1538">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14"/>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6"/>
      <c r="Z25" s="1541" t="str">
        <f>Q25</f>
        <v>楼层-1</v>
      </c>
      <c r="AA25" s="1538">
        <f t="shared" ref="AA25:AA46" si="15">D25/F25</f>
        <v>1</v>
      </c>
      <c r="AB25" s="1538">
        <f t="shared" ref="AB25:AB46" si="16">D25/H25</f>
        <v>1</v>
      </c>
      <c r="AC25" s="1538">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14"/>
      <c r="Q26" s="1537" t="str">
        <f t="shared" si="11"/>
        <v>朝向</v>
      </c>
      <c r="R26" s="714" t="s">
        <v>21</v>
      </c>
      <c r="S26" s="715">
        <f t="shared" si="12"/>
        <v>100</v>
      </c>
      <c r="T26" s="714" t="s">
        <v>21</v>
      </c>
      <c r="U26" s="715">
        <f t="shared" si="13"/>
        <v>100</v>
      </c>
      <c r="V26" s="714" t="s">
        <v>21</v>
      </c>
      <c r="W26" s="715">
        <f t="shared" si="14"/>
        <v>100</v>
      </c>
      <c r="X26" s="1540"/>
      <c r="Y26" s="3316"/>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14"/>
      <c r="Q27" s="1528">
        <f t="shared" si="11"/>
        <v>111</v>
      </c>
      <c r="R27" s="710" t="s">
        <v>21</v>
      </c>
      <c r="S27" s="711">
        <f t="shared" si="12"/>
        <v>100</v>
      </c>
      <c r="T27" s="710" t="s">
        <v>21</v>
      </c>
      <c r="U27" s="711">
        <f t="shared" si="13"/>
        <v>100</v>
      </c>
      <c r="V27" s="710" t="s">
        <v>21</v>
      </c>
      <c r="W27" s="711">
        <f t="shared" si="14"/>
        <v>100</v>
      </c>
      <c r="X27" s="712"/>
      <c r="Y27" s="3316"/>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14"/>
      <c r="Q28" s="1537">
        <f t="shared" si="11"/>
        <v>111</v>
      </c>
      <c r="R28" s="714" t="s">
        <v>21</v>
      </c>
      <c r="S28" s="715">
        <f t="shared" si="12"/>
        <v>100</v>
      </c>
      <c r="T28" s="714" t="s">
        <v>21</v>
      </c>
      <c r="U28" s="715">
        <f t="shared" si="13"/>
        <v>100</v>
      </c>
      <c r="V28" s="714" t="s">
        <v>21</v>
      </c>
      <c r="W28" s="715">
        <f t="shared" si="14"/>
        <v>100</v>
      </c>
      <c r="X28" s="1540"/>
      <c r="Y28" s="3316"/>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14"/>
      <c r="Q29" s="1537">
        <f t="shared" si="11"/>
        <v>111</v>
      </c>
      <c r="R29" s="714" t="s">
        <v>21</v>
      </c>
      <c r="S29" s="715">
        <f t="shared" si="12"/>
        <v>100</v>
      </c>
      <c r="T29" s="714" t="s">
        <v>21</v>
      </c>
      <c r="U29" s="715">
        <f t="shared" si="13"/>
        <v>100</v>
      </c>
      <c r="V29" s="714" t="s">
        <v>21</v>
      </c>
      <c r="W29" s="715">
        <f t="shared" si="14"/>
        <v>100</v>
      </c>
      <c r="X29" s="1540"/>
      <c r="Y29" s="3316"/>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14"/>
      <c r="Q30" s="1537">
        <f t="shared" si="11"/>
        <v>111</v>
      </c>
      <c r="R30" s="714" t="s">
        <v>21</v>
      </c>
      <c r="S30" s="715">
        <f t="shared" si="12"/>
        <v>100</v>
      </c>
      <c r="T30" s="714" t="s">
        <v>21</v>
      </c>
      <c r="U30" s="715">
        <f t="shared" si="13"/>
        <v>100</v>
      </c>
      <c r="V30" s="714" t="s">
        <v>21</v>
      </c>
      <c r="W30" s="715">
        <f t="shared" si="14"/>
        <v>100</v>
      </c>
      <c r="X30" s="1540"/>
      <c r="Y30" s="3316"/>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14"/>
      <c r="Q31" s="1537">
        <f t="shared" si="11"/>
        <v>111</v>
      </c>
      <c r="R31" s="714" t="s">
        <v>21</v>
      </c>
      <c r="S31" s="715">
        <f t="shared" si="12"/>
        <v>100</v>
      </c>
      <c r="T31" s="714" t="s">
        <v>21</v>
      </c>
      <c r="U31" s="715">
        <f t="shared" si="13"/>
        <v>100</v>
      </c>
      <c r="V31" s="714" t="s">
        <v>21</v>
      </c>
      <c r="W31" s="715">
        <f t="shared" si="14"/>
        <v>100</v>
      </c>
      <c r="X31" s="1540"/>
      <c r="Y31" s="3316"/>
      <c r="Z31" s="1541">
        <f t="shared" si="18"/>
        <v>111</v>
      </c>
      <c r="AA31" s="1538">
        <f t="shared" si="15"/>
        <v>1</v>
      </c>
      <c r="AB31" s="1538">
        <f t="shared" si="16"/>
        <v>1</v>
      </c>
      <c r="AC31" s="1538">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7" t="s">
        <v>2387</v>
      </c>
      <c r="Q32" s="1537" t="str">
        <f t="shared" si="11"/>
        <v>建筑类型</v>
      </c>
      <c r="R32" s="714" t="s">
        <v>21</v>
      </c>
      <c r="S32" s="715">
        <f t="shared" si="12"/>
        <v>100</v>
      </c>
      <c r="T32" s="714" t="s">
        <v>21</v>
      </c>
      <c r="U32" s="715">
        <f t="shared" si="13"/>
        <v>100</v>
      </c>
      <c r="V32" s="714" t="s">
        <v>21</v>
      </c>
      <c r="W32" s="715">
        <f t="shared" si="14"/>
        <v>100</v>
      </c>
      <c r="X32" s="1540"/>
      <c r="Y32" s="3320" t="s">
        <v>2387</v>
      </c>
      <c r="Z32" s="1541" t="str">
        <f t="shared" si="18"/>
        <v>建筑类型</v>
      </c>
      <c r="AA32" s="1538">
        <f t="shared" si="15"/>
        <v>1</v>
      </c>
      <c r="AB32" s="1538">
        <f t="shared" si="16"/>
        <v>1</v>
      </c>
      <c r="AC32" s="1538">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18"/>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8" t="e">
        <f t="shared" si="15"/>
        <v>#N/A</v>
      </c>
      <c r="AB33" s="1538" t="e">
        <f t="shared" si="16"/>
        <v>#N/A</v>
      </c>
      <c r="AC33" s="1538"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18"/>
      <c r="Q34" s="1537" t="str">
        <f t="shared" si="11"/>
        <v>建筑结构</v>
      </c>
      <c r="R34" s="714" t="s">
        <v>21</v>
      </c>
      <c r="S34" s="715">
        <f t="shared" si="12"/>
        <v>100</v>
      </c>
      <c r="T34" s="714" t="s">
        <v>21</v>
      </c>
      <c r="U34" s="715">
        <f t="shared" si="13"/>
        <v>100</v>
      </c>
      <c r="V34" s="714" t="s">
        <v>21</v>
      </c>
      <c r="W34" s="715">
        <f t="shared" si="14"/>
        <v>100</v>
      </c>
      <c r="X34" s="1540"/>
      <c r="Y34" s="3320"/>
      <c r="Z34" s="1541" t="str">
        <f t="shared" si="18"/>
        <v>建筑结构</v>
      </c>
      <c r="AA34" s="1538">
        <f t="shared" si="15"/>
        <v>1</v>
      </c>
      <c r="AB34" s="1538">
        <f t="shared" si="16"/>
        <v>1</v>
      </c>
      <c r="AC34" s="1538">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18"/>
      <c r="Q35" s="1537" t="str">
        <f t="shared" si="11"/>
        <v>建筑品质</v>
      </c>
      <c r="R35" s="714" t="s">
        <v>21</v>
      </c>
      <c r="S35" s="715">
        <f t="shared" si="12"/>
        <v>100</v>
      </c>
      <c r="T35" s="714" t="s">
        <v>21</v>
      </c>
      <c r="U35" s="715">
        <f t="shared" si="13"/>
        <v>100</v>
      </c>
      <c r="V35" s="714" t="s">
        <v>21</v>
      </c>
      <c r="W35" s="715">
        <f t="shared" si="14"/>
        <v>100</v>
      </c>
      <c r="X35" s="1540"/>
      <c r="Y35" s="3320"/>
      <c r="Z35" s="1541" t="str">
        <f t="shared" si="18"/>
        <v>建筑品质</v>
      </c>
      <c r="AA35" s="1538">
        <f t="shared" si="15"/>
        <v>1</v>
      </c>
      <c r="AB35" s="1538">
        <f t="shared" si="16"/>
        <v>1</v>
      </c>
      <c r="AC35" s="1538">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18"/>
      <c r="Q36" s="1537" t="str">
        <f t="shared" si="11"/>
        <v>公共部分装修</v>
      </c>
      <c r="R36" s="714" t="s">
        <v>21</v>
      </c>
      <c r="S36" s="715">
        <f t="shared" si="12"/>
        <v>100</v>
      </c>
      <c r="T36" s="714" t="s">
        <v>21</v>
      </c>
      <c r="U36" s="715">
        <f t="shared" si="13"/>
        <v>100</v>
      </c>
      <c r="V36" s="714" t="s">
        <v>21</v>
      </c>
      <c r="W36" s="715">
        <f t="shared" si="14"/>
        <v>100</v>
      </c>
      <c r="X36" s="1540"/>
      <c r="Y36" s="3320"/>
      <c r="Z36" s="1541" t="str">
        <f t="shared" si="18"/>
        <v>公共部分装修</v>
      </c>
      <c r="AA36" s="1538">
        <f t="shared" si="15"/>
        <v>1</v>
      </c>
      <c r="AB36" s="1538">
        <f t="shared" si="16"/>
        <v>1</v>
      </c>
      <c r="AC36" s="1538">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18"/>
      <c r="Q37" s="1528"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18" t="s">
        <v>2387</v>
      </c>
      <c r="Q38" s="1537" t="str">
        <f t="shared" si="11"/>
        <v>物业管理</v>
      </c>
      <c r="R38" s="714" t="s">
        <v>21</v>
      </c>
      <c r="S38" s="715">
        <f t="shared" si="12"/>
        <v>100</v>
      </c>
      <c r="T38" s="714" t="s">
        <v>21</v>
      </c>
      <c r="U38" s="715">
        <f t="shared" si="13"/>
        <v>100</v>
      </c>
      <c r="V38" s="714" t="s">
        <v>21</v>
      </c>
      <c r="W38" s="715">
        <f t="shared" si="14"/>
        <v>100</v>
      </c>
      <c r="X38" s="1540"/>
      <c r="Y38" s="3320" t="s">
        <v>2387</v>
      </c>
      <c r="Z38" s="1541" t="str">
        <f t="shared" si="18"/>
        <v>物业管理</v>
      </c>
      <c r="AA38" s="1538">
        <f t="shared" si="15"/>
        <v>1</v>
      </c>
      <c r="AB38" s="1538">
        <f t="shared" si="16"/>
        <v>1</v>
      </c>
      <c r="AC38" s="1538">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18"/>
      <c r="Q39" s="1537" t="str">
        <f t="shared" si="11"/>
        <v>市政基础设施</v>
      </c>
      <c r="R39" s="714" t="s">
        <v>21</v>
      </c>
      <c r="S39" s="715">
        <f t="shared" si="12"/>
        <v>100</v>
      </c>
      <c r="T39" s="714" t="s">
        <v>21</v>
      </c>
      <c r="U39" s="715">
        <f t="shared" si="13"/>
        <v>100</v>
      </c>
      <c r="V39" s="714" t="s">
        <v>21</v>
      </c>
      <c r="W39" s="715">
        <f t="shared" si="14"/>
        <v>100</v>
      </c>
      <c r="X39" s="1540"/>
      <c r="Y39" s="3320"/>
      <c r="Z39" s="1541" t="str">
        <f t="shared" si="18"/>
        <v>市政基础设施</v>
      </c>
      <c r="AA39" s="1538">
        <f t="shared" si="15"/>
        <v>1</v>
      </c>
      <c r="AB39" s="1538">
        <f t="shared" si="16"/>
        <v>1</v>
      </c>
      <c r="AC39" s="1538">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18"/>
      <c r="Q40" s="1537" t="str">
        <f t="shared" si="11"/>
        <v>房型</v>
      </c>
      <c r="R40" s="714" t="s">
        <v>21</v>
      </c>
      <c r="S40" s="715">
        <f t="shared" si="12"/>
        <v>100</v>
      </c>
      <c r="T40" s="714" t="s">
        <v>21</v>
      </c>
      <c r="U40" s="715">
        <f t="shared" si="13"/>
        <v>100</v>
      </c>
      <c r="V40" s="714" t="s">
        <v>21</v>
      </c>
      <c r="W40" s="715">
        <f t="shared" si="14"/>
        <v>100</v>
      </c>
      <c r="X40" s="1540"/>
      <c r="Y40" s="3320"/>
      <c r="Z40" s="1541" t="str">
        <f t="shared" si="18"/>
        <v>房型</v>
      </c>
      <c r="AA40" s="1538">
        <f t="shared" si="15"/>
        <v>1</v>
      </c>
      <c r="AB40" s="1538">
        <f t="shared" si="16"/>
        <v>1</v>
      </c>
      <c r="AC40" s="1538">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18"/>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8">
        <f t="shared" si="15"/>
        <v>1</v>
      </c>
      <c r="AB41" s="1538">
        <f t="shared" si="16"/>
        <v>1</v>
      </c>
      <c r="AC41" s="1538">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18"/>
      <c r="Q42" s="1537" t="str">
        <f t="shared" si="11"/>
        <v>内部装修</v>
      </c>
      <c r="R42" s="714" t="s">
        <v>21</v>
      </c>
      <c r="S42" s="715">
        <f t="shared" si="12"/>
        <v>100</v>
      </c>
      <c r="T42" s="714" t="s">
        <v>21</v>
      </c>
      <c r="U42" s="715">
        <f t="shared" si="13"/>
        <v>100</v>
      </c>
      <c r="V42" s="714" t="s">
        <v>21</v>
      </c>
      <c r="W42" s="715">
        <f t="shared" si="14"/>
        <v>100</v>
      </c>
      <c r="X42" s="1540"/>
      <c r="Y42" s="3320"/>
      <c r="Z42" s="1541" t="str">
        <f t="shared" si="18"/>
        <v>内部装修</v>
      </c>
      <c r="AA42" s="1538">
        <f t="shared" si="15"/>
        <v>1</v>
      </c>
      <c r="AB42" s="1538">
        <f t="shared" si="16"/>
        <v>1</v>
      </c>
      <c r="AC42" s="1538">
        <f t="shared" si="17"/>
        <v>1</v>
      </c>
    </row>
    <row r="43" spans="1:29" ht="15">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18"/>
      <c r="Q43" s="1537" t="str">
        <f t="shared" si="11"/>
        <v>内部装修维护情况</v>
      </c>
      <c r="R43" s="714" t="s">
        <v>21</v>
      </c>
      <c r="S43" s="715">
        <f t="shared" si="12"/>
        <v>100</v>
      </c>
      <c r="T43" s="714" t="s">
        <v>21</v>
      </c>
      <c r="U43" s="715">
        <f t="shared" si="13"/>
        <v>100</v>
      </c>
      <c r="V43" s="714" t="s">
        <v>21</v>
      </c>
      <c r="W43" s="715">
        <f t="shared" si="14"/>
        <v>100</v>
      </c>
      <c r="X43" s="1540"/>
      <c r="Y43" s="3320"/>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18"/>
      <c r="Q44" s="1528">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18"/>
      <c r="Q45" s="1537">
        <f t="shared" si="11"/>
        <v>111</v>
      </c>
      <c r="R45" s="714" t="s">
        <v>21</v>
      </c>
      <c r="S45" s="715">
        <f t="shared" si="12"/>
        <v>100</v>
      </c>
      <c r="T45" s="714" t="s">
        <v>21</v>
      </c>
      <c r="U45" s="715">
        <f t="shared" si="13"/>
        <v>100</v>
      </c>
      <c r="V45" s="714" t="s">
        <v>21</v>
      </c>
      <c r="W45" s="715">
        <f t="shared" si="14"/>
        <v>100</v>
      </c>
      <c r="X45" s="1540"/>
      <c r="Y45" s="3320"/>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19"/>
      <c r="Q46" s="1537">
        <f t="shared" si="11"/>
        <v>111</v>
      </c>
      <c r="R46" s="714" t="s">
        <v>20</v>
      </c>
      <c r="S46" s="715">
        <f t="shared" si="12"/>
        <v>100</v>
      </c>
      <c r="T46" s="714" t="s">
        <v>20</v>
      </c>
      <c r="U46" s="715">
        <f t="shared" si="13"/>
        <v>100</v>
      </c>
      <c r="V46" s="714" t="s">
        <v>20</v>
      </c>
      <c r="W46" s="715">
        <f t="shared" si="14"/>
        <v>100</v>
      </c>
      <c r="X46" s="1540"/>
      <c r="Y46" s="3321"/>
      <c r="Z46" s="1541">
        <f t="shared" si="18"/>
        <v>111</v>
      </c>
      <c r="AA46" s="1538">
        <f t="shared" si="15"/>
        <v>1</v>
      </c>
      <c r="AB46" s="1538">
        <f t="shared" si="16"/>
        <v>1</v>
      </c>
      <c r="AC46" s="1538">
        <f t="shared" si="17"/>
        <v>1</v>
      </c>
    </row>
    <row r="47" spans="1:29" ht="15">
      <c r="A47" s="438" t="s">
        <v>2399</v>
      </c>
      <c r="B47" s="439"/>
      <c r="C47" s="1315" t="s">
        <v>19</v>
      </c>
      <c r="D47" s="1316"/>
      <c r="E47" s="1317"/>
      <c r="F47" s="1318"/>
      <c r="G47" s="1319"/>
      <c r="H47" s="1320"/>
      <c r="I47" s="1317"/>
      <c r="J47" s="1320"/>
      <c r="K47" s="2101"/>
      <c r="L47" s="2954"/>
      <c r="M47" s="2955"/>
      <c r="N47" s="2946"/>
      <c r="O47" s="2955"/>
      <c r="P47" s="3322" t="str">
        <f>A47</f>
        <v>成交单价（元/平方米）</v>
      </c>
      <c r="Q47" s="3322"/>
      <c r="R47" s="3323">
        <f>E47</f>
        <v>0</v>
      </c>
      <c r="S47" s="3323"/>
      <c r="T47" s="3323">
        <f>G47</f>
        <v>0</v>
      </c>
      <c r="U47" s="3323"/>
      <c r="V47" s="3323">
        <f>I47</f>
        <v>0</v>
      </c>
      <c r="W47" s="3323"/>
      <c r="X47" s="699"/>
      <c r="Y47" s="721"/>
      <c r="Z47" s="699"/>
      <c r="AA47" s="699"/>
      <c r="AB47" s="699"/>
      <c r="AC47" s="699"/>
    </row>
    <row r="48" spans="1:29" ht="15.75" thickBot="1">
      <c r="A48" s="445" t="s">
        <v>2400</v>
      </c>
      <c r="B48" s="446"/>
      <c r="C48" s="1321" t="e">
        <f>R49</f>
        <v>#DIV/0!</v>
      </c>
      <c r="D48" s="2539" t="s">
        <v>2878</v>
      </c>
      <c r="E48" s="1322" t="e">
        <f>R48</f>
        <v>#DIV/0!</v>
      </c>
      <c r="F48" s="2540"/>
      <c r="G48" s="1321" t="e">
        <f>T48</f>
        <v>#DIV/0!</v>
      </c>
      <c r="H48" s="2540"/>
      <c r="I48" s="1322" t="e">
        <f>V48</f>
        <v>#DIV/0!</v>
      </c>
      <c r="J48" s="2540"/>
      <c r="K48" s="2541">
        <f>F48+H48+J48</f>
        <v>0</v>
      </c>
      <c r="L48" s="2954"/>
      <c r="M48" s="2955"/>
      <c r="N48" s="2955"/>
      <c r="O48" s="2955"/>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699"/>
      <c r="Y48" s="699"/>
      <c r="Z48" s="699"/>
      <c r="AA48" s="699"/>
      <c r="AB48" s="699"/>
      <c r="AC48" s="699"/>
    </row>
    <row r="49" spans="1:29" ht="15.75" thickBot="1">
      <c r="A49" s="449" t="s">
        <v>2401</v>
      </c>
      <c r="B49" s="450"/>
      <c r="C49" s="1323" t="e">
        <f>R49</f>
        <v>#DIV/0!</v>
      </c>
      <c r="D49" s="1324"/>
      <c r="E49" s="1324"/>
      <c r="F49" s="1324"/>
      <c r="G49" s="1324"/>
      <c r="H49" s="1324"/>
      <c r="I49" s="1324"/>
      <c r="J49" s="1324"/>
      <c r="K49" s="2102"/>
      <c r="L49" s="2954"/>
      <c r="M49" s="2955"/>
      <c r="N49" s="2955"/>
      <c r="O49" s="2955"/>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2405</v>
      </c>
      <c r="B57" s="699"/>
      <c r="C57" s="704"/>
      <c r="D57" s="704"/>
      <c r="E57" s="704"/>
      <c r="F57" s="705"/>
      <c r="G57" s="705"/>
      <c r="H57" s="704"/>
      <c r="I57" s="704"/>
      <c r="J57" s="704"/>
      <c r="K57" s="1072"/>
      <c r="L57" s="1073"/>
      <c r="M57" s="1071"/>
      <c r="N57" s="1071"/>
      <c r="O57" s="1071"/>
      <c r="P57" s="2105"/>
      <c r="Q57" s="461"/>
    </row>
    <row r="58" spans="1:29" s="465" customFormat="1" ht="15">
      <c r="A58" s="462" t="s">
        <v>2406</v>
      </c>
      <c r="B58" s="463"/>
      <c r="C58" s="1347" t="str">
        <f>YEAR(C7)&amp;"-"&amp;MONTH(C7)</f>
        <v>2020-12</v>
      </c>
      <c r="D58" s="1346">
        <f>EDATE(C58,-1)</f>
        <v>44136</v>
      </c>
      <c r="E58" s="1346">
        <f>EDATE(D58,-1)</f>
        <v>44105</v>
      </c>
      <c r="F58" s="1346">
        <f t="shared" ref="F58:O58" si="19">EDATE(E58,-1)</f>
        <v>44075</v>
      </c>
      <c r="G58" s="1346">
        <f t="shared" si="19"/>
        <v>44044</v>
      </c>
      <c r="H58" s="1346">
        <f t="shared" si="19"/>
        <v>44013</v>
      </c>
      <c r="I58" s="1346">
        <f t="shared" si="19"/>
        <v>43983</v>
      </c>
      <c r="J58" s="1346">
        <f t="shared" si="19"/>
        <v>43952</v>
      </c>
      <c r="K58" s="1346">
        <f t="shared" si="19"/>
        <v>43922</v>
      </c>
      <c r="L58" s="1346">
        <f t="shared" si="19"/>
        <v>43891</v>
      </c>
      <c r="M58" s="1346">
        <f t="shared" si="19"/>
        <v>43862</v>
      </c>
      <c r="N58" s="1346">
        <f t="shared" si="19"/>
        <v>43831</v>
      </c>
      <c r="O58" s="1346">
        <f t="shared" si="19"/>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2407</v>
      </c>
      <c r="B60" s="473"/>
      <c r="C60" s="474"/>
      <c r="D60" s="475"/>
      <c r="E60" s="475"/>
      <c r="F60" s="475"/>
      <c r="G60" s="475"/>
      <c r="H60" s="475"/>
      <c r="I60" s="475"/>
      <c r="J60" s="475"/>
      <c r="K60" s="475"/>
      <c r="L60" s="475"/>
      <c r="M60" s="476"/>
      <c r="N60" s="475"/>
      <c r="O60" s="476"/>
      <c r="P60" s="2107"/>
      <c r="Q60" s="461"/>
    </row>
    <row r="61" spans="1:29" s="113" customFormat="1" ht="15">
      <c r="A61" s="478" t="s">
        <v>2408</v>
      </c>
      <c r="B61" s="467"/>
      <c r="C61" s="479" t="s">
        <v>2409</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2410</v>
      </c>
      <c r="B63" s="485" t="s">
        <v>2376</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2426</v>
      </c>
      <c r="D82" s="496" t="s">
        <v>2427</v>
      </c>
      <c r="E82" s="496" t="s">
        <v>2428</v>
      </c>
      <c r="F82" s="496" t="s">
        <v>2429</v>
      </c>
      <c r="G82" s="496" t="s">
        <v>2430</v>
      </c>
      <c r="H82" s="496"/>
      <c r="I82" s="496"/>
      <c r="J82" s="496"/>
      <c r="K82" s="496"/>
      <c r="L82" s="496"/>
      <c r="M82" s="1290"/>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2432</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2433</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2385</v>
      </c>
      <c r="B100" s="485" t="s">
        <v>2434</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5.75"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c r="B147" s="2116" t="s">
        <v>2462</v>
      </c>
    </row>
    <row r="148" spans="2:11">
      <c r="B148" s="211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9820.56</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2467</v>
      </c>
      <c r="B4" s="362"/>
      <c r="C4" s="3297" t="s">
        <v>2468</v>
      </c>
      <c r="D4" s="3298"/>
      <c r="E4" s="3299" t="s">
        <v>2469</v>
      </c>
      <c r="F4" s="3300"/>
      <c r="G4" s="3297" t="s">
        <v>2470</v>
      </c>
      <c r="H4" s="3298"/>
      <c r="I4" s="3297" t="s">
        <v>2471</v>
      </c>
      <c r="J4" s="3298"/>
      <c r="K4" s="567" t="s">
        <v>2472</v>
      </c>
      <c r="L4" s="2945"/>
      <c r="M4" s="2946"/>
      <c r="N4" s="2946"/>
      <c r="O4" s="2946"/>
      <c r="P4" s="3363" t="s">
        <v>2473</v>
      </c>
      <c r="Q4" s="3364"/>
      <c r="R4" s="3359" t="s">
        <v>2469</v>
      </c>
      <c r="S4" s="3360"/>
      <c r="T4" s="3359" t="s">
        <v>2470</v>
      </c>
      <c r="U4" s="3360"/>
      <c r="V4" s="3310" t="s">
        <v>2471</v>
      </c>
      <c r="W4" s="3310"/>
      <c r="X4" s="1540"/>
      <c r="Y4" s="3359" t="s">
        <v>2473</v>
      </c>
      <c r="Z4" s="3360"/>
      <c r="AA4" s="3358" t="s">
        <v>2469</v>
      </c>
      <c r="AB4" s="3310" t="s">
        <v>2470</v>
      </c>
      <c r="AC4" s="3358" t="s">
        <v>2471</v>
      </c>
    </row>
    <row r="5" spans="1:29" ht="15">
      <c r="A5" s="364"/>
      <c r="B5" s="365"/>
      <c r="C5" s="3286" t="s">
        <v>2364</v>
      </c>
      <c r="D5" s="3287"/>
      <c r="E5" s="3361" t="s">
        <v>2365</v>
      </c>
      <c r="F5" s="3362"/>
      <c r="G5" s="3286" t="s">
        <v>2366</v>
      </c>
      <c r="H5" s="3287"/>
      <c r="I5" s="3286" t="s">
        <v>2367</v>
      </c>
      <c r="J5" s="3287"/>
      <c r="K5" s="567"/>
      <c r="L5" s="2945"/>
      <c r="M5" s="2946"/>
      <c r="N5" s="2946"/>
      <c r="O5" s="2946"/>
      <c r="P5" s="3365"/>
      <c r="Q5" s="3304"/>
      <c r="R5" s="3282"/>
      <c r="S5" s="3283"/>
      <c r="T5" s="3282"/>
      <c r="U5" s="3283"/>
      <c r="V5" s="3310"/>
      <c r="W5" s="3310"/>
      <c r="X5" s="1540"/>
      <c r="Y5" s="3282"/>
      <c r="Z5" s="3283"/>
      <c r="AA5" s="3276"/>
      <c r="AB5" s="3310"/>
      <c r="AC5" s="3276"/>
    </row>
    <row r="6" spans="1:29" ht="15.75" thickBot="1">
      <c r="A6" s="366"/>
      <c r="B6" s="367"/>
      <c r="C6" s="3288" t="s">
        <v>2368</v>
      </c>
      <c r="D6" s="3289"/>
      <c r="E6" s="3291" t="s">
        <v>2368</v>
      </c>
      <c r="F6" s="3292"/>
      <c r="G6" s="3288" t="s">
        <v>2368</v>
      </c>
      <c r="H6" s="3289"/>
      <c r="I6" s="3288" t="s">
        <v>2368</v>
      </c>
      <c r="J6" s="3289"/>
      <c r="K6" s="567" t="s">
        <v>2369</v>
      </c>
      <c r="L6" s="2945"/>
      <c r="M6" s="2946"/>
      <c r="N6" s="2946"/>
      <c r="O6" s="2946"/>
      <c r="P6" s="3366"/>
      <c r="Q6" s="3306"/>
      <c r="R6" s="3282"/>
      <c r="S6" s="3283"/>
      <c r="T6" s="3307"/>
      <c r="U6" s="3308"/>
      <c r="V6" s="3310"/>
      <c r="W6" s="3310"/>
      <c r="X6" s="1540"/>
      <c r="Y6" s="3307"/>
      <c r="Z6" s="3308"/>
      <c r="AA6" s="3277"/>
      <c r="AB6" s="3310"/>
      <c r="AC6" s="3277"/>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278" t="s">
        <v>2371</v>
      </c>
      <c r="Q7" s="3312"/>
      <c r="R7" s="710" t="s">
        <v>17</v>
      </c>
      <c r="S7" s="711">
        <f t="shared" ref="S7:S15" si="0">F7</f>
        <v>0</v>
      </c>
      <c r="T7" s="710" t="s">
        <v>17</v>
      </c>
      <c r="U7" s="711">
        <f t="shared" ref="U7:U15" si="1">H7</f>
        <v>0</v>
      </c>
      <c r="V7" s="710" t="s">
        <v>17</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278" t="s">
        <v>2374</v>
      </c>
      <c r="Q8" s="3279"/>
      <c r="R8" s="710" t="s">
        <v>17</v>
      </c>
      <c r="S8" s="711">
        <f t="shared" si="0"/>
        <v>0</v>
      </c>
      <c r="T8" s="710" t="s">
        <v>17</v>
      </c>
      <c r="U8" s="711">
        <f t="shared" si="1"/>
        <v>0</v>
      </c>
      <c r="V8" s="710" t="s">
        <v>17</v>
      </c>
      <c r="W8" s="711">
        <f t="shared" si="2"/>
        <v>0</v>
      </c>
      <c r="X8" s="712"/>
      <c r="Y8" s="3278" t="s">
        <v>2374</v>
      </c>
      <c r="Z8" s="3279"/>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93" t="s">
        <v>2377</v>
      </c>
      <c r="Q9" s="1528" t="str">
        <f t="shared" ref="Q9:Q15" si="6">B9</f>
        <v>用途</v>
      </c>
      <c r="R9" s="710" t="s">
        <v>17</v>
      </c>
      <c r="S9" s="711">
        <f t="shared" si="0"/>
        <v>100</v>
      </c>
      <c r="T9" s="710" t="s">
        <v>17</v>
      </c>
      <c r="U9" s="711">
        <f t="shared" si="1"/>
        <v>100</v>
      </c>
      <c r="V9" s="710" t="s">
        <v>17</v>
      </c>
      <c r="W9" s="711">
        <f t="shared" si="2"/>
        <v>100</v>
      </c>
      <c r="X9" s="712"/>
      <c r="Y9" s="325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93"/>
      <c r="Q10" s="1528"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93"/>
      <c r="Q11" s="1528"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3"/>
      <c r="Q12" s="1528">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3"/>
      <c r="Q13" s="1528">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3"/>
      <c r="Q14" s="1528">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713">
        <f t="shared" si="5"/>
        <v>1</v>
      </c>
    </row>
    <row r="15" spans="1:29" ht="71.25">
      <c r="A15" s="399" t="s">
        <v>2381</v>
      </c>
      <c r="B15" s="65" t="s">
        <v>2475</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13" t="s">
        <v>2382</v>
      </c>
      <c r="Q15" s="1537" t="str">
        <f t="shared" si="6"/>
        <v>商业繁华度</v>
      </c>
      <c r="R15" s="714" t="s">
        <v>17</v>
      </c>
      <c r="S15" s="715">
        <f t="shared" si="0"/>
        <v>100</v>
      </c>
      <c r="T15" s="714" t="s">
        <v>17</v>
      </c>
      <c r="U15" s="715">
        <f t="shared" si="1"/>
        <v>100</v>
      </c>
      <c r="V15" s="714" t="s">
        <v>17</v>
      </c>
      <c r="W15" s="715">
        <f t="shared" si="2"/>
        <v>100</v>
      </c>
      <c r="X15" s="1540"/>
      <c r="Y15" s="3315" t="s">
        <v>2382</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14"/>
      <c r="Q16" s="1537"/>
      <c r="R16" s="714"/>
      <c r="S16" s="715"/>
      <c r="T16" s="714"/>
      <c r="U16" s="715"/>
      <c r="V16" s="714"/>
      <c r="W16" s="715"/>
      <c r="X16" s="1540"/>
      <c r="Y16" s="3316"/>
      <c r="Z16" s="1541"/>
      <c r="AA16" s="1538">
        <v>1</v>
      </c>
      <c r="AB16" s="1538">
        <v>1</v>
      </c>
      <c r="AC16" s="1538">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14"/>
      <c r="Q17" s="1537" t="str">
        <f>B17</f>
        <v>交通便捷度</v>
      </c>
      <c r="R17" s="714" t="s">
        <v>17</v>
      </c>
      <c r="S17" s="715">
        <f>F17</f>
        <v>100</v>
      </c>
      <c r="T17" s="714" t="s">
        <v>17</v>
      </c>
      <c r="U17" s="715">
        <f>H17</f>
        <v>100</v>
      </c>
      <c r="V17" s="714" t="s">
        <v>17</v>
      </c>
      <c r="W17" s="715">
        <f>J17</f>
        <v>100</v>
      </c>
      <c r="X17" s="1540"/>
      <c r="Y17" s="3316"/>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14"/>
      <c r="Q18" s="1537"/>
      <c r="R18" s="714"/>
      <c r="S18" s="715"/>
      <c r="T18" s="714"/>
      <c r="U18" s="715"/>
      <c r="V18" s="714"/>
      <c r="W18" s="715"/>
      <c r="X18" s="1540"/>
      <c r="Y18" s="3316"/>
      <c r="Z18" s="1541"/>
      <c r="AA18" s="1538">
        <v>1</v>
      </c>
      <c r="AB18" s="1538">
        <v>1</v>
      </c>
      <c r="AC18" s="1538">
        <v>1</v>
      </c>
    </row>
    <row r="19" spans="1:29" ht="42.75">
      <c r="A19" s="387"/>
      <c r="B19" s="410" t="s">
        <v>2476</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14"/>
      <c r="Q19" s="1537" t="str">
        <f>B19</f>
        <v>公共配套设施</v>
      </c>
      <c r="R19" s="714" t="s">
        <v>17</v>
      </c>
      <c r="S19" s="715">
        <f>F19</f>
        <v>100</v>
      </c>
      <c r="T19" s="714" t="s">
        <v>17</v>
      </c>
      <c r="U19" s="715">
        <f>H19</f>
        <v>100</v>
      </c>
      <c r="V19" s="714" t="s">
        <v>17</v>
      </c>
      <c r="W19" s="715">
        <f>J19</f>
        <v>100</v>
      </c>
      <c r="X19" s="1540"/>
      <c r="Y19" s="3316"/>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14"/>
      <c r="Q20" s="1537"/>
      <c r="R20" s="714"/>
      <c r="S20" s="715"/>
      <c r="T20" s="714"/>
      <c r="U20" s="715"/>
      <c r="V20" s="714"/>
      <c r="W20" s="715"/>
      <c r="X20" s="1540"/>
      <c r="Y20" s="3316"/>
      <c r="Z20" s="1541"/>
      <c r="AA20" s="1538">
        <v>1</v>
      </c>
      <c r="AB20" s="1538">
        <v>1</v>
      </c>
      <c r="AC20" s="1538">
        <v>1</v>
      </c>
    </row>
    <row r="21" spans="1:29" ht="28.5">
      <c r="A21" s="387"/>
      <c r="B21" s="1292" t="s">
        <v>2477</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14"/>
      <c r="Q21" s="1537" t="str">
        <f>B21</f>
        <v>基础设施水平</v>
      </c>
      <c r="R21" s="714" t="s">
        <v>17</v>
      </c>
      <c r="S21" s="715">
        <f>F21</f>
        <v>100</v>
      </c>
      <c r="T21" s="714" t="s">
        <v>17</v>
      </c>
      <c r="U21" s="715">
        <f>H21</f>
        <v>100</v>
      </c>
      <c r="V21" s="714" t="s">
        <v>17</v>
      </c>
      <c r="W21" s="715">
        <f>J21</f>
        <v>100</v>
      </c>
      <c r="X21" s="1540"/>
      <c r="Y21" s="3316"/>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2952"/>
      <c r="M22" s="2946"/>
      <c r="N22" s="2946"/>
      <c r="O22" s="2946"/>
      <c r="P22" s="3314"/>
      <c r="Q22" s="1537"/>
      <c r="R22" s="714"/>
      <c r="S22" s="715"/>
      <c r="T22" s="714"/>
      <c r="U22" s="715"/>
      <c r="V22" s="714"/>
      <c r="W22" s="715"/>
      <c r="X22" s="1540"/>
      <c r="Y22" s="3316"/>
      <c r="Z22" s="1541"/>
      <c r="AA22" s="1538">
        <v>1</v>
      </c>
      <c r="AB22" s="1538">
        <v>1</v>
      </c>
      <c r="AC22" s="1538">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14"/>
      <c r="Q23" s="1537" t="str">
        <f>B23</f>
        <v>自然及人文环境</v>
      </c>
      <c r="R23" s="714" t="s">
        <v>17</v>
      </c>
      <c r="S23" s="715">
        <f>F23</f>
        <v>100</v>
      </c>
      <c r="T23" s="714" t="s">
        <v>17</v>
      </c>
      <c r="U23" s="715">
        <f>H23</f>
        <v>100</v>
      </c>
      <c r="V23" s="714" t="s">
        <v>17</v>
      </c>
      <c r="W23" s="715">
        <f>J23</f>
        <v>100</v>
      </c>
      <c r="X23" s="1540"/>
      <c r="Y23" s="3316"/>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14"/>
      <c r="Q24" s="1537"/>
      <c r="R24" s="714"/>
      <c r="S24" s="715"/>
      <c r="T24" s="714"/>
      <c r="U24" s="715"/>
      <c r="V24" s="714"/>
      <c r="W24" s="715"/>
      <c r="X24" s="1540"/>
      <c r="Y24" s="3316"/>
      <c r="Z24" s="1541"/>
      <c r="AA24" s="1538">
        <v>1</v>
      </c>
      <c r="AB24" s="1538">
        <v>1</v>
      </c>
      <c r="AC24" s="1538">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14"/>
      <c r="Q25" s="1537" t="str">
        <f t="shared" ref="Q25:Q46" si="11">B25</f>
        <v>临街状况</v>
      </c>
      <c r="R25" s="714" t="s">
        <v>17</v>
      </c>
      <c r="S25" s="715">
        <f>F25</f>
        <v>100</v>
      </c>
      <c r="T25" s="714" t="s">
        <v>17</v>
      </c>
      <c r="U25" s="715">
        <f>H25</f>
        <v>100</v>
      </c>
      <c r="V25" s="714" t="s">
        <v>17</v>
      </c>
      <c r="W25" s="715">
        <f>J25</f>
        <v>100</v>
      </c>
      <c r="X25" s="1540"/>
      <c r="Y25" s="3316"/>
      <c r="Z25" s="1541" t="str">
        <f>Q25</f>
        <v>临街状况</v>
      </c>
      <c r="AA25" s="1538">
        <f t="shared" si="3"/>
        <v>1</v>
      </c>
      <c r="AB25" s="1538">
        <f t="shared" si="4"/>
        <v>1</v>
      </c>
      <c r="AC25" s="1538">
        <f t="shared" si="5"/>
        <v>1</v>
      </c>
    </row>
    <row r="26" spans="1:29" ht="15">
      <c r="A26" s="387"/>
      <c r="B26" s="1294" t="s">
        <v>2479</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14"/>
      <c r="Q26" s="1537" t="str">
        <f t="shared" si="11"/>
        <v>平面位置/可视性</v>
      </c>
      <c r="R26" s="714" t="s">
        <v>17</v>
      </c>
      <c r="S26" s="715">
        <f>F26</f>
        <v>100</v>
      </c>
      <c r="T26" s="714" t="s">
        <v>17</v>
      </c>
      <c r="U26" s="715">
        <f>H26</f>
        <v>100</v>
      </c>
      <c r="V26" s="714" t="s">
        <v>17</v>
      </c>
      <c r="W26" s="715">
        <f>J26</f>
        <v>100</v>
      </c>
      <c r="X26" s="1540"/>
      <c r="Y26" s="3316"/>
      <c r="Z26" s="1541" t="str">
        <f>Q26</f>
        <v>平面位置/可视性</v>
      </c>
      <c r="AA26" s="1538">
        <f t="shared" si="3"/>
        <v>1</v>
      </c>
      <c r="AB26" s="1538">
        <f t="shared" si="4"/>
        <v>1</v>
      </c>
      <c r="AC26" s="1538">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14"/>
      <c r="Q27" s="1528" t="str">
        <f t="shared" si="11"/>
        <v>人流量</v>
      </c>
      <c r="R27" s="710" t="s">
        <v>17</v>
      </c>
      <c r="S27" s="711">
        <f>F27</f>
        <v>100</v>
      </c>
      <c r="T27" s="710" t="s">
        <v>17</v>
      </c>
      <c r="U27" s="711">
        <f>H27</f>
        <v>100</v>
      </c>
      <c r="V27" s="710" t="s">
        <v>17</v>
      </c>
      <c r="W27" s="711">
        <f>J27</f>
        <v>100</v>
      </c>
      <c r="X27" s="712"/>
      <c r="Y27" s="3316"/>
      <c r="Z27" s="55" t="str">
        <f>Q27</f>
        <v>人流量</v>
      </c>
      <c r="AA27" s="1538">
        <f>D27/F27</f>
        <v>1</v>
      </c>
      <c r="AB27" s="1538">
        <f>D27/H27</f>
        <v>1</v>
      </c>
      <c r="AC27" s="1538">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14"/>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6"/>
      <c r="Z28" s="1541" t="str">
        <f t="shared" ref="Z28:Z46" si="15">Q28</f>
        <v>楼层</v>
      </c>
      <c r="AA28" s="1538">
        <f t="shared" si="3"/>
        <v>1</v>
      </c>
      <c r="AB28" s="1538">
        <f t="shared" si="4"/>
        <v>1</v>
      </c>
      <c r="AC28" s="1538">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14"/>
      <c r="Q29" s="1537">
        <f t="shared" si="11"/>
        <v>111</v>
      </c>
      <c r="R29" s="714" t="s">
        <v>17</v>
      </c>
      <c r="S29" s="715">
        <f t="shared" si="12"/>
        <v>100</v>
      </c>
      <c r="T29" s="714" t="s">
        <v>17</v>
      </c>
      <c r="U29" s="715">
        <f t="shared" si="13"/>
        <v>100</v>
      </c>
      <c r="V29" s="714" t="s">
        <v>17</v>
      </c>
      <c r="W29" s="715">
        <f t="shared" si="14"/>
        <v>100</v>
      </c>
      <c r="X29" s="1540"/>
      <c r="Y29" s="3316"/>
      <c r="Z29" s="1541">
        <f t="shared" si="15"/>
        <v>111</v>
      </c>
      <c r="AA29" s="1538">
        <f t="shared" si="3"/>
        <v>1</v>
      </c>
      <c r="AB29" s="1538">
        <f t="shared" si="4"/>
        <v>1</v>
      </c>
      <c r="AC29" s="1538">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14"/>
      <c r="Q30" s="1537">
        <f t="shared" si="11"/>
        <v>111</v>
      </c>
      <c r="R30" s="714" t="s">
        <v>17</v>
      </c>
      <c r="S30" s="715">
        <f t="shared" si="12"/>
        <v>100</v>
      </c>
      <c r="T30" s="714" t="s">
        <v>17</v>
      </c>
      <c r="U30" s="715">
        <f t="shared" si="13"/>
        <v>100</v>
      </c>
      <c r="V30" s="714" t="s">
        <v>17</v>
      </c>
      <c r="W30" s="715">
        <f t="shared" si="14"/>
        <v>100</v>
      </c>
      <c r="X30" s="1540"/>
      <c r="Y30" s="3316"/>
      <c r="Z30" s="1541">
        <f t="shared" si="15"/>
        <v>111</v>
      </c>
      <c r="AA30" s="1538">
        <f t="shared" si="3"/>
        <v>1</v>
      </c>
      <c r="AB30" s="1538">
        <f t="shared" si="4"/>
        <v>1</v>
      </c>
      <c r="AC30" s="1538">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14"/>
      <c r="Q31" s="1537">
        <f t="shared" si="11"/>
        <v>111</v>
      </c>
      <c r="R31" s="714" t="s">
        <v>17</v>
      </c>
      <c r="S31" s="715">
        <f t="shared" si="12"/>
        <v>100</v>
      </c>
      <c r="T31" s="714" t="s">
        <v>17</v>
      </c>
      <c r="U31" s="715">
        <f t="shared" si="13"/>
        <v>100</v>
      </c>
      <c r="V31" s="714" t="s">
        <v>17</v>
      </c>
      <c r="W31" s="715">
        <f t="shared" si="14"/>
        <v>100</v>
      </c>
      <c r="X31" s="1540"/>
      <c r="Y31" s="3316"/>
      <c r="Z31" s="1541">
        <f t="shared" si="15"/>
        <v>111</v>
      </c>
      <c r="AA31" s="1538">
        <f t="shared" si="3"/>
        <v>1</v>
      </c>
      <c r="AB31" s="1538">
        <f t="shared" si="4"/>
        <v>1</v>
      </c>
      <c r="AC31" s="1538">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17" t="s">
        <v>2387</v>
      </c>
      <c r="Q32" s="1537" t="str">
        <f t="shared" si="11"/>
        <v>商业类型</v>
      </c>
      <c r="R32" s="714" t="s">
        <v>17</v>
      </c>
      <c r="S32" s="715">
        <f t="shared" si="12"/>
        <v>100</v>
      </c>
      <c r="T32" s="714" t="s">
        <v>17</v>
      </c>
      <c r="U32" s="715">
        <f t="shared" si="13"/>
        <v>100</v>
      </c>
      <c r="V32" s="714" t="s">
        <v>17</v>
      </c>
      <c r="W32" s="715">
        <f t="shared" si="14"/>
        <v>100</v>
      </c>
      <c r="X32" s="1540"/>
      <c r="Y32" s="3320" t="s">
        <v>2387</v>
      </c>
      <c r="Z32" s="1541" t="str">
        <f t="shared" si="15"/>
        <v>商业类型</v>
      </c>
      <c r="AA32" s="1538">
        <f t="shared" si="3"/>
        <v>1</v>
      </c>
      <c r="AB32" s="1538">
        <f t="shared" si="4"/>
        <v>1</v>
      </c>
      <c r="AC32" s="1538">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18"/>
      <c r="Q33" s="716" t="str">
        <f t="shared" si="11"/>
        <v>项目建筑规模</v>
      </c>
      <c r="R33" s="717" t="s">
        <v>17</v>
      </c>
      <c r="S33" s="718" t="e">
        <f t="shared" si="12"/>
        <v>#N/A</v>
      </c>
      <c r="T33" s="717" t="s">
        <v>17</v>
      </c>
      <c r="U33" s="718" t="e">
        <f t="shared" si="13"/>
        <v>#N/A</v>
      </c>
      <c r="V33" s="717" t="s">
        <v>17</v>
      </c>
      <c r="W33" s="718" t="e">
        <f t="shared" si="14"/>
        <v>#N/A</v>
      </c>
      <c r="X33" s="719"/>
      <c r="Y33" s="3320"/>
      <c r="Z33" s="720" t="str">
        <f t="shared" si="15"/>
        <v>项目建筑规模</v>
      </c>
      <c r="AA33" s="1538" t="e">
        <f t="shared" si="3"/>
        <v>#N/A</v>
      </c>
      <c r="AB33" s="1538" t="e">
        <f t="shared" si="4"/>
        <v>#N/A</v>
      </c>
      <c r="AC33" s="1538"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18"/>
      <c r="Q34" s="1537" t="str">
        <f t="shared" si="11"/>
        <v>建筑结构</v>
      </c>
      <c r="R34" s="714" t="s">
        <v>17</v>
      </c>
      <c r="S34" s="715">
        <f t="shared" si="12"/>
        <v>100</v>
      </c>
      <c r="T34" s="714" t="s">
        <v>17</v>
      </c>
      <c r="U34" s="715">
        <f t="shared" si="13"/>
        <v>100</v>
      </c>
      <c r="V34" s="714" t="s">
        <v>17</v>
      </c>
      <c r="W34" s="715">
        <f t="shared" si="14"/>
        <v>100</v>
      </c>
      <c r="X34" s="1540"/>
      <c r="Y34" s="3320"/>
      <c r="Z34" s="1541" t="str">
        <f t="shared" si="15"/>
        <v>建筑结构</v>
      </c>
      <c r="AA34" s="1538">
        <f t="shared" si="3"/>
        <v>1</v>
      </c>
      <c r="AB34" s="1538">
        <f t="shared" si="4"/>
        <v>1</v>
      </c>
      <c r="AC34" s="1538">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18"/>
      <c r="Q35" s="1537" t="str">
        <f t="shared" si="11"/>
        <v>公共部分装修</v>
      </c>
      <c r="R35" s="714" t="s">
        <v>17</v>
      </c>
      <c r="S35" s="715">
        <f t="shared" si="12"/>
        <v>100</v>
      </c>
      <c r="T35" s="714" t="s">
        <v>17</v>
      </c>
      <c r="U35" s="715">
        <f t="shared" si="13"/>
        <v>100</v>
      </c>
      <c r="V35" s="714" t="s">
        <v>17</v>
      </c>
      <c r="W35" s="715">
        <f t="shared" si="14"/>
        <v>100</v>
      </c>
      <c r="X35" s="1540"/>
      <c r="Y35" s="3320"/>
      <c r="Z35" s="1541" t="str">
        <f t="shared" si="15"/>
        <v>公共部分装修</v>
      </c>
      <c r="AA35" s="1538">
        <f t="shared" si="3"/>
        <v>1</v>
      </c>
      <c r="AB35" s="1538">
        <f t="shared" si="4"/>
        <v>1</v>
      </c>
      <c r="AC35" s="1538">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18"/>
      <c r="Q36" s="1537" t="str">
        <f t="shared" si="11"/>
        <v>成新度</v>
      </c>
      <c r="R36" s="714" t="s">
        <v>17</v>
      </c>
      <c r="S36" s="715" t="e">
        <f t="shared" si="12"/>
        <v>#N/A</v>
      </c>
      <c r="T36" s="714" t="s">
        <v>17</v>
      </c>
      <c r="U36" s="715" t="e">
        <f t="shared" si="13"/>
        <v>#N/A</v>
      </c>
      <c r="V36" s="714" t="s">
        <v>17</v>
      </c>
      <c r="W36" s="715" t="e">
        <f t="shared" si="14"/>
        <v>#N/A</v>
      </c>
      <c r="X36" s="1540"/>
      <c r="Y36" s="3320"/>
      <c r="Z36" s="1541" t="str">
        <f t="shared" si="15"/>
        <v>成新度</v>
      </c>
      <c r="AA36" s="1538" t="e">
        <f t="shared" si="3"/>
        <v>#N/A</v>
      </c>
      <c r="AB36" s="1538" t="e">
        <f t="shared" si="4"/>
        <v>#N/A</v>
      </c>
      <c r="AC36" s="1538"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18"/>
      <c r="Q37" s="1528" t="str">
        <f t="shared" si="11"/>
        <v>市政基础设施</v>
      </c>
      <c r="R37" s="710" t="s">
        <v>17</v>
      </c>
      <c r="S37" s="711">
        <f t="shared" si="12"/>
        <v>100</v>
      </c>
      <c r="T37" s="710" t="s">
        <v>17</v>
      </c>
      <c r="U37" s="711">
        <f t="shared" si="13"/>
        <v>100</v>
      </c>
      <c r="V37" s="710" t="s">
        <v>17</v>
      </c>
      <c r="W37" s="711">
        <f t="shared" si="14"/>
        <v>100</v>
      </c>
      <c r="X37" s="712"/>
      <c r="Y37" s="3320"/>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18" t="s">
        <v>2387</v>
      </c>
      <c r="Q38" s="1537" t="str">
        <f t="shared" si="11"/>
        <v>业态</v>
      </c>
      <c r="R38" s="714" t="s">
        <v>17</v>
      </c>
      <c r="S38" s="715">
        <f t="shared" si="12"/>
        <v>100</v>
      </c>
      <c r="T38" s="714" t="s">
        <v>17</v>
      </c>
      <c r="U38" s="715">
        <f t="shared" si="13"/>
        <v>100</v>
      </c>
      <c r="V38" s="714" t="s">
        <v>17</v>
      </c>
      <c r="W38" s="715">
        <f t="shared" si="14"/>
        <v>100</v>
      </c>
      <c r="X38" s="1540"/>
      <c r="Y38" s="3320" t="s">
        <v>2387</v>
      </c>
      <c r="Z38" s="1541" t="str">
        <f t="shared" si="15"/>
        <v>业态</v>
      </c>
      <c r="AA38" s="1538">
        <f t="shared" si="3"/>
        <v>1</v>
      </c>
      <c r="AB38" s="1538">
        <f t="shared" si="4"/>
        <v>1</v>
      </c>
      <c r="AC38" s="1538">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18"/>
      <c r="Q39" s="1537" t="str">
        <f t="shared" si="11"/>
        <v>层高</v>
      </c>
      <c r="R39" s="714" t="s">
        <v>17</v>
      </c>
      <c r="S39" s="715">
        <f t="shared" si="12"/>
        <v>100</v>
      </c>
      <c r="T39" s="714" t="s">
        <v>17</v>
      </c>
      <c r="U39" s="715">
        <f t="shared" si="13"/>
        <v>100</v>
      </c>
      <c r="V39" s="714" t="s">
        <v>17</v>
      </c>
      <c r="W39" s="715">
        <f t="shared" si="14"/>
        <v>100</v>
      </c>
      <c r="X39" s="1540"/>
      <c r="Y39" s="3320"/>
      <c r="Z39" s="1541" t="str">
        <f t="shared" si="15"/>
        <v>层高</v>
      </c>
      <c r="AA39" s="1538">
        <f t="shared" si="3"/>
        <v>1</v>
      </c>
      <c r="AB39" s="1538">
        <f t="shared" si="4"/>
        <v>1</v>
      </c>
      <c r="AC39" s="1538">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18"/>
      <c r="Q40" s="1537" t="str">
        <f t="shared" si="11"/>
        <v>单套建筑面积</v>
      </c>
      <c r="R40" s="714" t="s">
        <v>17</v>
      </c>
      <c r="S40" s="715">
        <f t="shared" si="12"/>
        <v>100</v>
      </c>
      <c r="T40" s="714" t="s">
        <v>17</v>
      </c>
      <c r="U40" s="715">
        <f t="shared" si="13"/>
        <v>100</v>
      </c>
      <c r="V40" s="714" t="s">
        <v>17</v>
      </c>
      <c r="W40" s="715">
        <f t="shared" si="14"/>
        <v>100</v>
      </c>
      <c r="X40" s="1540"/>
      <c r="Y40" s="3320"/>
      <c r="Z40" s="1541" t="str">
        <f t="shared" si="15"/>
        <v>单套建筑面积</v>
      </c>
      <c r="AA40" s="1538">
        <f t="shared" si="3"/>
        <v>1</v>
      </c>
      <c r="AB40" s="1538">
        <f t="shared" si="4"/>
        <v>1</v>
      </c>
      <c r="AC40" s="1538">
        <f t="shared" si="5"/>
        <v>1</v>
      </c>
    </row>
    <row r="41" spans="1:29" s="430" customFormat="1" ht="15">
      <c r="A41" s="427"/>
      <c r="B41" s="1539"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18"/>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8">
        <f t="shared" si="3"/>
        <v>1</v>
      </c>
      <c r="AB41" s="1538">
        <f t="shared" si="4"/>
        <v>1</v>
      </c>
      <c r="AC41" s="1538">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18"/>
      <c r="Q42" s="1537" t="str">
        <f t="shared" si="11"/>
        <v>内部装修</v>
      </c>
      <c r="R42" s="714" t="s">
        <v>17</v>
      </c>
      <c r="S42" s="715">
        <f t="shared" si="12"/>
        <v>100</v>
      </c>
      <c r="T42" s="714" t="s">
        <v>17</v>
      </c>
      <c r="U42" s="715">
        <f t="shared" si="13"/>
        <v>100</v>
      </c>
      <c r="V42" s="714" t="s">
        <v>17</v>
      </c>
      <c r="W42" s="715">
        <f t="shared" si="14"/>
        <v>100</v>
      </c>
      <c r="X42" s="1540"/>
      <c r="Y42" s="3320"/>
      <c r="Z42" s="1541" t="str">
        <f t="shared" si="15"/>
        <v>内部装修</v>
      </c>
      <c r="AA42" s="1538">
        <f t="shared" si="3"/>
        <v>1</v>
      </c>
      <c r="AB42" s="1538">
        <f t="shared" si="4"/>
        <v>1</v>
      </c>
      <c r="AC42" s="1538">
        <f t="shared" si="5"/>
        <v>1</v>
      </c>
    </row>
    <row r="43" spans="1:29" ht="15">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18"/>
      <c r="Q43" s="1537" t="str">
        <f t="shared" si="11"/>
        <v>内部装修维护情况</v>
      </c>
      <c r="R43" s="714" t="s">
        <v>17</v>
      </c>
      <c r="S43" s="715">
        <f t="shared" si="12"/>
        <v>100</v>
      </c>
      <c r="T43" s="714" t="s">
        <v>17</v>
      </c>
      <c r="U43" s="715">
        <f t="shared" si="13"/>
        <v>100</v>
      </c>
      <c r="V43" s="714" t="s">
        <v>17</v>
      </c>
      <c r="W43" s="715">
        <f t="shared" si="14"/>
        <v>100</v>
      </c>
      <c r="X43" s="1540"/>
      <c r="Y43" s="3320"/>
      <c r="Z43" s="1541" t="str">
        <f t="shared" si="15"/>
        <v>内部装修维护情况</v>
      </c>
      <c r="AA43" s="1538">
        <f t="shared" si="3"/>
        <v>1</v>
      </c>
      <c r="AB43" s="1538">
        <f t="shared" si="4"/>
        <v>1</v>
      </c>
      <c r="AC43" s="1538">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18"/>
      <c r="Q44" s="1528">
        <f t="shared" si="11"/>
        <v>111</v>
      </c>
      <c r="R44" s="710" t="s">
        <v>17</v>
      </c>
      <c r="S44" s="711">
        <f t="shared" si="12"/>
        <v>100</v>
      </c>
      <c r="T44" s="710" t="s">
        <v>17</v>
      </c>
      <c r="U44" s="711">
        <f t="shared" si="13"/>
        <v>100</v>
      </c>
      <c r="V44" s="710" t="s">
        <v>17</v>
      </c>
      <c r="W44" s="711">
        <f t="shared" si="14"/>
        <v>100</v>
      </c>
      <c r="X44" s="712"/>
      <c r="Y44" s="3320"/>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18"/>
      <c r="Q45" s="1537">
        <f t="shared" si="11"/>
        <v>111</v>
      </c>
      <c r="R45" s="714" t="s">
        <v>17</v>
      </c>
      <c r="S45" s="715">
        <f t="shared" si="12"/>
        <v>100</v>
      </c>
      <c r="T45" s="714" t="s">
        <v>17</v>
      </c>
      <c r="U45" s="715">
        <f t="shared" si="13"/>
        <v>100</v>
      </c>
      <c r="V45" s="714" t="s">
        <v>17</v>
      </c>
      <c r="W45" s="715">
        <f t="shared" si="14"/>
        <v>100</v>
      </c>
      <c r="X45" s="1540"/>
      <c r="Y45" s="3320"/>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19"/>
      <c r="Q46" s="1537">
        <f t="shared" si="11"/>
        <v>111</v>
      </c>
      <c r="R46" s="714" t="s">
        <v>17</v>
      </c>
      <c r="S46" s="715">
        <f t="shared" si="12"/>
        <v>100</v>
      </c>
      <c r="T46" s="714" t="s">
        <v>17</v>
      </c>
      <c r="U46" s="715">
        <f t="shared" si="13"/>
        <v>100</v>
      </c>
      <c r="V46" s="714" t="s">
        <v>17</v>
      </c>
      <c r="W46" s="715">
        <f t="shared" si="14"/>
        <v>100</v>
      </c>
      <c r="X46" s="1540"/>
      <c r="Y46" s="3321"/>
      <c r="Z46" s="1541">
        <f t="shared" si="15"/>
        <v>111</v>
      </c>
      <c r="AA46" s="1538">
        <f t="shared" si="3"/>
        <v>1</v>
      </c>
      <c r="AB46" s="1538">
        <f t="shared" si="4"/>
        <v>1</v>
      </c>
      <c r="AC46" s="1538">
        <f t="shared" si="5"/>
        <v>1</v>
      </c>
    </row>
    <row r="47" spans="1:29" ht="15">
      <c r="A47" s="438" t="s">
        <v>2399</v>
      </c>
      <c r="B47" s="439"/>
      <c r="C47" s="1315" t="s">
        <v>1</v>
      </c>
      <c r="D47" s="1316"/>
      <c r="E47" s="1317"/>
      <c r="F47" s="1318"/>
      <c r="G47" s="1319"/>
      <c r="H47" s="1320"/>
      <c r="I47" s="1317"/>
      <c r="J47" s="1320"/>
      <c r="K47" s="723"/>
      <c r="L47" s="2954"/>
      <c r="M47" s="2955"/>
      <c r="N47" s="2946"/>
      <c r="O47" s="2955"/>
      <c r="P47" s="3322" t="str">
        <f>A47</f>
        <v>成交单价（元/平方米）</v>
      </c>
      <c r="Q47" s="3322"/>
      <c r="R47" s="3310">
        <f>E47</f>
        <v>0</v>
      </c>
      <c r="S47" s="3310"/>
      <c r="T47" s="3310">
        <f>G47</f>
        <v>0</v>
      </c>
      <c r="U47" s="3310"/>
      <c r="V47" s="3310">
        <f>I47</f>
        <v>0</v>
      </c>
      <c r="W47" s="3310"/>
      <c r="X47" s="699"/>
      <c r="Y47" s="721"/>
      <c r="Z47" s="699"/>
      <c r="AA47" s="699"/>
      <c r="AB47" s="699"/>
      <c r="AC47" s="699"/>
    </row>
    <row r="48" spans="1:29" ht="15.75" thickBot="1">
      <c r="A48" s="445" t="s">
        <v>2491</v>
      </c>
      <c r="B48" s="446"/>
      <c r="C48" s="1321" t="e">
        <f>R49</f>
        <v>#DIV/0!</v>
      </c>
      <c r="D48" s="2539" t="s">
        <v>2878</v>
      </c>
      <c r="E48" s="1322" t="e">
        <f>R48</f>
        <v>#DIV/0!</v>
      </c>
      <c r="F48" s="2540"/>
      <c r="G48" s="1321" t="e">
        <f>T48</f>
        <v>#DIV/0!</v>
      </c>
      <c r="H48" s="2540"/>
      <c r="I48" s="1322" t="e">
        <f>V48</f>
        <v>#DIV/0!</v>
      </c>
      <c r="J48" s="2540"/>
      <c r="K48" s="2542">
        <f>F48+H48+J48</f>
        <v>0</v>
      </c>
      <c r="L48" s="2954"/>
      <c r="M48" s="2955"/>
      <c r="N48" s="2946"/>
      <c r="O48" s="2955"/>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699"/>
      <c r="Y48" s="699"/>
      <c r="Z48" s="699"/>
      <c r="AA48" s="699"/>
      <c r="AB48" s="699"/>
      <c r="AC48" s="699"/>
    </row>
    <row r="49" spans="1:29" ht="15.75" thickBot="1">
      <c r="A49" s="449" t="s">
        <v>2492</v>
      </c>
      <c r="B49" s="450"/>
      <c r="C49" s="1324" t="e">
        <f>R49</f>
        <v>#DIV/0!</v>
      </c>
      <c r="D49" s="1324"/>
      <c r="E49" s="1324"/>
      <c r="F49" s="1324"/>
      <c r="G49" s="1324"/>
      <c r="H49" s="1324"/>
      <c r="I49" s="1324"/>
      <c r="J49" s="1324"/>
      <c r="K49" s="724"/>
      <c r="L49" s="2954"/>
      <c r="M49" s="2955"/>
      <c r="N49" s="2946"/>
      <c r="O49" s="2955"/>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2496</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2370</v>
      </c>
      <c r="B58" s="463"/>
      <c r="C58" s="1345" t="str">
        <f>YEAR(C7)&amp;"-"&amp;MONTH(C7)</f>
        <v>2020-12</v>
      </c>
      <c r="D58" s="1346">
        <f>EDATE(C58,-1)</f>
        <v>44136</v>
      </c>
      <c r="E58" s="1346">
        <f t="shared" ref="E58:N58" si="16">EDATE(D58,-1)</f>
        <v>44105</v>
      </c>
      <c r="F58" s="1346">
        <f t="shared" si="16"/>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2407</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2372</v>
      </c>
      <c r="B61" s="467"/>
      <c r="C61" s="479" t="s">
        <v>2474</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2410</v>
      </c>
      <c r="B63" s="485" t="s">
        <v>2376</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2381</v>
      </c>
      <c r="B76" s="485" t="s">
        <v>2418</v>
      </c>
      <c r="C76" s="530" t="s">
        <v>2419</v>
      </c>
      <c r="D76" s="530" t="s">
        <v>2420</v>
      </c>
      <c r="E76" s="530" t="s">
        <v>2421</v>
      </c>
      <c r="F76" s="530" t="s">
        <v>2422</v>
      </c>
      <c r="G76" s="530" t="s">
        <v>2423</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2424</v>
      </c>
      <c r="C78" s="535" t="s">
        <v>2419</v>
      </c>
      <c r="D78" s="535" t="s">
        <v>2420</v>
      </c>
      <c r="E78" s="535" t="s">
        <v>2421</v>
      </c>
      <c r="F78" s="535" t="s">
        <v>2422</v>
      </c>
      <c r="G78" s="535" t="s">
        <v>2423</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2425</v>
      </c>
      <c r="C80" s="535" t="s">
        <v>2419</v>
      </c>
      <c r="D80" s="535" t="s">
        <v>2420</v>
      </c>
      <c r="E80" s="535" t="s">
        <v>2421</v>
      </c>
      <c r="F80" s="535" t="s">
        <v>2422</v>
      </c>
      <c r="G80" s="535" t="s">
        <v>2423</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2477</v>
      </c>
      <c r="C82" s="616" t="s">
        <v>2497</v>
      </c>
      <c r="D82" s="616" t="s">
        <v>2498</v>
      </c>
      <c r="E82" s="616" t="s">
        <v>2499</v>
      </c>
      <c r="F82" s="616" t="s">
        <v>2500</v>
      </c>
      <c r="G82" s="616" t="s">
        <v>2501</v>
      </c>
      <c r="H82" s="496"/>
      <c r="I82" s="496"/>
      <c r="J82" s="496"/>
      <c r="K82" s="496"/>
      <c r="L82" s="496"/>
      <c r="M82" s="1290"/>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2431</v>
      </c>
      <c r="C84" s="535" t="s">
        <v>2419</v>
      </c>
      <c r="D84" s="535" t="s">
        <v>2420</v>
      </c>
      <c r="E84" s="535" t="s">
        <v>2421</v>
      </c>
      <c r="F84" s="535" t="s">
        <v>2422</v>
      </c>
      <c r="G84" s="535" t="s">
        <v>2423</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2502</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2385</v>
      </c>
      <c r="B100" s="485" t="s">
        <v>2503</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2436</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2438</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2440</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2504</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2505</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2506</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2507</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2442</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估价对象为北京市房地产，为所有。根据《国有土地使用证》[]，估价对象（分摊）出让国有建设用地使用权面积为4000.72平方米，建筑面积为9820.56平方米。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估价对象为北京市房地产,属开发建设的办公项目，该项目尚在开发建设中。根据《国有土地使用证》[]，估价对象（分摊）出让国有建设用地使用权面积为4000.72平方米，规划建筑面积为9820.56平方米。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本次评估采用的主估价方法为基准地价系数修正法和收益法。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59" sqref="C59:C67"/>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2625</v>
      </c>
      <c r="B1" s="203"/>
      <c r="C1" s="207" t="s">
        <v>2626</v>
      </c>
      <c r="D1" s="348">
        <f>SUM(D29:D30,D33:D39)</f>
        <v>9820.56</v>
      </c>
      <c r="E1" s="2182"/>
      <c r="F1" s="2182"/>
      <c r="G1" s="2182"/>
      <c r="H1" s="2182"/>
      <c r="I1" s="2182"/>
      <c r="J1" s="2182"/>
      <c r="K1" s="1279"/>
      <c r="L1" s="2183" t="s">
        <v>2627</v>
      </c>
      <c r="M1" s="994">
        <f>SUMPRODUCT((区片价!B5:B9=I2)*(区片价!C3:F3=E2)*(区片价!C5:F9))</f>
        <v>0</v>
      </c>
      <c r="N1" s="997">
        <f>SUMPRODUCT((因素修正幅度!B5:B9=I2)*(因素修正幅度!C3:F3=E2)*(因素修正幅度!C5:F9))</f>
        <v>0</v>
      </c>
      <c r="O1" s="2184"/>
      <c r="P1" s="2184"/>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6421</v>
      </c>
      <c r="C2" s="2186" t="s">
        <v>2634</v>
      </c>
      <c r="D2" s="2187" t="s">
        <v>2635</v>
      </c>
      <c r="E2" s="2188" t="s">
        <v>27</v>
      </c>
      <c r="F2" s="2187" t="s">
        <v>2636</v>
      </c>
      <c r="G2" s="2189" t="str">
        <f>IF(E2="商业",项目基本情况!B37,IF(E2="办公",项目基本情况!C37,IF(E2="住宅",项目基本情况!D37,项目基本情况!E37)))</f>
        <v>八级</v>
      </c>
      <c r="H2" s="2187" t="s">
        <v>2637</v>
      </c>
      <c r="I2" s="2189" t="str">
        <f>IF(E2="商业",项目基本情况!B38,IF(E2="办公",项目基本情况!C38,IF(E2="住宅",项目基本情况!D38,项目基本情况!E38)))</f>
        <v>Ⅷ-02</v>
      </c>
      <c r="J2" s="2190"/>
      <c r="K2" s="1279"/>
      <c r="L2" s="2191"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 ca="1">ROUND($C$5*$C$18*$C$19*$C$20*S2*$C$24,0)</f>
        <v>13410</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6538</v>
      </c>
      <c r="C3" s="2186" t="s">
        <v>2640</v>
      </c>
      <c r="D3" s="2187" t="s">
        <v>2641</v>
      </c>
      <c r="E3" s="2192" t="s">
        <v>3079</v>
      </c>
      <c r="F3" s="2193" t="s">
        <v>3252</v>
      </c>
      <c r="G3" s="855">
        <f>IF(F3="宗地容积率",'数据-汇总表'!I4,IF(F3="估价对象容积率",'数据-汇总表'!I6,'数据-汇总表'!I7))</f>
        <v>1.45</v>
      </c>
      <c r="H3" s="175" t="s">
        <v>2642</v>
      </c>
      <c r="I3" s="881"/>
      <c r="J3" s="2190" t="s">
        <v>2643</v>
      </c>
      <c r="K3" s="1279"/>
      <c r="L3" s="2191" t="s">
        <v>2644</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ca="1" si="0">ROUND($C$5*$C$18*$C$19*$C$20*S3*$C$24,0)</f>
        <v>8838</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89"/>
      <c r="B4" s="3390"/>
      <c r="C4" s="3390"/>
      <c r="D4" s="3391"/>
      <c r="E4" s="3391"/>
      <c r="F4" s="3391"/>
      <c r="G4" s="3391"/>
      <c r="H4" s="3391"/>
      <c r="I4" s="3391"/>
      <c r="J4" s="3392"/>
      <c r="K4" s="1279"/>
      <c r="L4" s="2191" t="s">
        <v>2645</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ca="1" si="0"/>
        <v>6955</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5820</v>
      </c>
      <c r="D5" s="1524">
        <f>ROUND(C6+C16,0)</f>
        <v>5820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ca="1" si="0"/>
        <v>5196</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5820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ca="1" si="0"/>
        <v>3908</v>
      </c>
      <c r="U6" s="1374"/>
      <c r="V6" s="1373">
        <f t="shared" ca="1" si="1"/>
        <v>0</v>
      </c>
      <c r="W6" s="1377"/>
      <c r="X6" s="1377"/>
      <c r="Y6" s="1377"/>
      <c r="Z6" s="1377"/>
      <c r="AA6" s="1377"/>
      <c r="AB6" s="1377"/>
      <c r="AC6" s="2200"/>
      <c r="AD6" s="2201"/>
      <c r="AE6" s="2201"/>
      <c r="AF6" s="2201"/>
      <c r="AG6" s="2201"/>
      <c r="AH6" s="2201"/>
      <c r="AI6" s="2201"/>
      <c r="AJ6" s="2202"/>
    </row>
    <row r="7" spans="1:36" ht="24" hidden="1">
      <c r="A7" s="3370"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ca="1" si="0"/>
        <v>3125</v>
      </c>
      <c r="U7" s="1374"/>
      <c r="V7" s="1373">
        <f t="shared" ca="1" si="1"/>
        <v>0</v>
      </c>
      <c r="W7" s="1543" t="s">
        <v>2655</v>
      </c>
      <c r="X7" s="1375" t="str">
        <f>G2</f>
        <v>八级</v>
      </c>
      <c r="Y7" s="1375" t="s">
        <v>2656</v>
      </c>
      <c r="Z7" s="1376">
        <f>G3</f>
        <v>1.45</v>
      </c>
      <c r="AA7" s="1377"/>
      <c r="AB7" s="1377"/>
      <c r="AC7" s="1378"/>
      <c r="AD7" s="1379"/>
      <c r="AE7" s="1379"/>
      <c r="AF7" s="1379"/>
      <c r="AG7" s="1379"/>
      <c r="AH7" s="1379"/>
      <c r="AI7" s="1379"/>
      <c r="AJ7" s="1380"/>
    </row>
    <row r="8" spans="1:36" ht="15" hidden="1">
      <c r="A8" s="3393"/>
      <c r="B8" s="175" t="s">
        <v>2657</v>
      </c>
      <c r="C8" s="2215"/>
      <c r="D8" s="859" t="s">
        <v>139</v>
      </c>
      <c r="E8" s="860" t="e">
        <f>ROUND(C11/E7,4)</f>
        <v>#DIV/0!</v>
      </c>
      <c r="F8" s="2216" t="s">
        <v>2658</v>
      </c>
      <c r="G8" s="2217"/>
      <c r="H8" s="2217"/>
      <c r="I8" s="2217"/>
      <c r="J8" s="2218"/>
      <c r="K8" s="1279"/>
      <c r="L8" s="2191" t="s">
        <v>2659</v>
      </c>
      <c r="M8" s="995">
        <f>SUMPRODUCT((区片价!B206:B244=I2)*(区片价!C3:F3=E2)*(区片价!C206:F244))</f>
        <v>5820</v>
      </c>
      <c r="N8" s="997">
        <f>SUMPRODUCT((因素修正幅度!B206:B244=I2)*(因素修正幅度!C3:F3=E2)*(因素修正幅度!C206:F244))</f>
        <v>0.15</v>
      </c>
      <c r="O8" s="1279"/>
      <c r="P8" s="1279"/>
      <c r="Q8" s="1279"/>
      <c r="R8" s="1373">
        <v>7</v>
      </c>
      <c r="S8" s="1374"/>
      <c r="T8" s="1373">
        <f t="shared" ca="1" si="0"/>
        <v>0</v>
      </c>
      <c r="U8" s="1374"/>
      <c r="V8" s="1373">
        <f t="shared" ca="1" si="1"/>
        <v>0</v>
      </c>
      <c r="W8" s="3386" t="s">
        <v>2660</v>
      </c>
      <c r="X8" s="3387"/>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hidden="1">
      <c r="A9" s="3393"/>
      <c r="B9" s="175" t="s">
        <v>2673</v>
      </c>
      <c r="C9" s="861">
        <f>SUMIF(修正!C59:C119,C8,修正!E59:E119)</f>
        <v>0</v>
      </c>
      <c r="D9" s="176" t="s">
        <v>140</v>
      </c>
      <c r="E9" s="176" t="e">
        <f>ROUND(C11/E7,4)</f>
        <v>#DIV/0!</v>
      </c>
      <c r="F9" s="2216" t="s">
        <v>2674</v>
      </c>
      <c r="G9" s="2217"/>
      <c r="H9" s="2217"/>
      <c r="I9" s="2217"/>
      <c r="J9" s="2218"/>
      <c r="K9" s="1279"/>
      <c r="L9" s="2191" t="s">
        <v>2675</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88"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hidden="1">
      <c r="A10" s="3393"/>
      <c r="B10" s="175" t="s">
        <v>2678</v>
      </c>
      <c r="C10" s="176">
        <f>SUMIF(修正!C59:C119,C8,修正!F59:F119)</f>
        <v>0</v>
      </c>
      <c r="D10" s="176" t="s">
        <v>141</v>
      </c>
      <c r="E10" s="176" t="e">
        <f>ROUND(C11/E7,4)</f>
        <v>#DIV/0!</v>
      </c>
      <c r="F10" s="2216" t="s">
        <v>2679</v>
      </c>
      <c r="G10" s="2217"/>
      <c r="H10" s="2217"/>
      <c r="I10" s="2217"/>
      <c r="J10" s="2218"/>
      <c r="K10" s="1279"/>
      <c r="L10" s="2191" t="s">
        <v>2680</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8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hidden="1" thickBot="1">
      <c r="A11" s="3393"/>
      <c r="B11" s="2219" t="s">
        <v>2681</v>
      </c>
      <c r="C11" s="862">
        <f>C10/4</f>
        <v>0</v>
      </c>
      <c r="D11" s="862" t="s">
        <v>142</v>
      </c>
      <c r="E11" s="862" t="e">
        <f>ROUND(C11/E7,4)</f>
        <v>#DIV/0!</v>
      </c>
      <c r="F11" s="2220" t="s">
        <v>2682</v>
      </c>
      <c r="G11" s="2221"/>
      <c r="H11" s="2221"/>
      <c r="I11" s="2221"/>
      <c r="J11" s="2222"/>
      <c r="K11" s="1279"/>
      <c r="L11" s="2191" t="s">
        <v>2683</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88" t="s">
        <v>2684</v>
      </c>
      <c r="X11" s="1385" t="s">
        <v>2685</v>
      </c>
      <c r="Y11" s="1386">
        <f>$G$3</f>
        <v>1.45</v>
      </c>
      <c r="Z11" s="1386">
        <f t="shared" ref="Z11:AJ11" si="3">$G$3</f>
        <v>1.45</v>
      </c>
      <c r="AA11" s="1386">
        <f t="shared" si="3"/>
        <v>1.45</v>
      </c>
      <c r="AB11" s="1386">
        <f t="shared" si="3"/>
        <v>1.45</v>
      </c>
      <c r="AC11" s="1386">
        <f t="shared" si="3"/>
        <v>1.45</v>
      </c>
      <c r="AD11" s="1386">
        <f t="shared" si="3"/>
        <v>1.45</v>
      </c>
      <c r="AE11" s="1386">
        <f t="shared" si="3"/>
        <v>1.45</v>
      </c>
      <c r="AF11" s="1386">
        <f t="shared" si="3"/>
        <v>1.45</v>
      </c>
      <c r="AG11" s="1386">
        <f t="shared" si="3"/>
        <v>1.45</v>
      </c>
      <c r="AH11" s="1386">
        <f t="shared" si="3"/>
        <v>1.45</v>
      </c>
      <c r="AI11" s="1386">
        <f t="shared" si="3"/>
        <v>1.45</v>
      </c>
      <c r="AJ11" s="1386">
        <f t="shared" si="3"/>
        <v>1.45</v>
      </c>
    </row>
    <row r="12" spans="1:36" ht="25.5" hidden="1" thickBot="1">
      <c r="A12" s="3370" t="s">
        <v>2686</v>
      </c>
      <c r="B12" s="2223" t="s">
        <v>2687</v>
      </c>
      <c r="C12" s="858">
        <f>ROUND(C15*D15*E15*F15*G15*H15*I15*J15,4)</f>
        <v>1</v>
      </c>
      <c r="D12" s="2224" t="s">
        <v>2688</v>
      </c>
      <c r="E12" s="2225"/>
      <c r="F12" s="2225"/>
      <c r="G12" s="2226"/>
      <c r="H12" s="2226"/>
      <c r="I12" s="2226"/>
      <c r="J12" s="2227"/>
      <c r="K12" s="1279"/>
      <c r="L12" s="2228" t="s">
        <v>2689</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88"/>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hidden="1">
      <c r="A13" s="3394"/>
      <c r="B13" s="2229" t="s">
        <v>2691</v>
      </c>
      <c r="C13" s="2230" t="s">
        <v>2692</v>
      </c>
      <c r="D13" s="1535" t="s">
        <v>2693</v>
      </c>
      <c r="E13" s="1535" t="s">
        <v>2694</v>
      </c>
      <c r="F13" s="30" t="s">
        <v>2695</v>
      </c>
      <c r="G13" s="2231" t="s">
        <v>2696</v>
      </c>
      <c r="H13" s="2231" t="s">
        <v>2696</v>
      </c>
      <c r="I13" s="2231" t="s">
        <v>2696</v>
      </c>
      <c r="J13" s="2232" t="s">
        <v>2696</v>
      </c>
      <c r="K13" s="1279"/>
      <c r="L13" s="1279"/>
      <c r="M13" s="1279"/>
      <c r="N13" s="1279"/>
      <c r="O13" s="1279"/>
      <c r="P13" s="1279"/>
      <c r="Q13" s="1279"/>
      <c r="R13" s="1373">
        <v>12</v>
      </c>
      <c r="S13" s="1374"/>
      <c r="T13" s="1373">
        <f t="shared" ca="1" si="0"/>
        <v>0</v>
      </c>
      <c r="U13" s="1374"/>
      <c r="V13" s="1373">
        <f t="shared" ca="1" si="1"/>
        <v>0</v>
      </c>
      <c r="W13" s="3388"/>
      <c r="X13" s="1387"/>
      <c r="Y13" s="1384">
        <f>(-0.163*(Y12^2)-0.59*Y12+7617)*(10^(-4))/Y11</f>
        <v>0.52531034482758621</v>
      </c>
      <c r="Z13" s="1384">
        <f t="shared" ref="Z13:AJ13" si="5">(-0.163*(Z12^2)-0.59*Z12+7617)*(10^(-4))/Z11</f>
        <v>0.52531034482758621</v>
      </c>
      <c r="AA13" s="1384">
        <f t="shared" si="5"/>
        <v>0.52531034482758621</v>
      </c>
      <c r="AB13" s="1384">
        <f t="shared" si="5"/>
        <v>0.52531034482758621</v>
      </c>
      <c r="AC13" s="1384">
        <f t="shared" si="5"/>
        <v>0.52531034482758621</v>
      </c>
      <c r="AD13" s="1384">
        <f t="shared" si="5"/>
        <v>0.52531034482758621</v>
      </c>
      <c r="AE13" s="1384">
        <f t="shared" si="5"/>
        <v>0.52531034482758621</v>
      </c>
      <c r="AF13" s="1384">
        <f t="shared" si="5"/>
        <v>0.52531034482758621</v>
      </c>
      <c r="AG13" s="1384">
        <f t="shared" si="5"/>
        <v>0.52531034482758621</v>
      </c>
      <c r="AH13" s="1384">
        <f t="shared" si="5"/>
        <v>0.52531034482758621</v>
      </c>
      <c r="AI13" s="1384">
        <f t="shared" si="5"/>
        <v>0.52531034482758621</v>
      </c>
      <c r="AJ13" s="1384">
        <f t="shared" si="5"/>
        <v>0.52531034482758621</v>
      </c>
    </row>
    <row r="14" spans="1:36" ht="15" hidden="1">
      <c r="A14" s="3394"/>
      <c r="B14" s="2233"/>
      <c r="C14" s="2234"/>
      <c r="D14" s="2235"/>
      <c r="E14" s="2235"/>
      <c r="F14" s="2236"/>
      <c r="G14" s="2237" t="s">
        <v>2697</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hidden="1" thickBot="1">
      <c r="A15" s="3395"/>
      <c r="B15" s="2241" t="s">
        <v>2698</v>
      </c>
      <c r="C15" s="193">
        <f>IF(C14="有",1.1,1)</f>
        <v>1</v>
      </c>
      <c r="D15" s="193">
        <f>IF(D14="有",1.1,1)</f>
        <v>1</v>
      </c>
      <c r="E15" s="193">
        <f>IF(E14="有",1.1,1)</f>
        <v>1</v>
      </c>
      <c r="F15" s="193">
        <f>IF(F14="500米范围内",1.2,IF(F14="500-1000米",1.1,1))</f>
        <v>1</v>
      </c>
      <c r="G15" s="883">
        <v>1</v>
      </c>
      <c r="H15" s="883">
        <v>1</v>
      </c>
      <c r="I15" s="883">
        <v>1</v>
      </c>
      <c r="J15" s="884">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370" t="s">
        <v>2703</v>
      </c>
      <c r="B16" s="2210" t="s">
        <v>2704</v>
      </c>
      <c r="C16" s="2372">
        <f>ROUND(IF(F17="与级别开发程度一致",0,(G17-E17)/C17),0)</f>
        <v>0</v>
      </c>
      <c r="D16" s="3383" t="s">
        <v>2708</v>
      </c>
      <c r="E16" s="3384"/>
      <c r="F16" s="3383" t="s">
        <v>2705</v>
      </c>
      <c r="G16" s="3384"/>
      <c r="H16" s="2242"/>
      <c r="I16" s="2242"/>
      <c r="J16" s="2376"/>
      <c r="K16" s="2242"/>
      <c r="L16" s="2242"/>
      <c r="M16" s="2242"/>
      <c r="N16" s="2242"/>
      <c r="O16" s="2243"/>
      <c r="P16" s="2184"/>
      <c r="Q16" s="1279"/>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371"/>
      <c r="B17" s="2383" t="s">
        <v>2707</v>
      </c>
      <c r="C17" s="2384">
        <f>SUMPRODUCT((修正!A2:A5=E2)*(修正!B1:M1=G2)*(修正!B2:M5))</f>
        <v>2</v>
      </c>
      <c r="D17" s="193" t="str">
        <f>IF(OR(G2="八级",G2="九级",G2="十级",G2="十一级",G2="十二级"),"五通一平","七通一平")</f>
        <v>五通一平</v>
      </c>
      <c r="E17" s="2373">
        <f>SUMPRODUCT((修正!B1:M1=G2)*(修正!B15:M15))</f>
        <v>155</v>
      </c>
      <c r="F17" s="2374" t="s">
        <v>3080</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9.25" thickBot="1">
      <c r="A19" s="2247" t="s">
        <v>809</v>
      </c>
      <c r="B19" s="2248" t="s">
        <v>2711</v>
      </c>
      <c r="C19" s="863">
        <f>ROUND(IF(H19="按公示增长率计算",SUMPRODUCT((地价!A3:A32=YEAR(G19)&amp;"-"&amp;ROUNDUP(MONTH(G19)/3,0))*(地价!X2:AB2=E2)*(地价!X3:AB32)),IF(H19="地价指数",M20/M19,(1+I19)^O19)),4)</f>
        <v>1.3420000000000001</v>
      </c>
      <c r="D19" s="2252" t="s">
        <v>2712</v>
      </c>
      <c r="E19" s="864">
        <v>41640</v>
      </c>
      <c r="F19" s="2252" t="s">
        <v>2713</v>
      </c>
      <c r="G19" s="865">
        <f>'数据-取费表'!B2</f>
        <v>44166</v>
      </c>
      <c r="H19" s="2253" t="s">
        <v>3081</v>
      </c>
      <c r="I19" s="866" t="str">
        <f>IF(H19="季度增幅（自定义）",SUMIF(N21:N24,E2,O21:O24),"")</f>
        <v/>
      </c>
      <c r="J19" s="2250"/>
      <c r="K19" s="1286"/>
      <c r="L19" s="2254" t="s">
        <v>2714</v>
      </c>
      <c r="M19" s="1497">
        <f>ROUND(SUMIF(地价!B2:F2,E2,地价!B32:F32),0)</f>
        <v>258</v>
      </c>
      <c r="N19" s="2255" t="s">
        <v>2715</v>
      </c>
      <c r="O19" s="867">
        <f>ROUNDDOWN(DATEDIF(E19,G19,"M")/3,0)</f>
        <v>27</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2716</v>
      </c>
      <c r="C20" s="868">
        <f ca="1">ROUND(POWER(1+G20,J20-I20)*(POWER(1+G20,I20)-1)/(POWER(1+G20,J20)-1),4)</f>
        <v>0.96</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42.48</v>
      </c>
      <c r="J20" s="875">
        <f>IF(E2="住宅",70,IF(E2="商业",40,50))</f>
        <v>50</v>
      </c>
      <c r="K20" s="1286"/>
      <c r="L20" s="2260" t="s">
        <v>2719</v>
      </c>
      <c r="M20" s="1498">
        <f>ROUND(SUMPRODUCT((地价!A4:A32=YEAR(G19)&amp;"-"&amp;ROUNDUP(MONTH(G19)/3,0))*(地价!B2:F2=E2)*(地价!B4:F32)),0)</f>
        <v>346</v>
      </c>
      <c r="N20" s="2261" t="s">
        <v>2720</v>
      </c>
      <c r="O20" s="2262" t="s">
        <v>2721</v>
      </c>
      <c r="P20" s="2263" t="s">
        <v>2722</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3082</v>
      </c>
      <c r="C21" s="876">
        <f>IF(B21="容积率修正",IF(G3&lt;=10,D22,J22),C23)</f>
        <v>1.1081000000000001</v>
      </c>
      <c r="D21" s="2266"/>
      <c r="E21" s="2266"/>
      <c r="F21" s="2266"/>
      <c r="G21" s="2266"/>
      <c r="H21" s="2266"/>
      <c r="I21" s="2266"/>
      <c r="J21" s="2267"/>
      <c r="K21" s="1286"/>
      <c r="L21" s="3020"/>
      <c r="M21" s="3020"/>
      <c r="N21" s="2268" t="s">
        <v>2723</v>
      </c>
      <c r="O21" s="1334"/>
      <c r="P21" s="1335">
        <f>SUMPRODUCT((地价!A3:A32=YEAR(G19)&amp;"-"&amp;ROUNDUP(MONTH(G19)/3,0))*(地价!AD2:AH2=N21)*(地价!AD3:AH32))</f>
        <v>1.14E-2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2724</v>
      </c>
      <c r="B22" s="2269" t="s">
        <v>2725</v>
      </c>
      <c r="C22" s="1537" t="s">
        <v>2726</v>
      </c>
      <c r="D22" s="1537">
        <f>IF(E22=G22,F22,IF(G3&lt;=10,ROUND(F22+(H22-F22)*(G3-E22)/(G22-E22),4),"——"))</f>
        <v>1.1081000000000001</v>
      </c>
      <c r="E22" s="855">
        <f>ROUNDDOWN(G3,1)</f>
        <v>1.4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1.1200000000000001</v>
      </c>
      <c r="G22" s="855">
        <f>ROUNDUP(G3,1)</f>
        <v>1.5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1.0961000000000001</v>
      </c>
      <c r="I22" s="1537" t="s">
        <v>155</v>
      </c>
      <c r="J22" s="877" t="str">
        <f>IF(G3&gt;10,D113,"——")</f>
        <v>——</v>
      </c>
      <c r="K22" s="1286"/>
      <c r="L22" s="3020"/>
      <c r="M22" s="3020"/>
      <c r="N22" s="2268" t="s">
        <v>2727</v>
      </c>
      <c r="O22" s="1334"/>
      <c r="P22" s="1335">
        <f>SUMPRODUCT((地价!A3:A32=YEAR(G19)&amp;"-"&amp;ROUNDUP(MONTH(G19)/3,0))*(地价!AD2:AH2=N22)*(地价!AD3:AH32))</f>
        <v>1.14E-2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2730</v>
      </c>
      <c r="O23" s="1334"/>
      <c r="P23" s="1335">
        <f>SUMPRODUCT((地价!A3:A32=YEAR(G19)&amp;"-"&amp;ROUNDUP(MONTH(G19)/3,0))*(地价!AD2:AH2=N23)*(地价!AD3:AH32))</f>
        <v>1.9199999999999998E-2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2731</v>
      </c>
      <c r="C24" s="863">
        <f>SUMIF(A45:A88,E2,B45:B88)</f>
        <v>1.0233000000000001</v>
      </c>
      <c r="D24" s="2249"/>
      <c r="E24" s="2276"/>
      <c r="F24" s="2276"/>
      <c r="G24" s="2276"/>
      <c r="H24" s="2276"/>
      <c r="I24" s="2276"/>
      <c r="J24" s="2277"/>
      <c r="K24" s="1286"/>
      <c r="L24" s="3020"/>
      <c r="M24" s="3020"/>
      <c r="N24" s="2278" t="s">
        <v>2732</v>
      </c>
      <c r="O24" s="1336"/>
      <c r="P24" s="1337">
        <f>SUMPRODUCT((地价!A3:A32=YEAR(G19)&amp;"-"&amp;ROUNDUP(MONTH(G19)/3,0))*(地价!AD2:AH2=N24)*(地价!AD3:AH32))</f>
        <v>1.23E-2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2733</v>
      </c>
      <c r="C25" s="869"/>
      <c r="D25" s="2213"/>
      <c r="E25" s="2213"/>
      <c r="F25" s="2280"/>
      <c r="G25" s="2213"/>
      <c r="H25" s="2213"/>
      <c r="I25" s="2213"/>
      <c r="J25" s="2214"/>
      <c r="K25" s="1279"/>
      <c r="L25" s="2184"/>
      <c r="M25" s="2184"/>
      <c r="N25" s="3015" t="s">
        <v>2734</v>
      </c>
      <c r="O25" s="3016"/>
      <c r="P25" s="3017">
        <f>SUMPRODUCT((地价!A3:A32=YEAR(G19)&amp;"-"&amp;ROUNDUP(MONTH(G19)/3,0))*(地价!AD2:AH2=N25)*(地价!AD3:AH32))</f>
        <v>1.7399999999999999E-2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2735</v>
      </c>
      <c r="C26" s="2543">
        <f ca="1">IF(B21="容积率修正",E29+SUM(E33:E39),SUM(V2:V16)+SUM(E33:E39))</f>
        <v>6421</v>
      </c>
      <c r="D26" s="2282"/>
      <c r="E26" s="2238"/>
      <c r="F26" s="2283"/>
      <c r="G26" s="2238"/>
      <c r="H26" s="2238"/>
      <c r="I26" s="2238"/>
      <c r="J26" s="2284"/>
      <c r="K26" s="1279"/>
      <c r="L26" s="3018" t="s">
        <v>2635</v>
      </c>
      <c r="M26" s="2211" t="s">
        <v>2699</v>
      </c>
      <c r="N26" s="2211" t="s">
        <v>2700</v>
      </c>
      <c r="O26" s="2211" t="s">
        <v>2701</v>
      </c>
      <c r="P26" s="3019" t="s">
        <v>2702</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2736</v>
      </c>
      <c r="C27" s="870">
        <f ca="1">E30+SUM(I33:I39)</f>
        <v>69</v>
      </c>
      <c r="D27" s="2286"/>
      <c r="E27" s="2287"/>
      <c r="F27" s="2288"/>
      <c r="G27" s="2287"/>
      <c r="H27" s="2287"/>
      <c r="I27" s="2287"/>
      <c r="J27" s="2289"/>
      <c r="K27" s="1279"/>
      <c r="L27" s="2244"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79"/>
      <c r="L28" s="2245"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2741</v>
      </c>
      <c r="C29" s="180">
        <f ca="1">ROUND(C5*C18*C19*C20*C21*C24,0)</f>
        <v>7652</v>
      </c>
      <c r="D29" s="2297">
        <f>'数据-汇总表'!F19</f>
        <v>8033.74</v>
      </c>
      <c r="E29" s="879">
        <f ca="1">ROUND(C29*D29/10000,0)</f>
        <v>6147</v>
      </c>
      <c r="F29" s="2298" t="s">
        <v>2742</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2743</v>
      </c>
      <c r="C30" s="193">
        <f ca="1">ROUND(IF(E2="工业",C29*M39,C29*M38),0)</f>
        <v>1913</v>
      </c>
      <c r="D30" s="2303"/>
      <c r="E30" s="879">
        <f ca="1">ROUND(C30*D30/10000,0)</f>
        <v>0</v>
      </c>
      <c r="F30" s="2304" t="s">
        <v>2744</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2745</v>
      </c>
      <c r="C31" s="2309" t="s">
        <v>2746</v>
      </c>
      <c r="D31" s="2226"/>
      <c r="E31" s="2309"/>
      <c r="F31" s="2309"/>
      <c r="G31" s="2224" t="s">
        <v>2747</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80"/>
      <c r="B33" s="2313" t="s">
        <v>2749</v>
      </c>
      <c r="C33" s="180">
        <f ca="1">ROUND(D5*C19*C20*C24*F33,0)</f>
        <v>4604</v>
      </c>
      <c r="D33" s="2297"/>
      <c r="E33" s="176">
        <f ca="1">ROUND(C33*D33/10000,0)</f>
        <v>0</v>
      </c>
      <c r="F33" s="176">
        <f>SUMIF(修正!A45:A56,G2,修正!B45:B56)</f>
        <v>0.6</v>
      </c>
      <c r="G33" s="176">
        <f t="shared" ref="G33" ca="1" si="6">ROUND(IF(E2="工业",C33*$M$39,C33*$M$38),0)</f>
        <v>1151</v>
      </c>
      <c r="H33" s="176">
        <f>D33</f>
        <v>0</v>
      </c>
      <c r="I33" s="176">
        <f ca="1">ROUND(G33*H33/10000,0)</f>
        <v>0</v>
      </c>
      <c r="J33" s="3385"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81"/>
      <c r="B34" s="2230" t="s">
        <v>2750</v>
      </c>
      <c r="C34" s="180">
        <f ca="1">ROUND(D5*C19*C20*C24*F34,0)</f>
        <v>2302</v>
      </c>
      <c r="D34" s="2297"/>
      <c r="E34" s="176">
        <f t="shared" ref="E34:E39" ca="1" si="7">ROUND(C34*D34/10000,0)</f>
        <v>0</v>
      </c>
      <c r="F34" s="176">
        <f>SUMIF(修正!A45:A56,G2,修正!C45:C56)</f>
        <v>0.3</v>
      </c>
      <c r="G34" s="176">
        <f ca="1">ROUND(IF(E2="工业",C34*$M$39,C34*$M$38),0)</f>
        <v>576</v>
      </c>
      <c r="H34" s="176">
        <f t="shared" ref="H34:H39" si="8">D34</f>
        <v>0</v>
      </c>
      <c r="I34" s="176">
        <f t="shared" ref="I34:I39" ca="1" si="9">ROUND(G34*H34/10000,0)</f>
        <v>0</v>
      </c>
      <c r="J34" s="338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81"/>
      <c r="B35" s="2230" t="s">
        <v>2751</v>
      </c>
      <c r="C35" s="180">
        <f ca="1">ROUND(D5*C19*C20*C24*F35,0)</f>
        <v>1535</v>
      </c>
      <c r="D35" s="2297"/>
      <c r="E35" s="176">
        <f t="shared" ca="1" si="7"/>
        <v>0</v>
      </c>
      <c r="F35" s="176">
        <f>SUMIF(修正!A45:A56,G2,修正!D45:D56)</f>
        <v>0.2</v>
      </c>
      <c r="G35" s="176">
        <f ca="1">ROUND(IF(E2="工业",C35*$M$39,C35*$M$38),0)</f>
        <v>384</v>
      </c>
      <c r="H35" s="176">
        <f t="shared" si="8"/>
        <v>0</v>
      </c>
      <c r="I35" s="176">
        <f t="shared" ca="1" si="9"/>
        <v>0</v>
      </c>
      <c r="J35" s="338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82"/>
      <c r="B36" s="2230" t="s">
        <v>2752</v>
      </c>
      <c r="C36" s="180">
        <f ca="1">ROUND(D5*C19*C20*C24*F36,0)</f>
        <v>1535</v>
      </c>
      <c r="D36" s="2297"/>
      <c r="E36" s="176">
        <f t="shared" ca="1" si="7"/>
        <v>0</v>
      </c>
      <c r="F36" s="176">
        <f>SUMIF(修正!A45:A56,G2,修正!E45:E56)</f>
        <v>0.2</v>
      </c>
      <c r="G36" s="176">
        <f ca="1">ROUND(IF(E2="工业",C36*$M$39,C36*$M$38),0)</f>
        <v>384</v>
      </c>
      <c r="H36" s="176">
        <f t="shared" si="8"/>
        <v>0</v>
      </c>
      <c r="I36" s="176">
        <f t="shared" ca="1" si="9"/>
        <v>0</v>
      </c>
      <c r="J36" s="3382"/>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2753</v>
      </c>
      <c r="C37" s="176">
        <f ca="1">ROUND(D5*C19*C20*C24*F37,0)</f>
        <v>1535</v>
      </c>
      <c r="D37" s="2297">
        <f>'数据-汇总表'!G19</f>
        <v>1786.82</v>
      </c>
      <c r="E37" s="176">
        <f t="shared" ca="1" si="7"/>
        <v>274</v>
      </c>
      <c r="F37" s="180">
        <f>SUMIF(修正!A45:A56,G2,修正!F45:F56)</f>
        <v>0.2</v>
      </c>
      <c r="G37" s="176">
        <f ca="1">ROUND(IF(E2="工业",C37*$M$39,C37*$M$38),0)</f>
        <v>384</v>
      </c>
      <c r="H37" s="176">
        <f t="shared" si="8"/>
        <v>1786.82</v>
      </c>
      <c r="I37" s="176">
        <f t="shared" ca="1" si="9"/>
        <v>69</v>
      </c>
      <c r="J37" s="2314"/>
      <c r="K37" s="1279"/>
      <c r="L37" s="2316" t="s">
        <v>2754</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2755</v>
      </c>
      <c r="C38" s="176">
        <f ca="1">ROUND(D5*C19*C41*C24*F38,0)</f>
        <v>0</v>
      </c>
      <c r="D38" s="2297"/>
      <c r="E38" s="176">
        <f t="shared" ca="1" si="7"/>
        <v>0</v>
      </c>
      <c r="F38" s="180">
        <f>SUMIF(修正!A45:A56,G2,修正!G45:G56)</f>
        <v>0.2</v>
      </c>
      <c r="G38" s="176">
        <f ca="1">ROUND(IF(E2="工业",C38*$M$39,C38*$M$38),0)</f>
        <v>0</v>
      </c>
      <c r="H38" s="176">
        <f t="shared" si="8"/>
        <v>0</v>
      </c>
      <c r="I38" s="176">
        <f t="shared" ca="1" si="9"/>
        <v>0</v>
      </c>
      <c r="J38" s="2314"/>
      <c r="K38" s="1279"/>
      <c r="L38" s="1606" t="s">
        <v>2756</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2757</v>
      </c>
      <c r="C39" s="193">
        <f ca="1">ROUND(D5*C19*C41*C24*F39,0)</f>
        <v>0</v>
      </c>
      <c r="D39" s="2303"/>
      <c r="E39" s="193">
        <f t="shared" ca="1" si="7"/>
        <v>0</v>
      </c>
      <c r="F39" s="871">
        <f>SUMIF(修正!A45:A56,G2,修正!H45:H56)</f>
        <v>0.15</v>
      </c>
      <c r="G39" s="193">
        <f ca="1">ROUND(IF(E2="工业",C39*$M$39,C39*$M$38),0)</f>
        <v>0</v>
      </c>
      <c r="H39" s="193">
        <f t="shared" si="8"/>
        <v>0</v>
      </c>
      <c r="I39" s="193">
        <f t="shared" ca="1" si="9"/>
        <v>0</v>
      </c>
      <c r="J39" s="2320"/>
      <c r="K39" s="1279"/>
      <c r="L39" s="2321" t="s">
        <v>2702</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2861</v>
      </c>
      <c r="C41" s="348">
        <f ca="1">ROUND(POWER(1+E41,H41-G41)*(POWER(1+E41,G41)-1)/(POWER(1+E41,H41)-1),4)</f>
        <v>0</v>
      </c>
      <c r="D41" s="176" t="s">
        <v>2709</v>
      </c>
      <c r="E41" s="2370">
        <f ca="1">G20</f>
        <v>5.1999999999999998E-2</v>
      </c>
      <c r="F41" s="176" t="s">
        <v>2718</v>
      </c>
      <c r="G41" s="189"/>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2758</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2759</v>
      </c>
      <c r="B46" s="2327">
        <f>1+E48</f>
        <v>1</v>
      </c>
      <c r="C46" s="2328"/>
      <c r="D46" s="753"/>
      <c r="E46" s="754"/>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2760</v>
      </c>
      <c r="B47" s="1536" t="s">
        <v>2761</v>
      </c>
      <c r="C47" s="1536" t="s">
        <v>2762</v>
      </c>
      <c r="D47" s="1536" t="s">
        <v>2763</v>
      </c>
      <c r="E47" s="758" t="s">
        <v>2764</v>
      </c>
      <c r="F47" s="2331" t="s">
        <v>2765</v>
      </c>
      <c r="G47" s="1536" t="s">
        <v>754</v>
      </c>
      <c r="H47" s="2332" t="s">
        <v>2766</v>
      </c>
      <c r="I47" s="1536" t="s">
        <v>2767</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30" t="s">
        <v>2768</v>
      </c>
      <c r="B48" s="2333" t="str">
        <f>估价对象房地状况!C4</f>
        <v>估价对象位于XX商圈，周边商业氛围成熟，人流量大，商业繁华度好</v>
      </c>
      <c r="C48" s="2235"/>
      <c r="D48" s="1195">
        <f t="shared" ref="D48:D56" si="10">SUMIF($J$47:$N$47,C48,J48:N48)</f>
        <v>0</v>
      </c>
      <c r="E48" s="760">
        <f>ROUND(SUM(D48:D56),4)</f>
        <v>0</v>
      </c>
      <c r="F48" s="2001"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2769</v>
      </c>
      <c r="B49" s="2334" t="str">
        <f>估价对象房地状况!C18</f>
        <v>估价对象周边道路状况、公共交通通达情况、停车便捷程度，综合评价交通便捷度较好</v>
      </c>
      <c r="C49" s="2235"/>
      <c r="D49" s="1195">
        <f t="shared" si="10"/>
        <v>0</v>
      </c>
      <c r="E49" s="761"/>
      <c r="F49" s="2001"/>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2770</v>
      </c>
      <c r="B50" s="2334">
        <f>估价对象房地状况!C19</f>
        <v>0</v>
      </c>
      <c r="C50" s="2235"/>
      <c r="D50" s="1195">
        <f t="shared" si="10"/>
        <v>0</v>
      </c>
      <c r="E50" s="761"/>
      <c r="F50" s="2001"/>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2771</v>
      </c>
      <c r="B51" s="2335" t="s">
        <v>2772</v>
      </c>
      <c r="C51" s="2235"/>
      <c r="D51" s="1195">
        <f t="shared" si="10"/>
        <v>0</v>
      </c>
      <c r="E51" s="761"/>
      <c r="F51" s="2001"/>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2773</v>
      </c>
      <c r="B52" s="2334">
        <f>估价对象房地状况!C24</f>
        <v>0</v>
      </c>
      <c r="C52" s="2235"/>
      <c r="D52" s="1195">
        <f t="shared" si="10"/>
        <v>0</v>
      </c>
      <c r="E52" s="761"/>
      <c r="F52" s="2001"/>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2774</v>
      </c>
      <c r="B53" s="2336" t="s">
        <v>2775</v>
      </c>
      <c r="C53" s="2235"/>
      <c r="D53" s="1195">
        <f t="shared" si="10"/>
        <v>0</v>
      </c>
      <c r="E53" s="761"/>
      <c r="F53" s="2001"/>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2776</v>
      </c>
      <c r="B54" s="1495" t="str">
        <f>估价对象房地状况!C21</f>
        <v>估价对象所在区域公共配套设施齐备情况</v>
      </c>
      <c r="C54" s="2235"/>
      <c r="D54" s="1195">
        <f t="shared" si="10"/>
        <v>0</v>
      </c>
      <c r="E54" s="761"/>
      <c r="F54" s="2001"/>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2777</v>
      </c>
      <c r="B55" s="2334" t="str">
        <f>估价对象房地状况!C22</f>
        <v>估价对象所在区域基础设施水平</v>
      </c>
      <c r="C55" s="2235"/>
      <c r="D55" s="1195">
        <f t="shared" si="10"/>
        <v>0</v>
      </c>
      <c r="E55" s="761"/>
      <c r="F55" s="2001"/>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2778</v>
      </c>
      <c r="B56" s="2339" t="str">
        <f>估价对象房地状况!C20</f>
        <v>区域自然环境：；人文环境；综合评价环境状况一般</v>
      </c>
      <c r="C56" s="2235"/>
      <c r="D56" s="1195">
        <f t="shared" si="10"/>
        <v>0</v>
      </c>
      <c r="E56" s="764"/>
      <c r="F56" s="2001"/>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2779</v>
      </c>
      <c r="B57" s="2327">
        <f>1+E59</f>
        <v>1.0233000000000001</v>
      </c>
      <c r="C57" s="753"/>
      <c r="D57" s="753"/>
      <c r="E57" s="754"/>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2760</v>
      </c>
      <c r="B58" s="1536"/>
      <c r="C58" s="1536" t="s">
        <v>2762</v>
      </c>
      <c r="D58" s="1536" t="s">
        <v>2763</v>
      </c>
      <c r="E58" s="758" t="s">
        <v>2764</v>
      </c>
      <c r="F58" s="2331" t="s">
        <v>2780</v>
      </c>
      <c r="G58" s="1536" t="s">
        <v>754</v>
      </c>
      <c r="H58" s="2332" t="s">
        <v>2766</v>
      </c>
      <c r="I58" s="1536" t="s">
        <v>2767</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30" t="s">
        <v>2781</v>
      </c>
      <c r="B59" s="2333" t="str">
        <f>估价对象房地状况!C17</f>
        <v>估价对象位于XX商圈，周边办公楼项目较多，入驻率高，办公集聚程度较好</v>
      </c>
      <c r="C59" s="2235" t="s">
        <v>3183</v>
      </c>
      <c r="D59" s="1195">
        <f t="shared" ref="D59:D67" si="15">SUMIF($J$58:$N$58,C59,J59:N59)</f>
        <v>1.7999999999999999E-2</v>
      </c>
      <c r="E59" s="760">
        <f>ROUND(SUM(D59:D67),4)</f>
        <v>2.3300000000000001E-2</v>
      </c>
      <c r="F59" s="2001">
        <f>IF(E2="办公",SUMIF(L1:L12,G2,N1:N12),"——")</f>
        <v>0.15</v>
      </c>
      <c r="G59" s="1193">
        <v>1.7999999999999999E-2</v>
      </c>
      <c r="H59" s="1197">
        <f t="shared" ref="H59:H67" si="16">IFERROR(ROUNDDOWN($F$59*I59/2,4),"——")</f>
        <v>1.7999999999999999E-2</v>
      </c>
      <c r="I59" s="759">
        <v>0.24</v>
      </c>
      <c r="J59" s="1194">
        <f t="shared" ref="J59:J67" si="17">K59+$G59</f>
        <v>3.5999999999999997E-2</v>
      </c>
      <c r="K59" s="1194">
        <f t="shared" ref="K59:K67" si="18">$L59+$G59</f>
        <v>1.7999999999999999E-2</v>
      </c>
      <c r="L59" s="1194">
        <v>0</v>
      </c>
      <c r="M59" s="1194">
        <f t="shared" ref="M59:N67" si="19">L59-$G59</f>
        <v>-1.7999999999999999E-2</v>
      </c>
      <c r="N59" s="1194">
        <f t="shared" si="19"/>
        <v>-3.5999999999999997E-2</v>
      </c>
      <c r="AA59" s="1280"/>
      <c r="AB59" s="1280"/>
      <c r="AC59" s="1280"/>
      <c r="AD59" s="1280"/>
      <c r="AE59" s="1280"/>
      <c r="AF59" s="1280"/>
      <c r="AG59" s="1280"/>
      <c r="AH59" s="1280"/>
      <c r="AI59" s="1280"/>
      <c r="AJ59" s="1280"/>
      <c r="AK59" s="1280"/>
    </row>
    <row r="60" spans="1:37" s="1279" customFormat="1" ht="51">
      <c r="A60" s="2330" t="s">
        <v>2769</v>
      </c>
      <c r="B60" s="2334" t="str">
        <f>估价对象房地状况!C18</f>
        <v>估价对象周边道路状况、公共交通通达情况、停车便捷程度，综合评价交通便捷度较好</v>
      </c>
      <c r="C60" s="2235" t="s">
        <v>3248</v>
      </c>
      <c r="D60" s="1195">
        <f t="shared" si="15"/>
        <v>0</v>
      </c>
      <c r="E60" s="761"/>
      <c r="F60" s="2001"/>
      <c r="G60" s="1193">
        <v>2.2499999999999999E-2</v>
      </c>
      <c r="H60" s="1197">
        <f t="shared" si="16"/>
        <v>2.2499999999999999E-2</v>
      </c>
      <c r="I60" s="759">
        <v>0.3</v>
      </c>
      <c r="J60" s="1194">
        <f t="shared" si="17"/>
        <v>4.4999999999999998E-2</v>
      </c>
      <c r="K60" s="1194">
        <f t="shared" si="18"/>
        <v>2.2499999999999999E-2</v>
      </c>
      <c r="L60" s="1194">
        <v>0</v>
      </c>
      <c r="M60" s="1194">
        <f t="shared" si="19"/>
        <v>-2.2499999999999999E-2</v>
      </c>
      <c r="N60" s="1194">
        <f t="shared" si="19"/>
        <v>-4.4999999999999998E-2</v>
      </c>
      <c r="AA60" s="1280"/>
      <c r="AB60" s="1280"/>
      <c r="AC60" s="1280"/>
      <c r="AD60" s="1280"/>
      <c r="AE60" s="1280"/>
      <c r="AF60" s="1280"/>
      <c r="AG60" s="1280"/>
      <c r="AH60" s="1280"/>
      <c r="AI60" s="1280"/>
      <c r="AJ60" s="1280"/>
      <c r="AK60" s="1280"/>
    </row>
    <row r="61" spans="1:37" s="1279" customFormat="1" ht="24">
      <c r="A61" s="2330" t="s">
        <v>2770</v>
      </c>
      <c r="B61" s="2334">
        <f>估价对象房地状况!C19</f>
        <v>0</v>
      </c>
      <c r="C61" s="2235" t="s">
        <v>3183</v>
      </c>
      <c r="D61" s="1195">
        <f t="shared" si="15"/>
        <v>6.0000000000000001E-3</v>
      </c>
      <c r="E61" s="761"/>
      <c r="F61" s="2001"/>
      <c r="G61" s="1193">
        <v>6.0000000000000001E-3</v>
      </c>
      <c r="H61" s="1197">
        <f t="shared" si="16"/>
        <v>6.0000000000000001E-3</v>
      </c>
      <c r="I61" s="759">
        <v>0.08</v>
      </c>
      <c r="J61" s="1194">
        <f t="shared" si="17"/>
        <v>1.2E-2</v>
      </c>
      <c r="K61" s="1194">
        <f t="shared" si="18"/>
        <v>6.0000000000000001E-3</v>
      </c>
      <c r="L61" s="1194">
        <v>0</v>
      </c>
      <c r="M61" s="1194">
        <f t="shared" si="19"/>
        <v>-6.0000000000000001E-3</v>
      </c>
      <c r="N61" s="1194">
        <f t="shared" si="19"/>
        <v>-1.2E-2</v>
      </c>
      <c r="AA61" s="1280"/>
      <c r="AB61" s="1280"/>
      <c r="AC61" s="1280"/>
      <c r="AD61" s="1280"/>
      <c r="AE61" s="1280"/>
      <c r="AF61" s="1280"/>
      <c r="AG61" s="1280"/>
      <c r="AH61" s="1280"/>
      <c r="AI61" s="1280"/>
      <c r="AJ61" s="1280"/>
      <c r="AK61" s="1280"/>
    </row>
    <row r="62" spans="1:37" s="1279" customFormat="1" ht="36.75">
      <c r="A62" s="2330" t="s">
        <v>2771</v>
      </c>
      <c r="B62" s="2335" t="s">
        <v>2772</v>
      </c>
      <c r="C62" s="2235" t="s">
        <v>3183</v>
      </c>
      <c r="D62" s="1195">
        <f t="shared" si="15"/>
        <v>3.0000000000000001E-3</v>
      </c>
      <c r="E62" s="761"/>
      <c r="F62" s="2001"/>
      <c r="G62" s="1193">
        <v>3.0000000000000001E-3</v>
      </c>
      <c r="H62" s="1197">
        <f t="shared" si="16"/>
        <v>3.0000000000000001E-3</v>
      </c>
      <c r="I62" s="759">
        <v>0.04</v>
      </c>
      <c r="J62" s="1194">
        <f t="shared" si="17"/>
        <v>6.0000000000000001E-3</v>
      </c>
      <c r="K62" s="1194">
        <f t="shared" si="18"/>
        <v>3.0000000000000001E-3</v>
      </c>
      <c r="L62" s="1194">
        <v>0</v>
      </c>
      <c r="M62" s="1194">
        <f t="shared" si="19"/>
        <v>-3.0000000000000001E-3</v>
      </c>
      <c r="N62" s="1194">
        <f t="shared" si="19"/>
        <v>-6.0000000000000001E-3</v>
      </c>
      <c r="AA62" s="1280"/>
      <c r="AB62" s="1280"/>
      <c r="AC62" s="1280"/>
      <c r="AD62" s="1280"/>
      <c r="AE62" s="1280"/>
      <c r="AF62" s="1280"/>
      <c r="AG62" s="1280"/>
      <c r="AH62" s="1280"/>
      <c r="AI62" s="1280"/>
      <c r="AJ62" s="1280"/>
      <c r="AK62" s="1280"/>
    </row>
    <row r="63" spans="1:37" s="1279" customFormat="1" ht="24">
      <c r="A63" s="2330" t="s">
        <v>2773</v>
      </c>
      <c r="B63" s="2334">
        <f>估价对象房地状况!C24</f>
        <v>0</v>
      </c>
      <c r="C63" s="2235" t="s">
        <v>3249</v>
      </c>
      <c r="D63" s="1195">
        <f t="shared" si="15"/>
        <v>-7.4000000000000003E-3</v>
      </c>
      <c r="E63" s="761"/>
      <c r="F63" s="2001"/>
      <c r="G63" s="1193">
        <v>3.7000000000000002E-3</v>
      </c>
      <c r="H63" s="1197">
        <f t="shared" si="16"/>
        <v>3.7000000000000002E-3</v>
      </c>
      <c r="I63" s="759">
        <v>0.05</v>
      </c>
      <c r="J63" s="1194">
        <f t="shared" si="17"/>
        <v>7.4000000000000003E-3</v>
      </c>
      <c r="K63" s="1194">
        <f t="shared" si="18"/>
        <v>3.7000000000000002E-3</v>
      </c>
      <c r="L63" s="1194">
        <v>0</v>
      </c>
      <c r="M63" s="1194">
        <f t="shared" si="19"/>
        <v>-3.7000000000000002E-3</v>
      </c>
      <c r="N63" s="1194">
        <f t="shared" si="19"/>
        <v>-7.4000000000000003E-3</v>
      </c>
      <c r="AA63" s="1280"/>
      <c r="AB63" s="1280"/>
      <c r="AC63" s="1280"/>
      <c r="AD63" s="1280"/>
      <c r="AE63" s="1280"/>
      <c r="AF63" s="1280"/>
      <c r="AG63" s="1280"/>
      <c r="AH63" s="1280"/>
      <c r="AI63" s="1280"/>
      <c r="AJ63" s="1280"/>
      <c r="AK63" s="1280"/>
    </row>
    <row r="64" spans="1:37" s="1279" customFormat="1" ht="24">
      <c r="A64" s="2330" t="s">
        <v>2774</v>
      </c>
      <c r="B64" s="2336" t="s">
        <v>2775</v>
      </c>
      <c r="C64" s="2235" t="s">
        <v>3183</v>
      </c>
      <c r="D64" s="1195">
        <f t="shared" si="15"/>
        <v>3.7000000000000002E-3</v>
      </c>
      <c r="E64" s="761"/>
      <c r="F64" s="2001"/>
      <c r="G64" s="1193">
        <v>3.7000000000000002E-3</v>
      </c>
      <c r="H64" s="1197">
        <f t="shared" si="16"/>
        <v>3.7000000000000002E-3</v>
      </c>
      <c r="I64" s="759">
        <v>0.05</v>
      </c>
      <c r="J64" s="1194">
        <f t="shared" si="17"/>
        <v>7.4000000000000003E-3</v>
      </c>
      <c r="K64" s="1194">
        <f t="shared" si="18"/>
        <v>3.7000000000000002E-3</v>
      </c>
      <c r="L64" s="1194">
        <v>0</v>
      </c>
      <c r="M64" s="1194">
        <f t="shared" si="19"/>
        <v>-3.7000000000000002E-3</v>
      </c>
      <c r="N64" s="1194">
        <f t="shared" si="19"/>
        <v>-7.4000000000000003E-3</v>
      </c>
      <c r="AA64" s="1280"/>
      <c r="AB64" s="1280"/>
      <c r="AC64" s="1280"/>
      <c r="AD64" s="1280"/>
      <c r="AE64" s="1280"/>
      <c r="AF64" s="1280"/>
      <c r="AG64" s="1280"/>
      <c r="AH64" s="1280"/>
      <c r="AI64" s="1280"/>
      <c r="AJ64" s="1280"/>
      <c r="AK64" s="1280"/>
    </row>
    <row r="65" spans="1:37" s="1279" customFormat="1" ht="25.5">
      <c r="A65" s="2330" t="s">
        <v>2776</v>
      </c>
      <c r="B65" s="1495" t="str">
        <f>估价对象房地状况!C21</f>
        <v>估价对象所在区域公共配套设施齐备情况</v>
      </c>
      <c r="C65" s="2235" t="s">
        <v>3248</v>
      </c>
      <c r="D65" s="1195">
        <f t="shared" si="15"/>
        <v>0</v>
      </c>
      <c r="E65" s="761"/>
      <c r="F65" s="2001"/>
      <c r="G65" s="1193">
        <v>4.4999999999999997E-3</v>
      </c>
      <c r="H65" s="1197">
        <f t="shared" si="16"/>
        <v>4.4999999999999997E-3</v>
      </c>
      <c r="I65" s="759">
        <v>0.06</v>
      </c>
      <c r="J65" s="1194">
        <f t="shared" si="17"/>
        <v>8.9999999999999993E-3</v>
      </c>
      <c r="K65" s="1194">
        <f t="shared" si="18"/>
        <v>4.4999999999999997E-3</v>
      </c>
      <c r="L65" s="1194">
        <v>0</v>
      </c>
      <c r="M65" s="1194">
        <f t="shared" si="19"/>
        <v>-4.4999999999999997E-3</v>
      </c>
      <c r="N65" s="1194">
        <f t="shared" si="19"/>
        <v>-8.9999999999999993E-3</v>
      </c>
      <c r="AA65" s="1280"/>
      <c r="AB65" s="1280"/>
      <c r="AC65" s="1280"/>
      <c r="AD65" s="1280"/>
      <c r="AE65" s="1280"/>
      <c r="AF65" s="1280"/>
      <c r="AG65" s="1280"/>
      <c r="AH65" s="1280"/>
      <c r="AI65" s="1280"/>
      <c r="AJ65" s="1280"/>
      <c r="AK65" s="1280"/>
    </row>
    <row r="66" spans="1:37" s="1279" customFormat="1" ht="25.5">
      <c r="A66" s="2330" t="s">
        <v>2777</v>
      </c>
      <c r="B66" s="1495" t="str">
        <f>估价对象房地状况!C22</f>
        <v>估价对象所在区域基础设施水平</v>
      </c>
      <c r="C66" s="2235" t="s">
        <v>3248</v>
      </c>
      <c r="D66" s="1195">
        <f t="shared" si="15"/>
        <v>0</v>
      </c>
      <c r="E66" s="761"/>
      <c r="F66" s="2001"/>
      <c r="G66" s="1193">
        <v>8.9999999999999993E-3</v>
      </c>
      <c r="H66" s="1197">
        <f t="shared" si="16"/>
        <v>8.9999999999999993E-3</v>
      </c>
      <c r="I66" s="759">
        <v>0.12</v>
      </c>
      <c r="J66" s="1194">
        <f t="shared" si="17"/>
        <v>1.7999999999999999E-2</v>
      </c>
      <c r="K66" s="1194">
        <f t="shared" si="18"/>
        <v>8.9999999999999993E-3</v>
      </c>
      <c r="L66" s="1194">
        <v>0</v>
      </c>
      <c r="M66" s="1194">
        <f t="shared" si="19"/>
        <v>-8.9999999999999993E-3</v>
      </c>
      <c r="N66" s="1194">
        <f t="shared" si="19"/>
        <v>-1.7999999999999999E-2</v>
      </c>
      <c r="AA66" s="1280"/>
      <c r="AB66" s="1280"/>
      <c r="AC66" s="1280"/>
      <c r="AD66" s="1280"/>
      <c r="AE66" s="1280"/>
      <c r="AF66" s="1280"/>
      <c r="AG66" s="1280"/>
      <c r="AH66" s="1280"/>
      <c r="AI66" s="1280"/>
      <c r="AJ66" s="1280"/>
      <c r="AK66" s="1280"/>
    </row>
    <row r="67" spans="1:37" s="1279" customFormat="1" ht="39" thickBot="1">
      <c r="A67" s="2338" t="s">
        <v>2778</v>
      </c>
      <c r="B67" s="2340" t="str">
        <f>估价对象房地状况!C20</f>
        <v>区域自然环境：；人文环境；综合评价环境状况一般</v>
      </c>
      <c r="C67" s="2235" t="s">
        <v>3248</v>
      </c>
      <c r="D67" s="1195">
        <f t="shared" si="15"/>
        <v>0</v>
      </c>
      <c r="E67" s="764"/>
      <c r="F67" s="2001"/>
      <c r="G67" s="1193">
        <v>4.4999999999999997E-3</v>
      </c>
      <c r="H67" s="1197">
        <f t="shared" si="16"/>
        <v>4.4999999999999997E-3</v>
      </c>
      <c r="I67" s="763">
        <v>0.06</v>
      </c>
      <c r="J67" s="1194">
        <f t="shared" si="17"/>
        <v>8.9999999999999993E-3</v>
      </c>
      <c r="K67" s="1194">
        <f t="shared" si="18"/>
        <v>4.4999999999999997E-3</v>
      </c>
      <c r="L67" s="1194">
        <v>0</v>
      </c>
      <c r="M67" s="1194">
        <f t="shared" si="19"/>
        <v>-4.4999999999999997E-3</v>
      </c>
      <c r="N67" s="1194">
        <f t="shared" si="19"/>
        <v>-8.9999999999999993E-3</v>
      </c>
      <c r="AA67" s="1280"/>
      <c r="AB67" s="1280"/>
      <c r="AC67" s="1280"/>
      <c r="AD67" s="1280"/>
      <c r="AE67" s="1280"/>
      <c r="AF67" s="1280"/>
      <c r="AG67" s="1280"/>
      <c r="AH67" s="1280"/>
      <c r="AI67" s="1280"/>
      <c r="AJ67" s="1280"/>
      <c r="AK67" s="1280"/>
    </row>
    <row r="68" spans="1:37" s="1279" customFormat="1" ht="15">
      <c r="A68" s="2326" t="s">
        <v>2782</v>
      </c>
      <c r="B68" s="2327">
        <f>1+E70</f>
        <v>1</v>
      </c>
      <c r="C68" s="753"/>
      <c r="D68" s="753"/>
      <c r="E68" s="754"/>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2760</v>
      </c>
      <c r="B69" s="1536"/>
      <c r="C69" s="1536" t="s">
        <v>2762</v>
      </c>
      <c r="D69" s="1536" t="s">
        <v>2763</v>
      </c>
      <c r="E69" s="758" t="s">
        <v>2764</v>
      </c>
      <c r="F69" s="2331" t="s">
        <v>2780</v>
      </c>
      <c r="G69" s="1536" t="s">
        <v>754</v>
      </c>
      <c r="H69" s="2332" t="s">
        <v>2766</v>
      </c>
      <c r="I69" s="1536" t="s">
        <v>2767</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30" t="s">
        <v>2783</v>
      </c>
      <c r="B70" s="2333" t="str">
        <f>估价对象房地状况!C15</f>
        <v>估价对象周边居住用地比例、居住小区规模和社区发展完善程度，综合评价居住社区成熟度一般</v>
      </c>
      <c r="C70" s="2235"/>
      <c r="D70" s="1195">
        <f t="shared" ref="D70:D78" si="20">SUMIF($J$69:$N$69,C70,J70:N70)</f>
        <v>0</v>
      </c>
      <c r="E70" s="760">
        <f>ROUND(SUM(D70:D78),4)</f>
        <v>0</v>
      </c>
      <c r="F70" s="2001"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30" t="s">
        <v>2769</v>
      </c>
      <c r="B71" s="2334" t="str">
        <f>估价对象房地状况!C18</f>
        <v>估价对象周边道路状况、公共交通通达情况、停车便捷程度，综合评价交通便捷度较好</v>
      </c>
      <c r="C71" s="2235"/>
      <c r="D71" s="1195">
        <f t="shared" si="20"/>
        <v>0</v>
      </c>
      <c r="E71" s="765"/>
      <c r="F71" s="2001"/>
      <c r="G71" s="1193"/>
      <c r="H71" s="1197" t="str">
        <f t="shared" si="21"/>
        <v>——</v>
      </c>
      <c r="I71" s="759">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2770</v>
      </c>
      <c r="B72" s="2334">
        <f>估价对象房地状况!C19</f>
        <v>0</v>
      </c>
      <c r="C72" s="2235"/>
      <c r="D72" s="1195">
        <f t="shared" si="20"/>
        <v>0</v>
      </c>
      <c r="E72" s="765"/>
      <c r="F72" s="2001"/>
      <c r="G72" s="1193"/>
      <c r="H72" s="1197" t="str">
        <f t="shared" si="21"/>
        <v>——</v>
      </c>
      <c r="I72" s="759">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2784</v>
      </c>
      <c r="B73" s="2334">
        <f>估价对象房地状况!C24</f>
        <v>0</v>
      </c>
      <c r="C73" s="2235"/>
      <c r="D73" s="1195">
        <f t="shared" si="20"/>
        <v>0</v>
      </c>
      <c r="E73" s="765"/>
      <c r="F73" s="2001"/>
      <c r="G73" s="1193"/>
      <c r="H73" s="1197" t="str">
        <f t="shared" si="21"/>
        <v>——</v>
      </c>
      <c r="I73" s="759">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30" t="s">
        <v>2776</v>
      </c>
      <c r="B74" s="1495" t="str">
        <f>估价对象房地状况!C21</f>
        <v>估价对象所在区域公共配套设施齐备情况</v>
      </c>
      <c r="C74" s="2235"/>
      <c r="D74" s="1195">
        <f t="shared" si="20"/>
        <v>0</v>
      </c>
      <c r="E74" s="765"/>
      <c r="F74" s="2001"/>
      <c r="G74" s="1193"/>
      <c r="H74" s="1197" t="str">
        <f t="shared" si="21"/>
        <v>——</v>
      </c>
      <c r="I74" s="759">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30" t="s">
        <v>2777</v>
      </c>
      <c r="B75" s="1495" t="str">
        <f>估价对象房地状况!C22</f>
        <v>估价对象所在区域基础设施水平</v>
      </c>
      <c r="C75" s="2235"/>
      <c r="D75" s="1195">
        <f t="shared" si="20"/>
        <v>0</v>
      </c>
      <c r="E75" s="765"/>
      <c r="F75" s="2001"/>
      <c r="G75" s="1193"/>
      <c r="H75" s="1197" t="str">
        <f t="shared" si="21"/>
        <v>——</v>
      </c>
      <c r="I75" s="759">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2774</v>
      </c>
      <c r="B76" s="2336" t="s">
        <v>2775</v>
      </c>
      <c r="C76" s="2235"/>
      <c r="D76" s="1195">
        <f t="shared" si="20"/>
        <v>0</v>
      </c>
      <c r="E76" s="765"/>
      <c r="F76" s="2001"/>
      <c r="G76" s="1193"/>
      <c r="H76" s="1197" t="str">
        <f t="shared" si="21"/>
        <v>——</v>
      </c>
      <c r="I76" s="759">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c r="A77" s="2330" t="s">
        <v>2778</v>
      </c>
      <c r="B77" s="2333" t="str">
        <f>估价对象房地状况!C20</f>
        <v>区域自然环境：；人文环境；综合评价环境状况一般</v>
      </c>
      <c r="C77" s="2235"/>
      <c r="D77" s="1195">
        <f t="shared" si="20"/>
        <v>0</v>
      </c>
      <c r="E77" s="765"/>
      <c r="F77" s="2001"/>
      <c r="G77" s="1193"/>
      <c r="H77" s="1197" t="str">
        <f t="shared" si="21"/>
        <v>——</v>
      </c>
      <c r="I77" s="759">
        <v>0.15</v>
      </c>
      <c r="J77" s="1194">
        <f t="shared" si="22"/>
        <v>0</v>
      </c>
      <c r="K77" s="1194">
        <f t="shared" si="23"/>
        <v>0</v>
      </c>
      <c r="L77" s="1194">
        <v>0</v>
      </c>
      <c r="M77" s="1194">
        <f t="shared" si="24"/>
        <v>0</v>
      </c>
      <c r="N77" s="1194">
        <f t="shared" si="24"/>
        <v>0</v>
      </c>
      <c r="Z77" s="2185"/>
      <c r="AA77" s="2251"/>
      <c r="AG77" s="1281"/>
      <c r="AK77" s="2251"/>
    </row>
    <row r="78" spans="1:37" ht="24.75" thickBot="1">
      <c r="A78" s="2338" t="s">
        <v>2785</v>
      </c>
      <c r="B78" s="2342"/>
      <c r="C78" s="2235"/>
      <c r="D78" s="1195">
        <f t="shared" si="20"/>
        <v>0</v>
      </c>
      <c r="E78" s="766"/>
      <c r="F78" s="2001"/>
      <c r="G78" s="1193"/>
      <c r="H78" s="1197" t="str">
        <f t="shared" si="21"/>
        <v>——</v>
      </c>
      <c r="I78" s="763">
        <v>0.04</v>
      </c>
      <c r="J78" s="1194">
        <f t="shared" si="22"/>
        <v>0</v>
      </c>
      <c r="K78" s="1194">
        <f t="shared" si="23"/>
        <v>0</v>
      </c>
      <c r="L78" s="1194">
        <v>0</v>
      </c>
      <c r="M78" s="1194">
        <f t="shared" si="24"/>
        <v>0</v>
      </c>
      <c r="N78" s="1194">
        <f t="shared" si="24"/>
        <v>0</v>
      </c>
      <c r="Z78" s="2185"/>
      <c r="AA78" s="2251"/>
      <c r="AG78" s="1281"/>
      <c r="AK78" s="2251"/>
    </row>
    <row r="79" spans="1:37" ht="15">
      <c r="A79" s="2326" t="s">
        <v>2786</v>
      </c>
      <c r="B79" s="2327">
        <f>1+E81</f>
        <v>1</v>
      </c>
      <c r="C79" s="753"/>
      <c r="D79" s="753"/>
      <c r="E79" s="754"/>
      <c r="F79" s="2329"/>
      <c r="G79" s="6"/>
      <c r="H79" s="6"/>
      <c r="I79" s="6"/>
      <c r="J79" s="7"/>
      <c r="K79" s="7"/>
      <c r="L79" s="7"/>
      <c r="M79" s="7"/>
      <c r="N79" s="7"/>
      <c r="Z79" s="2185"/>
      <c r="AA79" s="2251"/>
      <c r="AG79" s="1281"/>
      <c r="AK79" s="2251"/>
    </row>
    <row r="80" spans="1:37" ht="24.75">
      <c r="A80" s="2330" t="s">
        <v>2760</v>
      </c>
      <c r="B80" s="1536"/>
      <c r="C80" s="1536" t="s">
        <v>2762</v>
      </c>
      <c r="D80" s="1536" t="s">
        <v>2763</v>
      </c>
      <c r="E80" s="758" t="s">
        <v>2764</v>
      </c>
      <c r="F80" s="2331" t="s">
        <v>2780</v>
      </c>
      <c r="G80" s="1536" t="s">
        <v>754</v>
      </c>
      <c r="H80" s="2332" t="s">
        <v>2766</v>
      </c>
      <c r="I80" s="1536" t="s">
        <v>2767</v>
      </c>
      <c r="J80" s="560" t="s">
        <v>2419</v>
      </c>
      <c r="K80" s="560" t="s">
        <v>2420</v>
      </c>
      <c r="L80" s="560" t="s">
        <v>2421</v>
      </c>
      <c r="M80" s="560" t="s">
        <v>2422</v>
      </c>
      <c r="N80" s="560" t="s">
        <v>2423</v>
      </c>
      <c r="Z80" s="2185"/>
      <c r="AA80" s="2251"/>
      <c r="AG80" s="1281"/>
      <c r="AK80" s="2251"/>
    </row>
    <row r="81" spans="1:37" ht="38.25">
      <c r="A81" s="2330" t="s">
        <v>2787</v>
      </c>
      <c r="B81" s="2334" t="str">
        <f>估价对象房地状况!G15</f>
        <v>估价对象位于XX开发区，园区建设成熟度XX，产业集聚程度XX</v>
      </c>
      <c r="C81" s="2235"/>
      <c r="D81" s="1195">
        <f t="shared" ref="D81:D88" si="25">SUMIF($J$80:$N$80,C81,J81:N81)</f>
        <v>0</v>
      </c>
      <c r="E81" s="760">
        <f>ROUND(SUM(D81:D88),4)</f>
        <v>0</v>
      </c>
      <c r="F81" s="2001"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2769</v>
      </c>
      <c r="B82" s="2334" t="str">
        <f>估价对象房地状况!G16</f>
        <v>估价对象周边道路状况、公共交通通达情况、停车便捷程度，综合评价交通便捷度较好</v>
      </c>
      <c r="C82" s="2235"/>
      <c r="D82" s="1195">
        <f t="shared" si="25"/>
        <v>0</v>
      </c>
      <c r="E82" s="765"/>
      <c r="F82" s="2001"/>
      <c r="G82" s="1193"/>
      <c r="H82" s="1197" t="str">
        <f t="shared" si="26"/>
        <v>——</v>
      </c>
      <c r="I82" s="759">
        <v>0.33</v>
      </c>
      <c r="J82" s="1194">
        <f t="shared" si="27"/>
        <v>0</v>
      </c>
      <c r="K82" s="1194">
        <f t="shared" si="28"/>
        <v>0</v>
      </c>
      <c r="L82" s="1194">
        <v>0</v>
      </c>
      <c r="M82" s="1194">
        <f t="shared" si="29"/>
        <v>0</v>
      </c>
      <c r="N82" s="1194">
        <f t="shared" si="29"/>
        <v>0</v>
      </c>
      <c r="Z82" s="2185"/>
      <c r="AA82" s="2251"/>
      <c r="AG82" s="1281"/>
      <c r="AK82" s="2251"/>
    </row>
    <row r="83" spans="1:37" ht="24">
      <c r="A83" s="2330" t="s">
        <v>2770</v>
      </c>
      <c r="B83" s="2334">
        <f>估价对象房地状况!G17</f>
        <v>0</v>
      </c>
      <c r="C83" s="2235"/>
      <c r="D83" s="1195">
        <f t="shared" si="25"/>
        <v>0</v>
      </c>
      <c r="E83" s="765"/>
      <c r="F83" s="2001"/>
      <c r="G83" s="1193"/>
      <c r="H83" s="1197" t="str">
        <f t="shared" si="26"/>
        <v>——</v>
      </c>
      <c r="I83" s="759">
        <v>0.05</v>
      </c>
      <c r="J83" s="1194">
        <f t="shared" si="27"/>
        <v>0</v>
      </c>
      <c r="K83" s="1194">
        <f t="shared" si="28"/>
        <v>0</v>
      </c>
      <c r="L83" s="1194">
        <v>0</v>
      </c>
      <c r="M83" s="1194">
        <f t="shared" si="29"/>
        <v>0</v>
      </c>
      <c r="N83" s="1194">
        <f t="shared" si="29"/>
        <v>0</v>
      </c>
      <c r="Z83" s="2185"/>
      <c r="AA83" s="2251"/>
      <c r="AG83" s="1281"/>
      <c r="AK83" s="2251"/>
    </row>
    <row r="84" spans="1:37" ht="14.25">
      <c r="A84" s="2330" t="s">
        <v>2784</v>
      </c>
      <c r="B84" s="2334">
        <f>估价对象房地状况!G22</f>
        <v>0</v>
      </c>
      <c r="C84" s="2235"/>
      <c r="D84" s="1195">
        <f t="shared" si="25"/>
        <v>0</v>
      </c>
      <c r="E84" s="765"/>
      <c r="F84" s="2001"/>
      <c r="G84" s="1193"/>
      <c r="H84" s="1197" t="str">
        <f t="shared" si="26"/>
        <v>——</v>
      </c>
      <c r="I84" s="759">
        <v>0.04</v>
      </c>
      <c r="J84" s="1194">
        <f t="shared" si="27"/>
        <v>0</v>
      </c>
      <c r="K84" s="1194">
        <f t="shared" si="28"/>
        <v>0</v>
      </c>
      <c r="L84" s="1194">
        <v>0</v>
      </c>
      <c r="M84" s="1194">
        <f t="shared" si="29"/>
        <v>0</v>
      </c>
      <c r="N84" s="1194">
        <f t="shared" si="29"/>
        <v>0</v>
      </c>
      <c r="Z84" s="2185"/>
      <c r="AA84" s="2251"/>
      <c r="AG84" s="1281"/>
      <c r="AK84" s="2251"/>
    </row>
    <row r="85" spans="1:37" ht="25.5">
      <c r="A85" s="2330" t="s">
        <v>2776</v>
      </c>
      <c r="B85" s="1495" t="str">
        <f>估价对象房地状况!G19</f>
        <v>估价对象所在区域公共配套设施齐备情况</v>
      </c>
      <c r="C85" s="2235"/>
      <c r="D85" s="1195">
        <f t="shared" si="25"/>
        <v>0</v>
      </c>
      <c r="E85" s="765"/>
      <c r="F85" s="2001"/>
      <c r="G85" s="1193"/>
      <c r="H85" s="1197" t="str">
        <f t="shared" si="26"/>
        <v>——</v>
      </c>
      <c r="I85" s="759">
        <v>0.06</v>
      </c>
      <c r="J85" s="1194">
        <f t="shared" si="27"/>
        <v>0</v>
      </c>
      <c r="K85" s="1194">
        <f t="shared" si="28"/>
        <v>0</v>
      </c>
      <c r="L85" s="1194">
        <v>0</v>
      </c>
      <c r="M85" s="1194">
        <f t="shared" si="29"/>
        <v>0</v>
      </c>
      <c r="N85" s="1194">
        <f t="shared" si="29"/>
        <v>0</v>
      </c>
      <c r="Z85" s="2185"/>
      <c r="AA85" s="2251"/>
      <c r="AG85" s="1281"/>
      <c r="AK85" s="2251"/>
    </row>
    <row r="86" spans="1:37" ht="25.5">
      <c r="A86" s="2330" t="s">
        <v>2777</v>
      </c>
      <c r="B86" s="1495" t="str">
        <f>估价对象房地状况!G20</f>
        <v>估价对象所在区域基础设施水平</v>
      </c>
      <c r="C86" s="2235"/>
      <c r="D86" s="1195">
        <f t="shared" si="25"/>
        <v>0</v>
      </c>
      <c r="E86" s="765"/>
      <c r="F86" s="2001"/>
      <c r="G86" s="1193"/>
      <c r="H86" s="1197" t="str">
        <f t="shared" si="26"/>
        <v>——</v>
      </c>
      <c r="I86" s="759">
        <v>0.15</v>
      </c>
      <c r="J86" s="1194">
        <f t="shared" si="27"/>
        <v>0</v>
      </c>
      <c r="K86" s="1194">
        <f t="shared" si="28"/>
        <v>0</v>
      </c>
      <c r="L86" s="1194">
        <v>0</v>
      </c>
      <c r="M86" s="1194">
        <f t="shared" si="29"/>
        <v>0</v>
      </c>
      <c r="N86" s="1194">
        <f t="shared" si="29"/>
        <v>0</v>
      </c>
      <c r="Z86" s="2185"/>
      <c r="AA86" s="2251"/>
      <c r="AG86" s="1281"/>
      <c r="AK86" s="2251"/>
    </row>
    <row r="87" spans="1:37" ht="24">
      <c r="A87" s="2330" t="s">
        <v>2774</v>
      </c>
      <c r="B87" s="2336" t="s">
        <v>2788</v>
      </c>
      <c r="C87" s="2235"/>
      <c r="D87" s="1195">
        <f t="shared" si="25"/>
        <v>0</v>
      </c>
      <c r="E87" s="765"/>
      <c r="F87" s="2001"/>
      <c r="G87" s="1193"/>
      <c r="H87" s="1197" t="str">
        <f t="shared" si="26"/>
        <v>——</v>
      </c>
      <c r="I87" s="759">
        <v>0.05</v>
      </c>
      <c r="J87" s="1194">
        <f t="shared" si="27"/>
        <v>0</v>
      </c>
      <c r="K87" s="1194">
        <f t="shared" si="28"/>
        <v>0</v>
      </c>
      <c r="L87" s="1194">
        <v>0</v>
      </c>
      <c r="M87" s="1194">
        <f t="shared" si="29"/>
        <v>0</v>
      </c>
      <c r="N87" s="1194">
        <f t="shared" si="29"/>
        <v>0</v>
      </c>
      <c r="Z87" s="2185"/>
      <c r="AA87" s="2251"/>
      <c r="AG87" s="1281"/>
      <c r="AK87" s="2251"/>
    </row>
    <row r="88" spans="1:37" ht="39" thickBot="1">
      <c r="A88" s="2338" t="s">
        <v>2789</v>
      </c>
      <c r="B88" s="2343" t="str">
        <f>估价对象房地状况!G18</f>
        <v>该园区内是否有污染型企业，绿化情况，卫生条件，整体环境状况判断</v>
      </c>
      <c r="C88" s="2235"/>
      <c r="D88" s="1195">
        <f t="shared" si="25"/>
        <v>0</v>
      </c>
      <c r="E88" s="766"/>
      <c r="F88" s="2001"/>
      <c r="G88" s="1193"/>
      <c r="H88" s="1197" t="str">
        <f t="shared" si="26"/>
        <v>——</v>
      </c>
      <c r="I88" s="763">
        <v>0.06</v>
      </c>
      <c r="J88" s="1194">
        <f t="shared" si="27"/>
        <v>0</v>
      </c>
      <c r="K88" s="1194">
        <f t="shared" si="28"/>
        <v>0</v>
      </c>
      <c r="L88" s="1194">
        <v>0</v>
      </c>
      <c r="M88" s="1194">
        <f t="shared" si="29"/>
        <v>0</v>
      </c>
      <c r="N88" s="1194">
        <f t="shared" si="29"/>
        <v>0</v>
      </c>
      <c r="Z88" s="2185"/>
      <c r="AA88" s="2251"/>
      <c r="AG88" s="1281"/>
      <c r="AK88" s="2251"/>
    </row>
    <row r="90" spans="1:37">
      <c r="A90" s="3372" t="s">
        <v>2790</v>
      </c>
      <c r="B90" s="3372"/>
      <c r="C90" s="3372"/>
      <c r="D90" s="3372"/>
      <c r="E90" s="3372"/>
      <c r="F90" s="3372"/>
      <c r="G90" s="3372"/>
      <c r="H90" s="3372"/>
      <c r="I90" s="3372"/>
      <c r="J90" s="3372"/>
      <c r="K90" s="2344"/>
      <c r="L90" s="2344"/>
      <c r="M90" s="2344"/>
      <c r="N90" s="2344"/>
    </row>
    <row r="91" spans="1:37">
      <c r="A91" s="3374" t="s">
        <v>2791</v>
      </c>
      <c r="B91" s="3374" t="s">
        <v>2792</v>
      </c>
      <c r="C91" s="2298" t="s">
        <v>2793</v>
      </c>
      <c r="D91" s="2299"/>
      <c r="E91" s="2299"/>
      <c r="F91" s="2299"/>
      <c r="G91" s="2299"/>
      <c r="H91" s="2299"/>
      <c r="I91" s="2299"/>
      <c r="J91" s="2345"/>
      <c r="K91" s="2346"/>
      <c r="L91" s="2346"/>
      <c r="M91" s="2346"/>
      <c r="N91" s="2346"/>
    </row>
    <row r="92" spans="1:37">
      <c r="A92" s="3374"/>
      <c r="B92" s="337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5"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7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7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7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7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7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76"/>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77"/>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75" t="s">
        <v>2795</v>
      </c>
      <c r="B101" s="2351" t="s">
        <v>2796</v>
      </c>
      <c r="C101" s="2352">
        <f>$G$3</f>
        <v>1.45</v>
      </c>
      <c r="D101" s="2352">
        <f t="shared" ref="D101:N101" si="31">$G$3</f>
        <v>1.45</v>
      </c>
      <c r="E101" s="2352">
        <f t="shared" si="31"/>
        <v>1.45</v>
      </c>
      <c r="F101" s="2352">
        <f t="shared" si="31"/>
        <v>1.45</v>
      </c>
      <c r="G101" s="2352">
        <f t="shared" si="31"/>
        <v>1.45</v>
      </c>
      <c r="H101" s="2352">
        <f t="shared" si="31"/>
        <v>1.45</v>
      </c>
      <c r="I101" s="2352">
        <f t="shared" si="31"/>
        <v>1.45</v>
      </c>
      <c r="J101" s="2352">
        <f t="shared" si="31"/>
        <v>1.45</v>
      </c>
      <c r="K101" s="2352">
        <f t="shared" si="31"/>
        <v>1.45</v>
      </c>
      <c r="L101" s="2352">
        <f t="shared" si="31"/>
        <v>1.45</v>
      </c>
      <c r="M101" s="2352">
        <f t="shared" si="31"/>
        <v>1.45</v>
      </c>
      <c r="N101" s="2352">
        <f t="shared" si="31"/>
        <v>1.45</v>
      </c>
    </row>
    <row r="102" spans="1:14">
      <c r="A102" s="3376"/>
      <c r="B102" s="2347">
        <v>1</v>
      </c>
      <c r="C102" s="2348">
        <f>1.9362/C101</f>
        <v>1.3353103448275863</v>
      </c>
      <c r="D102" s="2348">
        <f>1.9362/D101</f>
        <v>1.3353103448275863</v>
      </c>
      <c r="E102" s="2348">
        <f>1.8629/E101</f>
        <v>1.2847586206896553</v>
      </c>
      <c r="F102" s="2348">
        <f>1.8629/F101</f>
        <v>1.2847586206896553</v>
      </c>
      <c r="G102" s="2348">
        <f>1.8629/G101</f>
        <v>1.2847586206896553</v>
      </c>
      <c r="H102" s="2348">
        <f>1.8629/H101</f>
        <v>1.2847586206896553</v>
      </c>
      <c r="I102" s="2348">
        <f>1.8629/I101</f>
        <v>1.2847586206896553</v>
      </c>
      <c r="J102" s="2348">
        <f>1.942/J101</f>
        <v>1.3393103448275863</v>
      </c>
      <c r="K102" s="2348">
        <f>1.942/K101</f>
        <v>1.3393103448275863</v>
      </c>
      <c r="L102" s="2348">
        <f>1.942/L101</f>
        <v>1.3393103448275863</v>
      </c>
      <c r="M102" s="2348">
        <f>1.942/M101</f>
        <v>1.3393103448275863</v>
      </c>
      <c r="N102" s="2348">
        <f>1.942/N101</f>
        <v>1.3393103448275863</v>
      </c>
    </row>
    <row r="103" spans="1:14">
      <c r="A103" s="3376"/>
      <c r="B103" s="2347">
        <v>2</v>
      </c>
      <c r="C103" s="2348">
        <f>1.4198/C101</f>
        <v>0.97917241379310349</v>
      </c>
      <c r="D103" s="2348">
        <f>1.4198/D101</f>
        <v>0.97917241379310349</v>
      </c>
      <c r="E103" s="2348">
        <f>1.3372/E101</f>
        <v>0.92220689655172416</v>
      </c>
      <c r="F103" s="2348">
        <f>1.3372/F101</f>
        <v>0.92220689655172416</v>
      </c>
      <c r="G103" s="2348">
        <f>1.3372/G101</f>
        <v>0.92220689655172416</v>
      </c>
      <c r="H103" s="2348">
        <f>1.3372/H101</f>
        <v>0.92220689655172416</v>
      </c>
      <c r="I103" s="2348">
        <f>1.3372/I101</f>
        <v>0.92220689655172416</v>
      </c>
      <c r="J103" s="2348">
        <f>1.2799/J101</f>
        <v>0.88268965517241382</v>
      </c>
      <c r="K103" s="2348">
        <f>1.2799/K101</f>
        <v>0.88268965517241382</v>
      </c>
      <c r="L103" s="2348">
        <f>1.2799/L101</f>
        <v>0.88268965517241382</v>
      </c>
      <c r="M103" s="2348">
        <f>1.2799/M101</f>
        <v>0.88268965517241382</v>
      </c>
      <c r="N103" s="2348">
        <f>1.2799/N101</f>
        <v>0.88268965517241382</v>
      </c>
    </row>
    <row r="104" spans="1:14">
      <c r="A104" s="3376"/>
      <c r="B104" s="2347">
        <v>3</v>
      </c>
      <c r="C104" s="2348">
        <f>1.1594/C101</f>
        <v>0.79958620689655169</v>
      </c>
      <c r="D104" s="2348">
        <f>1.1594/D101</f>
        <v>0.79958620689655169</v>
      </c>
      <c r="E104" s="2348">
        <f>1.0788/E101</f>
        <v>0.74399999999999999</v>
      </c>
      <c r="F104" s="2348">
        <f>1.0788/F101</f>
        <v>0.74399999999999999</v>
      </c>
      <c r="G104" s="2348">
        <f>1.0788/G101</f>
        <v>0.74399999999999999</v>
      </c>
      <c r="H104" s="2348">
        <f>1.0788/H101</f>
        <v>0.74399999999999999</v>
      </c>
      <c r="I104" s="2348">
        <f>1.0788/I101</f>
        <v>0.74399999999999999</v>
      </c>
      <c r="J104" s="2348">
        <f>1.0072/J101</f>
        <v>0.69462068965517254</v>
      </c>
      <c r="K104" s="2348">
        <f>1.0072/K101</f>
        <v>0.69462068965517254</v>
      </c>
      <c r="L104" s="2348">
        <f>1.0072/L101</f>
        <v>0.69462068965517254</v>
      </c>
      <c r="M104" s="2348">
        <f>1.0072/M101</f>
        <v>0.69462068965517254</v>
      </c>
      <c r="N104" s="2348">
        <f>1.0072/N101</f>
        <v>0.69462068965517254</v>
      </c>
    </row>
    <row r="105" spans="1:14">
      <c r="A105" s="3376"/>
      <c r="B105" s="2347">
        <v>4</v>
      </c>
      <c r="C105" s="2348">
        <f>0.9622/C101</f>
        <v>0.66358620689655179</v>
      </c>
      <c r="D105" s="2348">
        <f>0.9622/D101</f>
        <v>0.66358620689655179</v>
      </c>
      <c r="E105" s="2348">
        <f>0.8656/E101</f>
        <v>0.59696551724137936</v>
      </c>
      <c r="F105" s="2348">
        <f>0.8656/F101</f>
        <v>0.59696551724137936</v>
      </c>
      <c r="G105" s="2348">
        <f>0.8656/G101</f>
        <v>0.59696551724137936</v>
      </c>
      <c r="H105" s="2348">
        <f>0.8656/H101</f>
        <v>0.59696551724137936</v>
      </c>
      <c r="I105" s="2348">
        <f>0.8656/I101</f>
        <v>0.59696551724137936</v>
      </c>
      <c r="J105" s="2348">
        <f>0.7525/J101</f>
        <v>0.51896551724137929</v>
      </c>
      <c r="K105" s="2348">
        <f>0.7525/K101</f>
        <v>0.51896551724137929</v>
      </c>
      <c r="L105" s="2348">
        <f>0.7525/L101</f>
        <v>0.51896551724137929</v>
      </c>
      <c r="M105" s="2348">
        <f>0.7525/M101</f>
        <v>0.51896551724137929</v>
      </c>
      <c r="N105" s="2348">
        <f>0.7525/N101</f>
        <v>0.51896551724137929</v>
      </c>
    </row>
    <row r="106" spans="1:14">
      <c r="A106" s="3376"/>
      <c r="B106" s="2347">
        <v>5</v>
      </c>
      <c r="C106" s="2348">
        <f>0.8417/C101</f>
        <v>0.58048275862068965</v>
      </c>
      <c r="D106" s="2348">
        <f>0.8417/D101</f>
        <v>0.58048275862068965</v>
      </c>
      <c r="E106" s="2348">
        <f>0.7371/E101</f>
        <v>0.50834482758620692</v>
      </c>
      <c r="F106" s="2348">
        <f>0.7371/F101</f>
        <v>0.50834482758620692</v>
      </c>
      <c r="G106" s="2348">
        <f>0.7371/G101</f>
        <v>0.50834482758620692</v>
      </c>
      <c r="H106" s="2348">
        <f>0.7371/H101</f>
        <v>0.50834482758620692</v>
      </c>
      <c r="I106" s="2348">
        <f>0.7371/I101</f>
        <v>0.50834482758620692</v>
      </c>
      <c r="J106" s="2348">
        <f>0.5659/J101</f>
        <v>0.39027586206896547</v>
      </c>
      <c r="K106" s="2348">
        <f>0.5659/K101</f>
        <v>0.39027586206896547</v>
      </c>
      <c r="L106" s="2348">
        <f>0.5659/L101</f>
        <v>0.39027586206896547</v>
      </c>
      <c r="M106" s="2348">
        <f>0.5659/M101</f>
        <v>0.39027586206896547</v>
      </c>
      <c r="N106" s="2348">
        <f>0.5659/N101</f>
        <v>0.39027586206896547</v>
      </c>
    </row>
    <row r="107" spans="1:14">
      <c r="A107" s="3376"/>
      <c r="B107" s="2347">
        <v>6</v>
      </c>
      <c r="C107" s="2348">
        <f>0.7608/C101</f>
        <v>0.52468965517241384</v>
      </c>
      <c r="D107" s="2348">
        <f>0.7608/D101</f>
        <v>0.52468965517241384</v>
      </c>
      <c r="E107" s="2348">
        <f>0.6482/E101</f>
        <v>0.44703448275862068</v>
      </c>
      <c r="F107" s="2348">
        <f>0.6482/F101</f>
        <v>0.44703448275862068</v>
      </c>
      <c r="G107" s="2348">
        <f>0.6482/G101</f>
        <v>0.44703448275862068</v>
      </c>
      <c r="H107" s="2348">
        <f>0.6482/H101</f>
        <v>0.44703448275862068</v>
      </c>
      <c r="I107" s="2348">
        <f>0.6482/I101</f>
        <v>0.44703448275862068</v>
      </c>
      <c r="J107" s="2348">
        <f>0.4525/J101</f>
        <v>0.31206896551724139</v>
      </c>
      <c r="K107" s="2348">
        <f>0.4525/K101</f>
        <v>0.31206896551724139</v>
      </c>
      <c r="L107" s="2348">
        <f>0.4525/L101</f>
        <v>0.31206896551724139</v>
      </c>
      <c r="M107" s="2348">
        <f>0.4525/M101</f>
        <v>0.31206896551724139</v>
      </c>
      <c r="N107" s="2348">
        <f>0.4525/N101</f>
        <v>0.31206896551724139</v>
      </c>
    </row>
    <row r="108" spans="1:14">
      <c r="A108" s="3376"/>
      <c r="B108" s="3378" t="s">
        <v>2797</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77"/>
      <c r="B109" s="3379"/>
      <c r="C109" s="2350">
        <f>(-0.163*(C108^2)-0.59*C108+7617)*(10^(-4))/C101</f>
        <v>0.52531034482758621</v>
      </c>
      <c r="D109" s="2350">
        <f>(-0.163*(D108^2)-0.59*D108+7617)*(10^(-4))/D101</f>
        <v>0.52531034482758621</v>
      </c>
      <c r="E109" s="2350">
        <f>(-0.161*(E108^2)-7.509*E108+6533)*(10^(-4))/E101</f>
        <v>0.45055172413793104</v>
      </c>
      <c r="F109" s="2350">
        <f>(-0.161*(F108^2)-7.509*F108+6533)*(10^(-4))/F101</f>
        <v>0.45055172413793104</v>
      </c>
      <c r="G109" s="2350">
        <f>(-0.161*(G108^2)-7.509*G108+6533)*(10^(-4))/G101</f>
        <v>0.45055172413793104</v>
      </c>
      <c r="H109" s="2350">
        <f>(-0.161*(H108^2)-7.509*H108+6533)*(10^(-4))/H101</f>
        <v>0.45055172413793104</v>
      </c>
      <c r="I109" s="2350">
        <f>(-0.161*(I108^2)-7.509*I108+6533)*(10^(-4))/I101</f>
        <v>0.45055172413793104</v>
      </c>
      <c r="J109" s="2350">
        <f>(-0.214*(J108^2)-21.991*J108+4665)*(10^(-4))/J101</f>
        <v>0.32172413793103449</v>
      </c>
      <c r="K109" s="2350">
        <f>(-0.214*(K108^2)-21.991*K108+4665)*(10^(-4))/K101</f>
        <v>0.32172413793103449</v>
      </c>
      <c r="L109" s="2350">
        <f>(-0.214*(L108^2)-21.991*L108+4665)*(10^(-4))/L101</f>
        <v>0.32172413793103449</v>
      </c>
      <c r="M109" s="2350">
        <f>(-0.214*(M108^2)-21.991*M108+4665)*(10^(-4))/M101</f>
        <v>0.32172413793103449</v>
      </c>
      <c r="N109" s="2350">
        <f>(-0.214*(N108^2)-21.991*N108+4665)*(10^(-4))/N101</f>
        <v>0.32172413793103449</v>
      </c>
    </row>
    <row r="110" spans="1:14">
      <c r="A110" s="3373" t="s">
        <v>2798</v>
      </c>
      <c r="B110" s="3373"/>
      <c r="C110" s="3373"/>
      <c r="D110" s="3373"/>
      <c r="E110" s="3373"/>
      <c r="F110" s="3373"/>
      <c r="G110" s="3373"/>
      <c r="H110" s="3373"/>
      <c r="I110" s="3373"/>
      <c r="J110" s="3373"/>
      <c r="K110" s="2353"/>
      <c r="L110" s="2353"/>
      <c r="M110" s="2353"/>
      <c r="N110" s="2353"/>
    </row>
    <row r="112" spans="1:14" ht="13.5" thickBot="1"/>
    <row r="113" spans="1:13" ht="25.5" thickBot="1">
      <c r="A113" s="842" t="s">
        <v>2799</v>
      </c>
      <c r="B113" s="1196">
        <f>G3</f>
        <v>1.45</v>
      </c>
      <c r="C113" s="843" t="s">
        <v>2800</v>
      </c>
      <c r="D113" s="844">
        <f>SUMPRODUCT((A115:A118=F113)*(B114:M114=H113)*B115:M118)</f>
        <v>0.74909999999999999</v>
      </c>
      <c r="E113" s="2189" t="s">
        <v>2635</v>
      </c>
      <c r="F113" s="2355" t="str">
        <f>E2</f>
        <v>办公</v>
      </c>
      <c r="G113" s="2189" t="s">
        <v>2636</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0.91990000000000005</v>
      </c>
      <c r="C115" s="849">
        <f>B115</f>
        <v>0.91990000000000005</v>
      </c>
      <c r="D115" s="849">
        <f>ROUND(0.8331-0.0109*B113,4)</f>
        <v>0.81730000000000003</v>
      </c>
      <c r="E115" s="849">
        <f>D115</f>
        <v>0.81730000000000003</v>
      </c>
      <c r="F115" s="849">
        <f>E115</f>
        <v>0.81730000000000003</v>
      </c>
      <c r="G115" s="849">
        <f>F115</f>
        <v>0.81730000000000003</v>
      </c>
      <c r="H115" s="849">
        <f>G115</f>
        <v>0.81730000000000003</v>
      </c>
      <c r="I115" s="849">
        <f>ROUND(0.689-0.0155*B113,4)</f>
        <v>0.66649999999999998</v>
      </c>
      <c r="J115" s="849">
        <f t="shared" ref="J115:M118" si="33">I115</f>
        <v>0.66649999999999998</v>
      </c>
      <c r="K115" s="849">
        <f t="shared" si="33"/>
        <v>0.66649999999999998</v>
      </c>
      <c r="L115" s="849">
        <f t="shared" si="33"/>
        <v>0.66649999999999998</v>
      </c>
      <c r="M115" s="850">
        <f t="shared" si="33"/>
        <v>0.66649999999999998</v>
      </c>
    </row>
    <row r="116" spans="1:13">
      <c r="A116" s="848" t="s">
        <v>2700</v>
      </c>
      <c r="B116" s="849">
        <f>ROUND(0.949-0.012*B113,4)</f>
        <v>0.93159999999999998</v>
      </c>
      <c r="C116" s="849">
        <f>B116</f>
        <v>0.93159999999999998</v>
      </c>
      <c r="D116" s="849">
        <f>ROUND(0.8567-0.013*B113,4)</f>
        <v>0.83789999999999998</v>
      </c>
      <c r="E116" s="849">
        <f t="shared" ref="E116:H117" si="34">D116</f>
        <v>0.83789999999999998</v>
      </c>
      <c r="F116" s="849">
        <f t="shared" si="34"/>
        <v>0.83789999999999998</v>
      </c>
      <c r="G116" s="849">
        <f t="shared" si="34"/>
        <v>0.83789999999999998</v>
      </c>
      <c r="H116" s="849">
        <f t="shared" si="34"/>
        <v>0.83789999999999998</v>
      </c>
      <c r="I116" s="849">
        <f>ROUND(0.7694-0.014*B113,4)</f>
        <v>0.74909999999999999</v>
      </c>
      <c r="J116" s="849">
        <f t="shared" si="33"/>
        <v>0.74909999999999999</v>
      </c>
      <c r="K116" s="849">
        <f t="shared" si="33"/>
        <v>0.74909999999999999</v>
      </c>
      <c r="L116" s="849">
        <f t="shared" si="33"/>
        <v>0.74909999999999999</v>
      </c>
      <c r="M116" s="850">
        <f t="shared" si="33"/>
        <v>0.74909999999999999</v>
      </c>
    </row>
    <row r="117" spans="1:13">
      <c r="A117" s="848" t="s">
        <v>2701</v>
      </c>
      <c r="B117" s="849">
        <f>ROUND(0.8808-0.006*B113,4)</f>
        <v>0.87209999999999999</v>
      </c>
      <c r="C117" s="849">
        <f>B117</f>
        <v>0.87209999999999999</v>
      </c>
      <c r="D117" s="849">
        <f>ROUND(0.8748-0.008*B113,4)</f>
        <v>0.86319999999999997</v>
      </c>
      <c r="E117" s="849">
        <f t="shared" si="34"/>
        <v>0.86319999999999997</v>
      </c>
      <c r="F117" s="849">
        <f t="shared" si="34"/>
        <v>0.86319999999999997</v>
      </c>
      <c r="G117" s="849">
        <f t="shared" si="34"/>
        <v>0.86319999999999997</v>
      </c>
      <c r="H117" s="849">
        <f t="shared" si="34"/>
        <v>0.86319999999999997</v>
      </c>
      <c r="I117" s="849">
        <f>ROUND(0.7412-0.0095*B113,4)</f>
        <v>0.72740000000000005</v>
      </c>
      <c r="J117" s="849">
        <f t="shared" si="33"/>
        <v>0.72740000000000005</v>
      </c>
      <c r="K117" s="849">
        <f t="shared" si="33"/>
        <v>0.72740000000000005</v>
      </c>
      <c r="L117" s="849">
        <f t="shared" si="33"/>
        <v>0.72740000000000005</v>
      </c>
      <c r="M117" s="850">
        <f t="shared" si="33"/>
        <v>0.72740000000000005</v>
      </c>
    </row>
    <row r="118" spans="1:13" ht="13.5" thickBot="1">
      <c r="A118" s="670" t="s">
        <v>2702</v>
      </c>
      <c r="B118" s="851">
        <f>ROUND(0.7275-0.01*B113,4)</f>
        <v>0.71299999999999997</v>
      </c>
      <c r="C118" s="851">
        <f>B118</f>
        <v>0.71299999999999997</v>
      </c>
      <c r="D118" s="851">
        <f>ROUND(0.7043-0.012*B113,4)</f>
        <v>0.68689999999999996</v>
      </c>
      <c r="E118" s="851">
        <f>D118</f>
        <v>0.68689999999999996</v>
      </c>
      <c r="F118" s="851">
        <f>E118</f>
        <v>0.68689999999999996</v>
      </c>
      <c r="G118" s="851">
        <f>ROUND(0.6299-0.0122*B113,4)</f>
        <v>0.61219999999999997</v>
      </c>
      <c r="H118" s="851">
        <f>G118</f>
        <v>0.61219999999999997</v>
      </c>
      <c r="I118" s="851">
        <f>ROUND(0.5667-0.0136*B113,4)</f>
        <v>0.54700000000000004</v>
      </c>
      <c r="J118" s="851">
        <f t="shared" si="33"/>
        <v>0.54700000000000004</v>
      </c>
      <c r="K118" s="851">
        <f t="shared" si="33"/>
        <v>0.54700000000000004</v>
      </c>
      <c r="L118" s="851">
        <f t="shared" si="33"/>
        <v>0.54700000000000004</v>
      </c>
      <c r="M118" s="852">
        <f t="shared" si="33"/>
        <v>0.54700000000000004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97" priority="5" stopIfTrue="1" operator="notEqual">
      <formula>"——"</formula>
    </cfRule>
  </conditionalFormatting>
  <conditionalFormatting sqref="F59">
    <cfRule type="cellIs" dxfId="96" priority="4" stopIfTrue="1" operator="notEqual">
      <formula>"——"</formula>
    </cfRule>
  </conditionalFormatting>
  <conditionalFormatting sqref="F70">
    <cfRule type="cellIs" dxfId="95" priority="3" stopIfTrue="1" operator="notEqual">
      <formula>"——"</formula>
    </cfRule>
  </conditionalFormatting>
  <conditionalFormatting sqref="F81">
    <cfRule type="cellIs" dxfId="94" priority="2" stopIfTrue="1" operator="notEqual">
      <formula>"——"</formula>
    </cfRule>
  </conditionalFormatting>
  <conditionalFormatting sqref="H48:H56 H59:H67 H70:H78 H81:H88">
    <cfRule type="cellIs" dxfId="9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M47" sqref="M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19068</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19416</v>
      </c>
      <c r="C3" s="209" t="s">
        <v>2568</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2467</v>
      </c>
      <c r="B4" s="362"/>
      <c r="C4" s="3297" t="s">
        <v>2468</v>
      </c>
      <c r="D4" s="3298"/>
      <c r="E4" s="3299" t="s">
        <v>2469</v>
      </c>
      <c r="F4" s="3300"/>
      <c r="G4" s="3297" t="s">
        <v>2470</v>
      </c>
      <c r="H4" s="3298"/>
      <c r="I4" s="3297" t="s">
        <v>2471</v>
      </c>
      <c r="J4" s="3298"/>
      <c r="K4" s="567" t="s">
        <v>2472</v>
      </c>
      <c r="L4" s="2945"/>
      <c r="M4" s="2946"/>
      <c r="N4" s="2946"/>
      <c r="O4" s="2946"/>
      <c r="P4" s="3363" t="s">
        <v>2473</v>
      </c>
      <c r="Q4" s="3364"/>
      <c r="R4" s="3359" t="s">
        <v>2469</v>
      </c>
      <c r="S4" s="3360"/>
      <c r="T4" s="3359" t="s">
        <v>2470</v>
      </c>
      <c r="U4" s="3360"/>
      <c r="V4" s="3310" t="s">
        <v>2471</v>
      </c>
      <c r="W4" s="3310"/>
      <c r="X4" s="1540"/>
      <c r="Y4" s="3359" t="s">
        <v>2473</v>
      </c>
      <c r="Z4" s="3360"/>
      <c r="AA4" s="3358" t="s">
        <v>2469</v>
      </c>
      <c r="AB4" s="3276" t="s">
        <v>2470</v>
      </c>
      <c r="AC4" s="3358" t="s">
        <v>2471</v>
      </c>
    </row>
    <row r="5" spans="1:30" ht="15">
      <c r="A5" s="364"/>
      <c r="B5" s="365"/>
      <c r="C5" s="3286" t="s">
        <v>2364</v>
      </c>
      <c r="D5" s="3287"/>
      <c r="E5" s="3361" t="str">
        <f>土地案例!A2</f>
        <v>北京市海淀区学院路北端A、B、C、J地块B4综合性商业金融服务业用地、B23研发设计用地</v>
      </c>
      <c r="F5" s="3362"/>
      <c r="G5" s="3286" t="str">
        <f>土地案例!$A$3</f>
        <v>北京市海淀区西三旗1811-L04地块B4综合性商业金融服务业用地</v>
      </c>
      <c r="H5" s="3287"/>
      <c r="I5" s="3286" t="str">
        <f>土地案例!$A$4</f>
        <v>北京市海淀区&amp;quot海淀北部地区整体开发&amp;quot西北旺镇HD00-0402-0102地块(永丰产业基地)B1商业用地</v>
      </c>
      <c r="J5" s="3287"/>
      <c r="K5" s="567"/>
      <c r="L5" s="2945"/>
      <c r="M5" s="2946"/>
      <c r="N5" s="2946"/>
      <c r="O5" s="2946"/>
      <c r="P5" s="3365"/>
      <c r="Q5" s="3304"/>
      <c r="R5" s="3282"/>
      <c r="S5" s="3283"/>
      <c r="T5" s="3282"/>
      <c r="U5" s="3283"/>
      <c r="V5" s="3310"/>
      <c r="W5" s="3310"/>
      <c r="X5" s="1540"/>
      <c r="Y5" s="3282"/>
      <c r="Z5" s="3283"/>
      <c r="AA5" s="3276"/>
      <c r="AB5" s="3276"/>
      <c r="AC5" s="3276"/>
    </row>
    <row r="6" spans="1:30" ht="15.75" thickBot="1">
      <c r="A6" s="366"/>
      <c r="B6" s="367"/>
      <c r="C6" s="3288" t="s">
        <v>2368</v>
      </c>
      <c r="D6" s="3289"/>
      <c r="E6" s="3291" t="s">
        <v>2368</v>
      </c>
      <c r="F6" s="3292"/>
      <c r="G6" s="3288" t="s">
        <v>2368</v>
      </c>
      <c r="H6" s="3289"/>
      <c r="I6" s="3288" t="s">
        <v>2368</v>
      </c>
      <c r="J6" s="3289"/>
      <c r="K6" s="567" t="s">
        <v>2369</v>
      </c>
      <c r="L6" s="2945"/>
      <c r="M6" s="2946"/>
      <c r="N6" s="2946"/>
      <c r="O6" s="2946"/>
      <c r="P6" s="3366"/>
      <c r="Q6" s="3306"/>
      <c r="R6" s="3282"/>
      <c r="S6" s="3283"/>
      <c r="T6" s="3307"/>
      <c r="U6" s="3308"/>
      <c r="V6" s="3310"/>
      <c r="W6" s="3310"/>
      <c r="X6" s="1540"/>
      <c r="Y6" s="3307"/>
      <c r="Z6" s="3308"/>
      <c r="AA6" s="3277"/>
      <c r="AB6" s="3277"/>
      <c r="AC6" s="3277"/>
    </row>
    <row r="7" spans="1:30" s="113" customFormat="1" ht="15.75" thickBot="1">
      <c r="A7" s="368" t="s">
        <v>2370</v>
      </c>
      <c r="B7" s="369"/>
      <c r="C7" s="370">
        <f>'数据-取费表'!B2</f>
        <v>44166</v>
      </c>
      <c r="D7" s="371">
        <v>100</v>
      </c>
      <c r="E7" s="372" t="str">
        <f>土地案例!I2</f>
        <v>2019-12-02</v>
      </c>
      <c r="F7" s="373">
        <f>SUMIF(70:70,YEAR(E7)&amp;"-"&amp;INT((MONTH(E7)+2)/3),71:71)</f>
        <v>99</v>
      </c>
      <c r="G7" s="2161" t="str">
        <f>土地案例!$I$3</f>
        <v>2019-07-04</v>
      </c>
      <c r="H7" s="371">
        <f>SUMIF(70:70,YEAR(G7)&amp;"-"&amp;INT((MONTH(G7)+2)/3),71:71)</f>
        <v>98</v>
      </c>
      <c r="I7" s="2161" t="str">
        <f>土地案例!$I$4</f>
        <v>2019-05-28</v>
      </c>
      <c r="J7" s="371">
        <f>SUMIF(70:70,YEAR(I7)&amp;"-"&amp;INT((MONTH(I7)+2)/3),71:71)</f>
        <v>97</v>
      </c>
      <c r="K7" s="568"/>
      <c r="L7" s="2947"/>
      <c r="M7" s="2948"/>
      <c r="N7" s="2948"/>
      <c r="O7" s="2948"/>
      <c r="P7" s="3278" t="s">
        <v>2371</v>
      </c>
      <c r="Q7" s="3312"/>
      <c r="R7" s="710" t="s">
        <v>17</v>
      </c>
      <c r="S7" s="711">
        <f t="shared" ref="S7:S15" si="0">F7</f>
        <v>99</v>
      </c>
      <c r="T7" s="710" t="s">
        <v>17</v>
      </c>
      <c r="U7" s="711">
        <f t="shared" ref="U7:U15" si="1">H7</f>
        <v>98</v>
      </c>
      <c r="V7" s="710" t="s">
        <v>17</v>
      </c>
      <c r="W7" s="711">
        <f t="shared" ref="W7:W15" si="2">J7</f>
        <v>97</v>
      </c>
      <c r="X7" s="712"/>
      <c r="Y7" s="3278" t="s">
        <v>2371</v>
      </c>
      <c r="Z7" s="3279"/>
      <c r="AA7" s="713">
        <f>D7/F7</f>
        <v>1.0101010101010102</v>
      </c>
      <c r="AB7" s="713">
        <f>D7/H7</f>
        <v>1.0204081632653061</v>
      </c>
      <c r="AC7" s="713">
        <f>D7/J7</f>
        <v>1.0309278350515463</v>
      </c>
    </row>
    <row r="8" spans="1:30" s="113" customFormat="1" ht="15.75" thickBot="1">
      <c r="A8" s="368" t="s">
        <v>2372</v>
      </c>
      <c r="B8" s="369"/>
      <c r="C8" s="374" t="s">
        <v>2373</v>
      </c>
      <c r="D8" s="371">
        <v>100</v>
      </c>
      <c r="E8" s="374" t="s">
        <v>3178</v>
      </c>
      <c r="F8" s="373">
        <f>SUMIF(73:73,E8,74:74)-SUMIF(73:73,C8,74:74)+100</f>
        <v>100</v>
      </c>
      <c r="G8" s="374" t="s">
        <v>3178</v>
      </c>
      <c r="H8" s="371">
        <f>SUMIF(73:73,G8,74:74)-SUMIF(73:73,C8,74:74)+100</f>
        <v>100</v>
      </c>
      <c r="I8" s="374" t="s">
        <v>3178</v>
      </c>
      <c r="J8" s="371">
        <f>SUMIF(73:73,I8,74:74)-SUMIF(73:73,C8,74:74)+100</f>
        <v>100</v>
      </c>
      <c r="K8" s="568"/>
      <c r="L8" s="2947"/>
      <c r="M8" s="2948"/>
      <c r="N8" s="2948"/>
      <c r="O8" s="2948"/>
      <c r="P8" s="3278" t="s">
        <v>2374</v>
      </c>
      <c r="Q8" s="3279"/>
      <c r="R8" s="710" t="s">
        <v>17</v>
      </c>
      <c r="S8" s="711">
        <f t="shared" si="0"/>
        <v>100</v>
      </c>
      <c r="T8" s="710" t="s">
        <v>17</v>
      </c>
      <c r="U8" s="711">
        <f t="shared" si="1"/>
        <v>100</v>
      </c>
      <c r="V8" s="710" t="s">
        <v>17</v>
      </c>
      <c r="W8" s="711">
        <f t="shared" si="2"/>
        <v>100</v>
      </c>
      <c r="X8" s="712"/>
      <c r="Y8" s="3278" t="s">
        <v>2374</v>
      </c>
      <c r="Z8" s="3279"/>
      <c r="AA8" s="713">
        <f t="shared" ref="AA8:AA45" si="3">D8/F8</f>
        <v>1</v>
      </c>
      <c r="AB8" s="713">
        <f t="shared" ref="AB8:AB45" si="4">D8/H8</f>
        <v>1</v>
      </c>
      <c r="AC8" s="713">
        <f t="shared" ref="AC8:AC45" si="5">D8/J8</f>
        <v>1</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22" t="s">
        <v>2377</v>
      </c>
      <c r="Q9" s="1528" t="str">
        <f t="shared" ref="Q9:Q15" si="6">B9</f>
        <v>用途</v>
      </c>
      <c r="R9" s="710" t="s">
        <v>17</v>
      </c>
      <c r="S9" s="711">
        <f t="shared" si="0"/>
        <v>100</v>
      </c>
      <c r="T9" s="710" t="s">
        <v>17</v>
      </c>
      <c r="U9" s="711">
        <f t="shared" si="1"/>
        <v>100</v>
      </c>
      <c r="V9" s="710" t="s">
        <v>17</v>
      </c>
      <c r="W9" s="711">
        <f t="shared" si="2"/>
        <v>100</v>
      </c>
      <c r="X9" s="712"/>
      <c r="Y9" s="3251"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104</v>
      </c>
      <c r="G10" s="422"/>
      <c r="H10" s="132">
        <f>ROUND(100/'数据-取费表'!G16,0)</f>
        <v>104</v>
      </c>
      <c r="I10" s="422"/>
      <c r="J10" s="132">
        <f>ROUND(100/'数据-取费表'!G16,0)</f>
        <v>104</v>
      </c>
      <c r="K10" s="628"/>
      <c r="L10" s="2949"/>
      <c r="M10" s="2950"/>
      <c r="N10" s="2950"/>
      <c r="O10" s="3003"/>
      <c r="P10" s="3322"/>
      <c r="Q10" s="1528" t="str">
        <f t="shared" si="6"/>
        <v>土地使用年限（年）</v>
      </c>
      <c r="R10" s="710" t="s">
        <v>17</v>
      </c>
      <c r="S10" s="711">
        <f t="shared" si="0"/>
        <v>104</v>
      </c>
      <c r="T10" s="710" t="s">
        <v>17</v>
      </c>
      <c r="U10" s="711">
        <f t="shared" si="1"/>
        <v>104</v>
      </c>
      <c r="V10" s="710" t="s">
        <v>17</v>
      </c>
      <c r="W10" s="711">
        <f t="shared" si="2"/>
        <v>104</v>
      </c>
      <c r="X10" s="712"/>
      <c r="Y10" s="3251"/>
      <c r="Z10" s="55" t="str">
        <f t="shared" si="7"/>
        <v>土地使用年限（年）</v>
      </c>
      <c r="AA10" s="713">
        <f t="shared" si="3"/>
        <v>0.96153846153846156</v>
      </c>
      <c r="AB10" s="713">
        <f t="shared" si="4"/>
        <v>0.96153846153846156</v>
      </c>
      <c r="AC10" s="713">
        <f t="shared" si="5"/>
        <v>0.96153846153846156</v>
      </c>
    </row>
    <row r="11" spans="1:30" ht="15">
      <c r="A11" s="387"/>
      <c r="B11" s="381" t="s">
        <v>2380</v>
      </c>
      <c r="C11" s="388">
        <f>'数据-汇总表'!I6</f>
        <v>2.0099999999999998</v>
      </c>
      <c r="D11" s="132">
        <v>100</v>
      </c>
      <c r="E11" s="388">
        <f>4.04</f>
        <v>4.04</v>
      </c>
      <c r="F11" s="132">
        <f>LOOKUP(E11,80:80,81:81)-LOOKUP(C11,80:80,81:81)+100</f>
        <v>90</v>
      </c>
      <c r="G11" s="389">
        <v>2.8</v>
      </c>
      <c r="H11" s="132">
        <f>LOOKUP(G11,80:80,81:81)-LOOKUP(C11,80:80,81:81)+100</f>
        <v>100</v>
      </c>
      <c r="I11" s="388">
        <v>3</v>
      </c>
      <c r="J11" s="132">
        <f>LOOKUP(I11,80:80,81:81)-LOOKUP(C11,80:80,81:81)+100</f>
        <v>95</v>
      </c>
      <c r="K11" s="629">
        <v>5</v>
      </c>
      <c r="L11" s="2951"/>
      <c r="M11" s="2946"/>
      <c r="N11" s="2946"/>
      <c r="O11" s="3004"/>
      <c r="P11" s="3322"/>
      <c r="Q11" s="1528" t="str">
        <f t="shared" si="6"/>
        <v>容积率</v>
      </c>
      <c r="R11" s="710" t="s">
        <v>17</v>
      </c>
      <c r="S11" s="711">
        <f t="shared" si="0"/>
        <v>90</v>
      </c>
      <c r="T11" s="710" t="s">
        <v>17</v>
      </c>
      <c r="U11" s="711">
        <f t="shared" si="1"/>
        <v>100</v>
      </c>
      <c r="V11" s="710" t="s">
        <v>17</v>
      </c>
      <c r="W11" s="711">
        <f t="shared" si="2"/>
        <v>95</v>
      </c>
      <c r="X11" s="712"/>
      <c r="Y11" s="3251"/>
      <c r="Z11" s="55" t="str">
        <f t="shared" si="7"/>
        <v>容积率</v>
      </c>
      <c r="AA11" s="713">
        <f t="shared" si="3"/>
        <v>1.1111111111111112</v>
      </c>
      <c r="AB11" s="713">
        <f t="shared" si="4"/>
        <v>1</v>
      </c>
      <c r="AC11" s="713">
        <f t="shared" si="5"/>
        <v>1.0526315789473684</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2"/>
      <c r="Q12" s="1528" t="str">
        <f t="shared" si="6"/>
        <v>配建</v>
      </c>
      <c r="R12" s="710" t="s">
        <v>17</v>
      </c>
      <c r="S12" s="711">
        <f t="shared" si="0"/>
        <v>100</v>
      </c>
      <c r="T12" s="710" t="s">
        <v>17</v>
      </c>
      <c r="U12" s="711">
        <f t="shared" si="1"/>
        <v>100</v>
      </c>
      <c r="V12" s="710" t="s">
        <v>17</v>
      </c>
      <c r="W12" s="711">
        <f t="shared" si="2"/>
        <v>100</v>
      </c>
      <c r="X12" s="712"/>
      <c r="Y12" s="3251"/>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22"/>
      <c r="Q13" s="1528">
        <f t="shared" si="6"/>
        <v>111</v>
      </c>
      <c r="R13" s="710" t="s">
        <v>17</v>
      </c>
      <c r="S13" s="711">
        <f t="shared" si="0"/>
        <v>100</v>
      </c>
      <c r="T13" s="710" t="s">
        <v>17</v>
      </c>
      <c r="U13" s="711">
        <f t="shared" si="1"/>
        <v>100</v>
      </c>
      <c r="V13" s="710" t="s">
        <v>17</v>
      </c>
      <c r="W13" s="711">
        <f t="shared" si="2"/>
        <v>100</v>
      </c>
      <c r="X13" s="712"/>
      <c r="Y13" s="3251"/>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2"/>
      <c r="Q14" s="1528">
        <f t="shared" si="6"/>
        <v>111</v>
      </c>
      <c r="R14" s="710" t="s">
        <v>17</v>
      </c>
      <c r="S14" s="711">
        <f t="shared" si="0"/>
        <v>100</v>
      </c>
      <c r="T14" s="710" t="s">
        <v>17</v>
      </c>
      <c r="U14" s="711">
        <f t="shared" si="1"/>
        <v>100</v>
      </c>
      <c r="V14" s="710" t="s">
        <v>17</v>
      </c>
      <c r="W14" s="711">
        <f t="shared" si="2"/>
        <v>100</v>
      </c>
      <c r="X14" s="712"/>
      <c r="Y14" s="3251"/>
      <c r="Z14" s="55">
        <f t="shared" si="7"/>
        <v>111</v>
      </c>
      <c r="AA14" s="713">
        <f>D14/F14</f>
        <v>1</v>
      </c>
      <c r="AB14" s="713">
        <f>D14/H14</f>
        <v>1</v>
      </c>
      <c r="AC14" s="713">
        <f>D14/J14</f>
        <v>1</v>
      </c>
    </row>
    <row r="15" spans="1:30" ht="99.75">
      <c r="A15" s="399" t="s">
        <v>2381</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5" t="s">
        <v>2382</v>
      </c>
      <c r="Q15" s="1537" t="str">
        <f t="shared" si="6"/>
        <v>居住社区成熟度</v>
      </c>
      <c r="R15" s="714" t="s">
        <v>17</v>
      </c>
      <c r="S15" s="715">
        <f t="shared" si="0"/>
        <v>100</v>
      </c>
      <c r="T15" s="714" t="s">
        <v>17</v>
      </c>
      <c r="U15" s="715">
        <f t="shared" si="1"/>
        <v>100</v>
      </c>
      <c r="V15" s="714" t="s">
        <v>17</v>
      </c>
      <c r="W15" s="715">
        <f t="shared" si="2"/>
        <v>100</v>
      </c>
      <c r="X15" s="1540"/>
      <c r="Y15" s="3315" t="s">
        <v>2382</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16"/>
      <c r="Q16" s="1537"/>
      <c r="R16" s="714"/>
      <c r="S16" s="715"/>
      <c r="T16" s="714"/>
      <c r="U16" s="715"/>
      <c r="V16" s="714"/>
      <c r="W16" s="715"/>
      <c r="X16" s="1540"/>
      <c r="Y16" s="3316"/>
      <c r="Z16" s="1541"/>
      <c r="AA16" s="1538">
        <v>1</v>
      </c>
      <c r="AB16" s="1538">
        <v>1</v>
      </c>
      <c r="AC16" s="1538">
        <v>1</v>
      </c>
    </row>
    <row r="17" spans="1:29" ht="71.25">
      <c r="A17" s="387"/>
      <c r="B17" s="410" t="s">
        <v>2475</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16"/>
      <c r="Q17" s="1537" t="str">
        <f>B17</f>
        <v>商业繁华度</v>
      </c>
      <c r="R17" s="714" t="s">
        <v>17</v>
      </c>
      <c r="S17" s="715">
        <f>F17</f>
        <v>100</v>
      </c>
      <c r="T17" s="714" t="s">
        <v>17</v>
      </c>
      <c r="U17" s="715">
        <f>H17</f>
        <v>100</v>
      </c>
      <c r="V17" s="714" t="s">
        <v>17</v>
      </c>
      <c r="W17" s="715">
        <f>J17</f>
        <v>100</v>
      </c>
      <c r="X17" s="1540"/>
      <c r="Y17" s="3316"/>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16"/>
      <c r="Q18" s="1537"/>
      <c r="R18" s="714"/>
      <c r="S18" s="715"/>
      <c r="T18" s="714"/>
      <c r="U18" s="715"/>
      <c r="V18" s="714"/>
      <c r="W18" s="715"/>
      <c r="X18" s="1540"/>
      <c r="Y18" s="3316"/>
      <c r="Z18" s="1541"/>
      <c r="AA18" s="1538">
        <v>1</v>
      </c>
      <c r="AB18" s="1538">
        <v>1</v>
      </c>
      <c r="AC18" s="1538">
        <v>1</v>
      </c>
    </row>
    <row r="19" spans="1:29" ht="71.25">
      <c r="A19" s="387"/>
      <c r="B19" s="410" t="s">
        <v>2509</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16"/>
      <c r="Q19" s="1537" t="str">
        <f>B19</f>
        <v>办公集聚程度</v>
      </c>
      <c r="R19" s="714" t="s">
        <v>17</v>
      </c>
      <c r="S19" s="715">
        <f>F19</f>
        <v>100</v>
      </c>
      <c r="T19" s="714" t="s">
        <v>17</v>
      </c>
      <c r="U19" s="715">
        <f>H19</f>
        <v>100</v>
      </c>
      <c r="V19" s="714" t="s">
        <v>17</v>
      </c>
      <c r="W19" s="715">
        <f>J19</f>
        <v>100</v>
      </c>
      <c r="X19" s="1540"/>
      <c r="Y19" s="3316"/>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16"/>
      <c r="Q20" s="1537"/>
      <c r="R20" s="714"/>
      <c r="S20" s="715"/>
      <c r="T20" s="714"/>
      <c r="U20" s="715"/>
      <c r="V20" s="714"/>
      <c r="W20" s="715"/>
      <c r="X20" s="1540"/>
      <c r="Y20" s="3316"/>
      <c r="Z20" s="1541"/>
      <c r="AA20" s="1538">
        <v>1</v>
      </c>
      <c r="AB20" s="1538">
        <v>1</v>
      </c>
      <c r="AC20" s="1538">
        <v>1</v>
      </c>
    </row>
    <row r="21" spans="1:29" ht="85.5">
      <c r="A21" s="387"/>
      <c r="B21" s="410" t="s">
        <v>2531</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16"/>
      <c r="Q21" s="1537" t="str">
        <f>B21</f>
        <v>交通便捷度</v>
      </c>
      <c r="R21" s="714" t="s">
        <v>17</v>
      </c>
      <c r="S21" s="715">
        <f>F21</f>
        <v>100</v>
      </c>
      <c r="T21" s="714" t="s">
        <v>17</v>
      </c>
      <c r="U21" s="715">
        <f>H21</f>
        <v>100</v>
      </c>
      <c r="V21" s="714" t="s">
        <v>17</v>
      </c>
      <c r="W21" s="715">
        <f>J21</f>
        <v>100</v>
      </c>
      <c r="X21" s="1540"/>
      <c r="Y21" s="3316"/>
      <c r="Z21" s="1541" t="str">
        <f>Q21</f>
        <v>交通便捷度</v>
      </c>
      <c r="AA21" s="1538">
        <f t="shared" si="3"/>
        <v>1</v>
      </c>
      <c r="AB21" s="1538">
        <f t="shared" si="4"/>
        <v>1</v>
      </c>
      <c r="AC21" s="1538">
        <f t="shared" si="5"/>
        <v>1</v>
      </c>
    </row>
    <row r="22" spans="1:29" ht="15">
      <c r="A22" s="387"/>
      <c r="B22" s="1292"/>
      <c r="C22" s="406"/>
      <c r="D22" s="409"/>
      <c r="E22" s="2085"/>
      <c r="F22" s="407"/>
      <c r="G22" s="2085"/>
      <c r="H22" s="407"/>
      <c r="I22" s="2084"/>
      <c r="J22" s="407"/>
      <c r="K22" s="628"/>
      <c r="L22" s="2952"/>
      <c r="M22" s="2946"/>
      <c r="N22" s="2946"/>
      <c r="O22" s="3004"/>
      <c r="P22" s="3316"/>
      <c r="Q22" s="1537"/>
      <c r="R22" s="714"/>
      <c r="S22" s="715"/>
      <c r="T22" s="714"/>
      <c r="U22" s="715"/>
      <c r="V22" s="714"/>
      <c r="W22" s="715"/>
      <c r="X22" s="1540"/>
      <c r="Y22" s="3316"/>
      <c r="Z22" s="1541"/>
      <c r="AA22" s="1538">
        <v>1</v>
      </c>
      <c r="AB22" s="1538">
        <v>1</v>
      </c>
      <c r="AC22" s="1538">
        <v>1</v>
      </c>
    </row>
    <row r="23" spans="1:29" ht="15">
      <c r="A23" s="364"/>
      <c r="B23" s="410" t="s">
        <v>2570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16"/>
      <c r="Q23" s="1537" t="str">
        <f t="shared" ref="Q23:Q37" si="8">B23</f>
        <v>区域土地利用方向</v>
      </c>
      <c r="R23" s="714" t="s">
        <v>17</v>
      </c>
      <c r="S23" s="715">
        <f>F23</f>
        <v>100</v>
      </c>
      <c r="T23" s="714" t="s">
        <v>17</v>
      </c>
      <c r="U23" s="715">
        <f>H23</f>
        <v>100</v>
      </c>
      <c r="V23" s="714" t="s">
        <v>17</v>
      </c>
      <c r="W23" s="715">
        <f>J23</f>
        <v>100</v>
      </c>
      <c r="X23" s="1540"/>
      <c r="Y23" s="3316"/>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16"/>
      <c r="Q24" s="1537"/>
      <c r="R24" s="714"/>
      <c r="S24" s="715"/>
      <c r="T24" s="714"/>
      <c r="U24" s="715"/>
      <c r="V24" s="714"/>
      <c r="W24" s="715"/>
      <c r="X24" s="1540"/>
      <c r="Y24" s="3316"/>
      <c r="Z24" s="1541"/>
      <c r="AA24" s="1538"/>
      <c r="AB24" s="1538"/>
      <c r="AC24" s="1538"/>
    </row>
    <row r="25" spans="1:29" ht="57">
      <c r="A25" s="364"/>
      <c r="B25" s="1292" t="s">
        <v>2571</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16"/>
      <c r="Q25" s="1537" t="str">
        <f t="shared" si="8"/>
        <v>自然及人文环境状况</v>
      </c>
      <c r="R25" s="714" t="s">
        <v>17</v>
      </c>
      <c r="S25" s="715">
        <f>F25</f>
        <v>100</v>
      </c>
      <c r="T25" s="714" t="s">
        <v>17</v>
      </c>
      <c r="U25" s="715">
        <f>H25</f>
        <v>100</v>
      </c>
      <c r="V25" s="714" t="s">
        <v>17</v>
      </c>
      <c r="W25" s="715">
        <f>J25</f>
        <v>100</v>
      </c>
      <c r="X25" s="1540"/>
      <c r="Y25" s="3316"/>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16"/>
      <c r="Q26" s="1537"/>
      <c r="R26" s="714"/>
      <c r="S26" s="715"/>
      <c r="T26" s="714"/>
      <c r="U26" s="715"/>
      <c r="V26" s="714"/>
      <c r="W26" s="715"/>
      <c r="X26" s="1540"/>
      <c r="Y26" s="3316"/>
      <c r="Z26" s="1541"/>
      <c r="AA26" s="1538">
        <v>1</v>
      </c>
      <c r="AB26" s="1538">
        <v>1</v>
      </c>
      <c r="AC26" s="1538">
        <v>1</v>
      </c>
    </row>
    <row r="27" spans="1:29" s="113" customFormat="1" ht="42.75">
      <c r="A27" s="605"/>
      <c r="B27" s="1292" t="s">
        <v>2476</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16"/>
      <c r="Q27" s="1528" t="str">
        <f t="shared" si="8"/>
        <v>公共配套设施</v>
      </c>
      <c r="R27" s="710" t="s">
        <v>17</v>
      </c>
      <c r="S27" s="711">
        <f>F27</f>
        <v>100</v>
      </c>
      <c r="T27" s="710" t="s">
        <v>17</v>
      </c>
      <c r="U27" s="711">
        <f>H27</f>
        <v>100</v>
      </c>
      <c r="V27" s="710" t="s">
        <v>17</v>
      </c>
      <c r="W27" s="711">
        <f>J27</f>
        <v>100</v>
      </c>
      <c r="X27" s="712"/>
      <c r="Y27" s="3316"/>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16"/>
      <c r="Q28" s="1528"/>
      <c r="R28" s="710"/>
      <c r="S28" s="711"/>
      <c r="T28" s="710"/>
      <c r="U28" s="711"/>
      <c r="V28" s="710"/>
      <c r="W28" s="711"/>
      <c r="X28" s="712"/>
      <c r="Y28" s="3316"/>
      <c r="Z28" s="55"/>
      <c r="AA28" s="1538">
        <v>1</v>
      </c>
      <c r="AB28" s="1538">
        <v>1</v>
      </c>
      <c r="AC28" s="1538">
        <v>1</v>
      </c>
    </row>
    <row r="29" spans="1:29" s="113" customFormat="1" ht="28.5">
      <c r="A29" s="605"/>
      <c r="B29" s="1292" t="s">
        <v>2477</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16"/>
      <c r="Q29" s="1528"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16"/>
      <c r="Q30" s="1528"/>
      <c r="R30" s="710"/>
      <c r="S30" s="711"/>
      <c r="T30" s="710"/>
      <c r="U30" s="711"/>
      <c r="V30" s="710"/>
      <c r="W30" s="711"/>
      <c r="X30" s="712"/>
      <c r="Y30" s="3316"/>
      <c r="Z30" s="55"/>
      <c r="AA30" s="1538">
        <v>1</v>
      </c>
      <c r="AB30" s="1538">
        <v>1</v>
      </c>
      <c r="AC30" s="1538">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16"/>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6"/>
      <c r="Z31" s="1541" t="str">
        <f t="shared" ref="Z31:Z45" si="13">Q31</f>
        <v>临街状况</v>
      </c>
      <c r="AA31" s="1538">
        <f t="shared" si="3"/>
        <v>1</v>
      </c>
      <c r="AB31" s="1538">
        <f t="shared" si="4"/>
        <v>1</v>
      </c>
      <c r="AC31" s="1538">
        <f t="shared" si="5"/>
        <v>1</v>
      </c>
    </row>
    <row r="32" spans="1:29" ht="27">
      <c r="A32" s="387"/>
      <c r="B32" s="1292"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16"/>
      <c r="Q32" s="1537" t="str">
        <f t="shared" si="8"/>
        <v>毗邻道路的类型与等级</v>
      </c>
      <c r="R32" s="714" t="s">
        <v>17</v>
      </c>
      <c r="S32" s="715">
        <f t="shared" si="10"/>
        <v>100</v>
      </c>
      <c r="T32" s="714" t="s">
        <v>17</v>
      </c>
      <c r="U32" s="715">
        <f t="shared" si="11"/>
        <v>100</v>
      </c>
      <c r="V32" s="714" t="s">
        <v>17</v>
      </c>
      <c r="W32" s="715">
        <f t="shared" si="12"/>
        <v>100</v>
      </c>
      <c r="X32" s="1540"/>
      <c r="Y32" s="3316"/>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16"/>
      <c r="Q33" s="1537"/>
      <c r="R33" s="714"/>
      <c r="S33" s="715"/>
      <c r="T33" s="714"/>
      <c r="U33" s="715"/>
      <c r="V33" s="714"/>
      <c r="W33" s="715"/>
      <c r="X33" s="1540"/>
      <c r="Y33" s="3316"/>
      <c r="Z33" s="1541"/>
      <c r="AA33" s="1538">
        <v>1</v>
      </c>
      <c r="AB33" s="1538">
        <v>1</v>
      </c>
      <c r="AC33" s="1538">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16"/>
      <c r="Q34" s="1537" t="str">
        <f t="shared" si="8"/>
        <v>土地级别</v>
      </c>
      <c r="R34" s="714" t="s">
        <v>17</v>
      </c>
      <c r="S34" s="715">
        <f t="shared" si="10"/>
        <v>100</v>
      </c>
      <c r="T34" s="714" t="s">
        <v>17</v>
      </c>
      <c r="U34" s="715">
        <f t="shared" si="11"/>
        <v>100</v>
      </c>
      <c r="V34" s="714" t="s">
        <v>17</v>
      </c>
      <c r="W34" s="715">
        <f t="shared" si="12"/>
        <v>100</v>
      </c>
      <c r="X34" s="1540"/>
      <c r="Y34" s="3316"/>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16"/>
      <c r="Q35" s="1537">
        <f t="shared" si="8"/>
        <v>111</v>
      </c>
      <c r="R35" s="714" t="s">
        <v>17</v>
      </c>
      <c r="S35" s="715">
        <f t="shared" si="10"/>
        <v>100</v>
      </c>
      <c r="T35" s="714" t="s">
        <v>17</v>
      </c>
      <c r="U35" s="715">
        <f t="shared" si="11"/>
        <v>100</v>
      </c>
      <c r="V35" s="714" t="s">
        <v>17</v>
      </c>
      <c r="W35" s="715">
        <f t="shared" si="12"/>
        <v>100</v>
      </c>
      <c r="X35" s="1540"/>
      <c r="Y35" s="3316"/>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96" t="s">
        <v>2387</v>
      </c>
      <c r="Q36" s="1537">
        <f t="shared" si="8"/>
        <v>111</v>
      </c>
      <c r="R36" s="714" t="s">
        <v>17</v>
      </c>
      <c r="S36" s="715">
        <f t="shared" si="10"/>
        <v>100</v>
      </c>
      <c r="T36" s="714" t="s">
        <v>17</v>
      </c>
      <c r="U36" s="715">
        <f t="shared" si="11"/>
        <v>100</v>
      </c>
      <c r="V36" s="714" t="s">
        <v>17</v>
      </c>
      <c r="W36" s="715">
        <f t="shared" si="12"/>
        <v>100</v>
      </c>
      <c r="X36" s="1540"/>
      <c r="Y36" s="3320" t="s">
        <v>2387</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20"/>
      <c r="Q37" s="1537">
        <f t="shared" si="8"/>
        <v>111</v>
      </c>
      <c r="R37" s="717" t="s">
        <v>17</v>
      </c>
      <c r="S37" s="718">
        <f t="shared" si="10"/>
        <v>100</v>
      </c>
      <c r="T37" s="717" t="s">
        <v>17</v>
      </c>
      <c r="U37" s="718">
        <f t="shared" si="11"/>
        <v>100</v>
      </c>
      <c r="V37" s="717" t="s">
        <v>17</v>
      </c>
      <c r="W37" s="718">
        <f t="shared" si="12"/>
        <v>100</v>
      </c>
      <c r="X37" s="719"/>
      <c r="Y37" s="3320"/>
      <c r="Z37" s="720">
        <f t="shared" si="13"/>
        <v>111</v>
      </c>
      <c r="AA37" s="1538">
        <f t="shared" si="3"/>
        <v>1</v>
      </c>
      <c r="AB37" s="1538">
        <f t="shared" si="4"/>
        <v>1</v>
      </c>
      <c r="AC37" s="1538">
        <f t="shared" si="5"/>
        <v>1</v>
      </c>
    </row>
    <row r="38" spans="1:29" ht="15">
      <c r="A38" s="431" t="s">
        <v>2385</v>
      </c>
      <c r="B38" s="415" t="s">
        <v>2573</v>
      </c>
      <c r="C38" s="635">
        <f>面积指标!N7</f>
        <v>11700.05</v>
      </c>
      <c r="D38" s="426">
        <v>100</v>
      </c>
      <c r="E38" s="635">
        <f>土地案例!$D$2</f>
        <v>70601.070000000007</v>
      </c>
      <c r="F38" s="426">
        <f>LOOKUP(E38,117:117,118:118)-LOOKUP(C38,117:117,118:118)+100</f>
        <v>103</v>
      </c>
      <c r="G38" s="635">
        <f>土地案例!$D$3</f>
        <v>22035.93</v>
      </c>
      <c r="H38" s="426">
        <f>LOOKUP(G38,117:117,118:118)-LOOKUP(C38,117:117,118:118)+100</f>
        <v>101</v>
      </c>
      <c r="I38" s="487">
        <f>土地案例!$D$4</f>
        <v>32158.94</v>
      </c>
      <c r="J38" s="426">
        <f>LOOKUP(I38,117:117,118:118)-LOOKUP(C38,117:117,118:118)+100</f>
        <v>101</v>
      </c>
      <c r="K38" s="570"/>
      <c r="L38" s="2952"/>
      <c r="M38" s="2946"/>
      <c r="N38" s="2946"/>
      <c r="O38" s="3004"/>
      <c r="P38" s="3320"/>
      <c r="Q38" s="1537" t="str">
        <f>B38</f>
        <v>宗地面积</v>
      </c>
      <c r="R38" s="714" t="s">
        <v>17</v>
      </c>
      <c r="S38" s="715">
        <f t="shared" si="10"/>
        <v>103</v>
      </c>
      <c r="T38" s="714" t="s">
        <v>17</v>
      </c>
      <c r="U38" s="715">
        <f t="shared" si="11"/>
        <v>101</v>
      </c>
      <c r="V38" s="714" t="s">
        <v>17</v>
      </c>
      <c r="W38" s="715">
        <f t="shared" si="12"/>
        <v>101</v>
      </c>
      <c r="X38" s="1540"/>
      <c r="Y38" s="3320"/>
      <c r="Z38" s="1541" t="str">
        <f t="shared" si="13"/>
        <v>宗地面积</v>
      </c>
      <c r="AA38" s="1538">
        <f t="shared" si="3"/>
        <v>0.970873786407767</v>
      </c>
      <c r="AB38" s="1538">
        <f t="shared" si="4"/>
        <v>0.99009900990099009</v>
      </c>
      <c r="AC38" s="1538">
        <f t="shared" si="5"/>
        <v>0.99009900990099009</v>
      </c>
    </row>
    <row r="39" spans="1:29" ht="15">
      <c r="A39" s="431"/>
      <c r="B39" s="381" t="s">
        <v>2574</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20"/>
      <c r="Q39" s="1537" t="str">
        <f t="shared" ref="Q39:Q45" si="14">B39</f>
        <v>宗地形状</v>
      </c>
      <c r="R39" s="714" t="s">
        <v>17</v>
      </c>
      <c r="S39" s="715">
        <f t="shared" si="10"/>
        <v>100</v>
      </c>
      <c r="T39" s="714" t="s">
        <v>17</v>
      </c>
      <c r="U39" s="715">
        <f t="shared" si="11"/>
        <v>100</v>
      </c>
      <c r="V39" s="714" t="s">
        <v>17</v>
      </c>
      <c r="W39" s="715">
        <f t="shared" si="12"/>
        <v>100</v>
      </c>
      <c r="X39" s="1540"/>
      <c r="Y39" s="3320"/>
      <c r="Z39" s="1541" t="str">
        <f t="shared" si="13"/>
        <v>宗地形状</v>
      </c>
      <c r="AA39" s="1538">
        <f t="shared" si="3"/>
        <v>1</v>
      </c>
      <c r="AB39" s="1538">
        <f t="shared" si="4"/>
        <v>1</v>
      </c>
      <c r="AC39" s="1538">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20"/>
      <c r="Q40" s="1537" t="str">
        <f t="shared" si="14"/>
        <v>临街宽度及深度</v>
      </c>
      <c r="R40" s="714" t="s">
        <v>17</v>
      </c>
      <c r="S40" s="715">
        <f t="shared" si="10"/>
        <v>100</v>
      </c>
      <c r="T40" s="714" t="s">
        <v>17</v>
      </c>
      <c r="U40" s="715">
        <f t="shared" si="11"/>
        <v>100</v>
      </c>
      <c r="V40" s="714" t="s">
        <v>17</v>
      </c>
      <c r="W40" s="715">
        <f t="shared" si="12"/>
        <v>100</v>
      </c>
      <c r="X40" s="1540"/>
      <c r="Y40" s="3320"/>
      <c r="Z40" s="1541" t="str">
        <f t="shared" si="13"/>
        <v>临街宽度及深度</v>
      </c>
      <c r="AA40" s="1538">
        <f t="shared" si="3"/>
        <v>1</v>
      </c>
      <c r="AB40" s="1538">
        <f t="shared" si="4"/>
        <v>1</v>
      </c>
      <c r="AC40" s="1538">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20"/>
      <c r="Q41" s="1537" t="str">
        <f t="shared" si="14"/>
        <v>宗地开发程度</v>
      </c>
      <c r="R41" s="710" t="s">
        <v>17</v>
      </c>
      <c r="S41" s="711">
        <f t="shared" si="10"/>
        <v>100</v>
      </c>
      <c r="T41" s="710" t="s">
        <v>17</v>
      </c>
      <c r="U41" s="711">
        <f t="shared" si="11"/>
        <v>100</v>
      </c>
      <c r="V41" s="710" t="s">
        <v>17</v>
      </c>
      <c r="W41" s="711">
        <f t="shared" si="12"/>
        <v>100</v>
      </c>
      <c r="X41" s="712"/>
      <c r="Y41" s="3320"/>
      <c r="Z41" s="55" t="str">
        <f t="shared" si="13"/>
        <v>宗地开发程度</v>
      </c>
      <c r="AA41" s="713">
        <f t="shared" si="3"/>
        <v>1</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20" t="s">
        <v>2387</v>
      </c>
      <c r="Q42" s="1537" t="str">
        <f t="shared" si="14"/>
        <v>工程地质条件</v>
      </c>
      <c r="R42" s="714" t="s">
        <v>17</v>
      </c>
      <c r="S42" s="715">
        <f t="shared" si="10"/>
        <v>100</v>
      </c>
      <c r="T42" s="714" t="s">
        <v>17</v>
      </c>
      <c r="U42" s="715">
        <f t="shared" si="11"/>
        <v>100</v>
      </c>
      <c r="V42" s="714" t="s">
        <v>17</v>
      </c>
      <c r="W42" s="715">
        <f t="shared" si="12"/>
        <v>100</v>
      </c>
      <c r="X42" s="1540"/>
      <c r="Y42" s="3320" t="s">
        <v>2387</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20"/>
      <c r="Q43" s="1537">
        <f t="shared" si="14"/>
        <v>111</v>
      </c>
      <c r="R43" s="714" t="s">
        <v>17</v>
      </c>
      <c r="S43" s="715">
        <f t="shared" si="10"/>
        <v>100</v>
      </c>
      <c r="T43" s="714" t="s">
        <v>17</v>
      </c>
      <c r="U43" s="715">
        <f t="shared" si="11"/>
        <v>100</v>
      </c>
      <c r="V43" s="714" t="s">
        <v>17</v>
      </c>
      <c r="W43" s="715">
        <f t="shared" si="12"/>
        <v>100</v>
      </c>
      <c r="X43" s="1540"/>
      <c r="Y43" s="3320"/>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20"/>
      <c r="Q44" s="1537">
        <f t="shared" si="14"/>
        <v>111</v>
      </c>
      <c r="R44" s="714" t="s">
        <v>17</v>
      </c>
      <c r="S44" s="715">
        <f t="shared" si="10"/>
        <v>100</v>
      </c>
      <c r="T44" s="714" t="s">
        <v>17</v>
      </c>
      <c r="U44" s="715">
        <f t="shared" si="11"/>
        <v>100</v>
      </c>
      <c r="V44" s="714" t="s">
        <v>17</v>
      </c>
      <c r="W44" s="715">
        <f t="shared" si="12"/>
        <v>100</v>
      </c>
      <c r="X44" s="1540"/>
      <c r="Y44" s="3320"/>
      <c r="Z44" s="1541">
        <f t="shared" si="13"/>
        <v>111</v>
      </c>
      <c r="AA44" s="1538">
        <f t="shared" si="3"/>
        <v>1</v>
      </c>
      <c r="AB44" s="1538">
        <f t="shared" si="4"/>
        <v>1</v>
      </c>
      <c r="AC44" s="1538">
        <f t="shared" si="5"/>
        <v>1</v>
      </c>
    </row>
    <row r="45" spans="1:29" s="430" customFormat="1" ht="15.75"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20"/>
      <c r="Q45" s="1537">
        <f t="shared" si="14"/>
        <v>111</v>
      </c>
      <c r="R45" s="717" t="s">
        <v>17</v>
      </c>
      <c r="S45" s="718">
        <f t="shared" si="10"/>
        <v>100</v>
      </c>
      <c r="T45" s="717" t="s">
        <v>17</v>
      </c>
      <c r="U45" s="718">
        <f t="shared" si="11"/>
        <v>100</v>
      </c>
      <c r="V45" s="717" t="s">
        <v>17</v>
      </c>
      <c r="W45" s="718">
        <f t="shared" si="12"/>
        <v>100</v>
      </c>
      <c r="X45" s="719"/>
      <c r="Y45" s="3320"/>
      <c r="Z45" s="720">
        <f t="shared" si="13"/>
        <v>111</v>
      </c>
      <c r="AA45" s="1538">
        <f t="shared" si="3"/>
        <v>1</v>
      </c>
      <c r="AB45" s="1538">
        <f t="shared" si="4"/>
        <v>1</v>
      </c>
      <c r="AC45" s="1538">
        <f t="shared" si="5"/>
        <v>1</v>
      </c>
    </row>
    <row r="46" spans="1:29" ht="15">
      <c r="A46" s="438" t="s">
        <v>2542</v>
      </c>
      <c r="B46" s="2169" t="s">
        <v>2578</v>
      </c>
      <c r="C46" s="638" t="s">
        <v>1</v>
      </c>
      <c r="D46" s="440"/>
      <c r="E46" s="441">
        <f>土地案例!$K$2</f>
        <v>23147</v>
      </c>
      <c r="F46" s="442"/>
      <c r="G46" s="443">
        <f>土地案例!$K$3</f>
        <v>16806.97</v>
      </c>
      <c r="H46" s="444"/>
      <c r="I46" s="441">
        <f>土地案例!$K$4</f>
        <v>27343.360000000001</v>
      </c>
      <c r="J46" s="444"/>
      <c r="K46" s="723"/>
      <c r="L46" s="2954"/>
      <c r="M46" s="2955"/>
      <c r="N46" s="2946"/>
      <c r="O46" s="2955"/>
      <c r="P46" s="3322" t="str">
        <f>A46</f>
        <v>成交单价</v>
      </c>
      <c r="Q46" s="3322"/>
      <c r="R46" s="3310">
        <f>E46</f>
        <v>23147</v>
      </c>
      <c r="S46" s="3310"/>
      <c r="T46" s="3310">
        <f>G46</f>
        <v>16806.97</v>
      </c>
      <c r="U46" s="3310"/>
      <c r="V46" s="3310">
        <f>I46</f>
        <v>27343.360000000001</v>
      </c>
      <c r="W46" s="3310"/>
      <c r="X46" s="699"/>
      <c r="Y46" s="721"/>
      <c r="Z46" s="699"/>
      <c r="AA46" s="699"/>
      <c r="AB46" s="699"/>
      <c r="AC46" s="699"/>
    </row>
    <row r="47" spans="1:29" ht="15.75" thickBot="1">
      <c r="A47" s="445" t="s">
        <v>2491</v>
      </c>
      <c r="B47" s="639"/>
      <c r="C47" s="448">
        <f>R48</f>
        <v>23473</v>
      </c>
      <c r="D47" s="2539" t="s">
        <v>3179</v>
      </c>
      <c r="E47" s="448">
        <f>R47</f>
        <v>24252</v>
      </c>
      <c r="F47" s="2540">
        <v>0.3</v>
      </c>
      <c r="G47" s="447">
        <f>T47</f>
        <v>16327</v>
      </c>
      <c r="H47" s="2540">
        <v>0.3</v>
      </c>
      <c r="I47" s="448">
        <f>V47</f>
        <v>28249</v>
      </c>
      <c r="J47" s="2540">
        <v>0.4</v>
      </c>
      <c r="K47" s="2542">
        <f>F47+H47+J47</f>
        <v>1</v>
      </c>
      <c r="L47" s="2954"/>
      <c r="M47" s="2955"/>
      <c r="N47" s="2955"/>
      <c r="O47" s="2955"/>
      <c r="P47" s="3322" t="str">
        <f>A47</f>
        <v>比较价值（元/平方米）</v>
      </c>
      <c r="Q47" s="3322"/>
      <c r="R47" s="3397">
        <f>ROUND(PRODUCT(R46,AA7:AA45),0)</f>
        <v>24252</v>
      </c>
      <c r="S47" s="3397"/>
      <c r="T47" s="3397">
        <f>ROUND(PRODUCT(T46,AB7:AB45),0)</f>
        <v>16327</v>
      </c>
      <c r="U47" s="3397"/>
      <c r="V47" s="3397">
        <f>ROUND(PRODUCT(V46,AC7:AC45),0)</f>
        <v>28249</v>
      </c>
      <c r="W47" s="3397"/>
      <c r="X47" s="699"/>
      <c r="Y47" s="699"/>
      <c r="Z47" s="699"/>
      <c r="AA47" s="699"/>
      <c r="AB47" s="699"/>
      <c r="AC47" s="699"/>
    </row>
    <row r="48" spans="1:29" ht="15.75" thickBot="1">
      <c r="A48" s="449" t="s">
        <v>2579</v>
      </c>
      <c r="B48" s="450"/>
      <c r="C48" s="451">
        <f>R48</f>
        <v>23473</v>
      </c>
      <c r="D48" s="451"/>
      <c r="E48" s="451"/>
      <c r="F48" s="451"/>
      <c r="G48" s="451"/>
      <c r="H48" s="451"/>
      <c r="I48" s="451"/>
      <c r="J48" s="451"/>
      <c r="K48" s="724"/>
      <c r="L48" s="2954"/>
      <c r="M48" s="2955"/>
      <c r="N48" s="2955"/>
      <c r="O48" s="2955"/>
      <c r="P48" s="3367" t="str">
        <f>A48</f>
        <v>估价对象XX用房的比较价值（楼面单价，元/平方米）</v>
      </c>
      <c r="Q48" s="3368"/>
      <c r="R48" s="3398">
        <f>ROUND(IF(D47="简单平均",AVERAGE(R47:W47),R47*F47+T47*H47+V47*J47),0)</f>
        <v>23473</v>
      </c>
      <c r="S48" s="3398"/>
      <c r="T48" s="3398"/>
      <c r="U48" s="3398"/>
      <c r="V48" s="3398"/>
      <c r="W48" s="3398"/>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2493</v>
      </c>
      <c r="D51" s="455"/>
      <c r="E51" s="456">
        <f>IF(E46&lt;E47,E47/E46-1,E46/E47-1)</f>
        <v>4.7738367823044081E-2</v>
      </c>
      <c r="F51" s="457" t="str">
        <f>IF(OR(E51&gt;=0.3,E51&lt;=-0.3),"超过30%","")</f>
        <v/>
      </c>
      <c r="G51" s="456">
        <f>IF(G46&lt;G47,G47/G46-1,G46/G47-1)</f>
        <v>2.9397317327126915E-2</v>
      </c>
      <c r="H51" s="457" t="str">
        <f>IF(OR(G51&gt;=0.3,G51&lt;=-0.3),"超过30%","")</f>
        <v/>
      </c>
      <c r="I51" s="456">
        <f>IF(I46&lt;I47,I47/I46-1,I46/I47-1)</f>
        <v>3.3121020971819126E-2</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2494</v>
      </c>
      <c r="D52" s="458"/>
      <c r="E52" s="456">
        <f>IF(E47&lt;G47,G47/E47-1,E47/G47-1)</f>
        <v>0.48539229497151948</v>
      </c>
      <c r="F52" s="457" t="str">
        <f>IF(OR(E52&gt;=0.2,E52&lt;=-0.2),"超过20%","")</f>
        <v>超过20%</v>
      </c>
      <c r="G52" s="456">
        <f>IF(G47&lt;I47,I47/G47-1,G47/I47-1)</f>
        <v>0.73020150670668227</v>
      </c>
      <c r="H52" s="457" t="str">
        <f>IF(OR(G52&gt;=0.2,G52&lt;=-0.2),"超过20%","")</f>
        <v>超过20%</v>
      </c>
      <c r="I52" s="456">
        <f>IF(I47&lt;E47,E47/I47-1,I47/E47-1)</f>
        <v>0.1648111495959097</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2495</v>
      </c>
      <c r="D53" s="458"/>
      <c r="E53" s="456">
        <f>IF(E46&lt;G46,G46/E46-1,E46/G46-1)</f>
        <v>0.3772262341159649</v>
      </c>
      <c r="F53" s="457" t="str">
        <f>IF(OR(E53&gt;=0.3,E53&lt;=-0.3),"超过30%","")</f>
        <v>超过30%</v>
      </c>
      <c r="G53" s="456">
        <f>IF(G46&lt;I46,I46/G46-1,G46/I46-1)</f>
        <v>0.62690598007850307</v>
      </c>
      <c r="H53" s="457" t="str">
        <f>IF(OR(G53&gt;=0.3,G53&lt;=-0.3),"超过30%","")</f>
        <v>超过30%</v>
      </c>
      <c r="I53" s="456">
        <f>IF(I46&lt;E46,E46/I46-1,I46/E46-1)</f>
        <v>0.18129174407050597</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2580</v>
      </c>
      <c r="B55" s="641" t="s">
        <v>2581</v>
      </c>
      <c r="C55" s="2170" t="s">
        <v>2582</v>
      </c>
      <c r="D55" s="2171" t="s">
        <v>2583</v>
      </c>
      <c r="E55" s="642" t="s">
        <v>2584</v>
      </c>
      <c r="F55" s="1021" t="s">
        <v>2585</v>
      </c>
      <c r="G55" s="3297" t="s">
        <v>2586</v>
      </c>
      <c r="H55" s="3399"/>
      <c r="I55" s="140"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2589</v>
      </c>
      <c r="B56" s="645">
        <f>C48</f>
        <v>23473</v>
      </c>
      <c r="C56" s="646">
        <v>1</v>
      </c>
      <c r="D56" s="1075">
        <v>1</v>
      </c>
      <c r="E56" s="646">
        <f>'数据-汇总表'!E8+'数据-汇总表'!E9</f>
        <v>8033.74</v>
      </c>
      <c r="F56" s="1017">
        <f t="shared" ref="F56:F65" si="15">ROUND(B56*E56/10000,0)</f>
        <v>18858</v>
      </c>
      <c r="G56" s="3293"/>
      <c r="H56" s="3322"/>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2590</v>
      </c>
      <c r="B57" s="224">
        <f>ROUND($C$48*C57*D57,0)</f>
        <v>0</v>
      </c>
      <c r="C57" s="176">
        <f t="shared" ref="C57:C65" si="16">IF($C$55="北京市系数",I57,J57)</f>
        <v>0</v>
      </c>
      <c r="D57" s="1076">
        <v>0.25</v>
      </c>
      <c r="E57" s="650"/>
      <c r="F57" s="1017">
        <f t="shared" si="15"/>
        <v>0</v>
      </c>
      <c r="G57" s="3400" t="s">
        <v>2591</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2592</v>
      </c>
      <c r="B58" s="224">
        <f t="shared" ref="B58:B65" si="17">ROUND($C$48*C58*D58,0)</f>
        <v>0</v>
      </c>
      <c r="C58" s="176">
        <f t="shared" si="16"/>
        <v>0</v>
      </c>
      <c r="D58" s="1076">
        <v>0.25</v>
      </c>
      <c r="E58" s="650"/>
      <c r="F58" s="1017">
        <f t="shared" si="15"/>
        <v>0</v>
      </c>
      <c r="G58" s="3400"/>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2593</v>
      </c>
      <c r="B59" s="224">
        <f t="shared" si="17"/>
        <v>0</v>
      </c>
      <c r="C59" s="176">
        <f t="shared" si="16"/>
        <v>0</v>
      </c>
      <c r="D59" s="1076">
        <v>0.25</v>
      </c>
      <c r="E59" s="650"/>
      <c r="F59" s="1017">
        <f t="shared" si="15"/>
        <v>0</v>
      </c>
      <c r="G59" s="3400"/>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2594</v>
      </c>
      <c r="B60" s="224">
        <f t="shared" si="17"/>
        <v>0</v>
      </c>
      <c r="C60" s="176">
        <f t="shared" si="16"/>
        <v>0</v>
      </c>
      <c r="D60" s="1076">
        <v>0.25</v>
      </c>
      <c r="E60" s="650"/>
      <c r="F60" s="1017">
        <f t="shared" si="15"/>
        <v>0</v>
      </c>
      <c r="G60" s="3400"/>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2595</v>
      </c>
      <c r="B61" s="224">
        <f t="shared" si="17"/>
        <v>1174</v>
      </c>
      <c r="C61" s="176">
        <f t="shared" si="16"/>
        <v>0.2</v>
      </c>
      <c r="D61" s="1076">
        <v>0.25</v>
      </c>
      <c r="E61" s="223">
        <f>'数据-汇总表'!E11</f>
        <v>1786.82</v>
      </c>
      <c r="F61" s="1017">
        <f t="shared" si="15"/>
        <v>210</v>
      </c>
      <c r="G61" s="2174" t="s">
        <v>2596</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2597</v>
      </c>
      <c r="B62" s="224">
        <f t="shared" si="17"/>
        <v>1174</v>
      </c>
      <c r="C62" s="176">
        <f t="shared" si="16"/>
        <v>0.2</v>
      </c>
      <c r="D62" s="1076">
        <v>0.25</v>
      </c>
      <c r="E62" s="223">
        <f>'数据-汇总表'!E12</f>
        <v>0</v>
      </c>
      <c r="F62" s="1017">
        <f t="shared" si="15"/>
        <v>0</v>
      </c>
      <c r="G62" s="1023" t="s">
        <v>2598</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2599</v>
      </c>
      <c r="B63" s="224">
        <f t="shared" si="17"/>
        <v>0</v>
      </c>
      <c r="C63" s="176">
        <f t="shared" si="16"/>
        <v>0</v>
      </c>
      <c r="D63" s="1076">
        <v>0.25</v>
      </c>
      <c r="E63" s="223">
        <f>'数据-汇总表'!E13</f>
        <v>0</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2601</v>
      </c>
      <c r="B64" s="224">
        <f t="shared" si="17"/>
        <v>0</v>
      </c>
      <c r="C64" s="176">
        <f t="shared" si="16"/>
        <v>0</v>
      </c>
      <c r="D64" s="1076">
        <v>0.25</v>
      </c>
      <c r="E64" s="223">
        <f>'数据-汇总表'!E14</f>
        <v>0</v>
      </c>
      <c r="F64" s="1017">
        <f t="shared" si="15"/>
        <v>0</v>
      </c>
      <c r="G64" s="2174" t="s">
        <v>2591</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2602</v>
      </c>
      <c r="B65" s="224">
        <f t="shared" si="17"/>
        <v>880</v>
      </c>
      <c r="C65" s="176">
        <f t="shared" si="16"/>
        <v>0.15</v>
      </c>
      <c r="D65" s="1076">
        <v>0.25</v>
      </c>
      <c r="E65" s="223">
        <f>'数据-汇总表'!E15</f>
        <v>0</v>
      </c>
      <c r="F65" s="1017">
        <f t="shared" si="15"/>
        <v>0</v>
      </c>
      <c r="G65" s="2175" t="s">
        <v>2596</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2603</v>
      </c>
      <c r="B66" s="652" t="s">
        <v>28</v>
      </c>
      <c r="C66" s="652" t="s">
        <v>29</v>
      </c>
      <c r="D66" s="652" t="s">
        <v>997</v>
      </c>
      <c r="E66" s="652">
        <f>IF(B46="楼面地价",SUM(E56:E65),'数据-汇总表'!D3)</f>
        <v>9820.56</v>
      </c>
      <c r="F66" s="653">
        <f>IF(B46="楼面地价",SUM(F56:F65),ROUND(C48*E66/10000,0))</f>
        <v>19068</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5"/>
      <c r="Q68" s="2955"/>
      <c r="R68" s="2955"/>
      <c r="S68" s="2955"/>
      <c r="T68" s="2955"/>
      <c r="U68" s="2955"/>
      <c r="V68" s="2955"/>
      <c r="W68" s="2955"/>
      <c r="X68" s="2955"/>
      <c r="Y68" s="2955"/>
      <c r="Z68" s="2955"/>
      <c r="AA68" s="2955"/>
      <c r="AB68" s="2955"/>
      <c r="AC68" s="2955"/>
    </row>
    <row r="69" spans="1:29" ht="21.75" thickBot="1">
      <c r="A69" s="703" t="s">
        <v>2496</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2604</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27</v>
      </c>
      <c r="B71" s="294" t="str">
        <f>"北京市平均增长率"&amp;TEXT(SUMIF(基准地价修正!N21:N25,A71,基准地价修正!P21:P25),"0.00%")</f>
        <v>北京市平均增长率1.14%</v>
      </c>
      <c r="C71" s="560">
        <v>100</v>
      </c>
      <c r="D71" s="552">
        <v>100</v>
      </c>
      <c r="E71" s="552">
        <v>100</v>
      </c>
      <c r="F71" s="552">
        <v>100</v>
      </c>
      <c r="G71" s="552">
        <v>99</v>
      </c>
      <c r="H71" s="552">
        <v>98</v>
      </c>
      <c r="I71" s="552">
        <v>97</v>
      </c>
      <c r="J71" s="552">
        <v>96</v>
      </c>
      <c r="K71" s="552">
        <v>95</v>
      </c>
      <c r="L71" s="552">
        <v>94</v>
      </c>
      <c r="M71" s="552">
        <v>93</v>
      </c>
      <c r="N71" s="552"/>
      <c r="O71" s="1340"/>
      <c r="P71" s="2969"/>
      <c r="Q71" s="2889"/>
      <c r="R71" s="2889"/>
      <c r="S71" s="2889"/>
      <c r="T71" s="2889"/>
      <c r="U71" s="2889"/>
      <c r="V71" s="2889"/>
      <c r="W71" s="2889"/>
      <c r="X71" s="2889"/>
      <c r="Y71" s="2889"/>
      <c r="Z71" s="2889"/>
      <c r="AA71" s="2889"/>
      <c r="AB71" s="2889"/>
      <c r="AC71" s="2889"/>
    </row>
    <row r="72" spans="1:29" s="113" customFormat="1" ht="15.75" thickBot="1">
      <c r="A72" s="472" t="s">
        <v>2407</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2372</v>
      </c>
      <c r="B73" s="467"/>
      <c r="C73" s="479" t="s">
        <v>2474</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2410</v>
      </c>
      <c r="B75" s="485" t="s">
        <v>2376</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2379</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2380</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v>0</v>
      </c>
      <c r="D80" s="506">
        <v>1</v>
      </c>
      <c r="E80" s="506">
        <v>2</v>
      </c>
      <c r="F80" s="506">
        <v>3</v>
      </c>
      <c r="G80" s="506">
        <v>4</v>
      </c>
      <c r="H80" s="506">
        <v>5</v>
      </c>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95</v>
      </c>
      <c r="E81" s="501">
        <f t="shared" si="21"/>
        <v>90</v>
      </c>
      <c r="F81" s="501">
        <f t="shared" si="21"/>
        <v>85</v>
      </c>
      <c r="G81" s="501">
        <f t="shared" si="21"/>
        <v>80</v>
      </c>
      <c r="H81" s="501">
        <f t="shared" si="21"/>
        <v>75</v>
      </c>
      <c r="I81" s="501">
        <f t="shared" si="21"/>
        <v>70</v>
      </c>
      <c r="J81" s="501">
        <f t="shared" si="21"/>
        <v>65</v>
      </c>
      <c r="K81" s="501">
        <f t="shared" si="21"/>
        <v>60</v>
      </c>
      <c r="L81" s="501">
        <f t="shared" si="21"/>
        <v>55</v>
      </c>
      <c r="M81" s="501">
        <f t="shared" si="21"/>
        <v>50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2381</v>
      </c>
      <c r="B88" s="485" t="s">
        <v>2418</v>
      </c>
      <c r="C88" s="530" t="s">
        <v>2419</v>
      </c>
      <c r="D88" s="530" t="s">
        <v>2420</v>
      </c>
      <c r="E88" s="530" t="s">
        <v>2421</v>
      </c>
      <c r="F88" s="530" t="s">
        <v>2422</v>
      </c>
      <c r="G88" s="530" t="s">
        <v>2423</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2419</v>
      </c>
      <c r="D90" s="535" t="s">
        <v>2420</v>
      </c>
      <c r="E90" s="535" t="s">
        <v>2421</v>
      </c>
      <c r="F90" s="535" t="s">
        <v>2422</v>
      </c>
      <c r="G90" s="535" t="s">
        <v>2423</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2519</v>
      </c>
      <c r="C92" s="535" t="s">
        <v>2419</v>
      </c>
      <c r="D92" s="535" t="s">
        <v>2420</v>
      </c>
      <c r="E92" s="535" t="s">
        <v>2421</v>
      </c>
      <c r="F92" s="535" t="s">
        <v>2422</v>
      </c>
      <c r="G92" s="535" t="s">
        <v>2423</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2424</v>
      </c>
      <c r="C94" s="535" t="s">
        <v>2419</v>
      </c>
      <c r="D94" s="535" t="s">
        <v>2420</v>
      </c>
      <c r="E94" s="535" t="s">
        <v>2421</v>
      </c>
      <c r="F94" s="535" t="s">
        <v>2422</v>
      </c>
      <c r="G94" s="535" t="s">
        <v>2423</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2419</v>
      </c>
      <c r="D96" s="535" t="s">
        <v>2420</v>
      </c>
      <c r="E96" s="535" t="s">
        <v>2421</v>
      </c>
      <c r="F96" s="535" t="s">
        <v>2422</v>
      </c>
      <c r="G96" s="535" t="s">
        <v>2423</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2419</v>
      </c>
      <c r="D98" s="530" t="s">
        <v>2420</v>
      </c>
      <c r="E98" s="530" t="s">
        <v>2421</v>
      </c>
      <c r="F98" s="530" t="s">
        <v>2422</v>
      </c>
      <c r="G98" s="530" t="s">
        <v>2423</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3"/>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2513</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2572</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8.5">
      <c r="A116" s="484" t="s">
        <v>2385</v>
      </c>
      <c r="B116" s="485" t="s">
        <v>2612</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v>0</v>
      </c>
      <c r="D117" s="552">
        <v>20000</v>
      </c>
      <c r="E117" s="552">
        <v>40000</v>
      </c>
      <c r="F117" s="552">
        <v>60000</v>
      </c>
      <c r="G117" s="552">
        <v>80000</v>
      </c>
      <c r="H117" s="552">
        <v>100000</v>
      </c>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v>100</v>
      </c>
      <c r="D118" s="548">
        <v>101</v>
      </c>
      <c r="E118" s="527">
        <v>102</v>
      </c>
      <c r="F118" s="548">
        <v>103</v>
      </c>
      <c r="G118" s="527">
        <v>104</v>
      </c>
      <c r="H118" s="548">
        <v>105</v>
      </c>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92" priority="18" stopIfTrue="1" operator="containsText" text="超过">
      <formula>NOT(ISERROR(SEARCH("超过",F51)))</formula>
    </cfRule>
  </conditionalFormatting>
  <conditionalFormatting sqref="J53">
    <cfRule type="containsText" dxfId="91" priority="17" stopIfTrue="1" operator="containsText" text="超过">
      <formula>NOT(ISERROR(SEARCH("超过",J53)))</formula>
    </cfRule>
  </conditionalFormatting>
  <conditionalFormatting sqref="H53">
    <cfRule type="containsText" dxfId="90" priority="16" stopIfTrue="1" operator="containsText" text="超过">
      <formula>NOT(ISERROR(SEARCH("超过",H53)))</formula>
    </cfRule>
  </conditionalFormatting>
  <conditionalFormatting sqref="F53">
    <cfRule type="containsText" dxfId="89" priority="15" stopIfTrue="1" operator="containsText" text="超过">
      <formula>NOT(ISERROR(SEARCH("超过",F53)))</formula>
    </cfRule>
  </conditionalFormatting>
  <conditionalFormatting sqref="F52 H52 J52">
    <cfRule type="containsText" dxfId="88" priority="14" stopIfTrue="1" operator="containsText" text="超过">
      <formula>NOT(ISERROR(SEARCH("超过",F52)))</formula>
    </cfRule>
  </conditionalFormatting>
  <conditionalFormatting sqref="E51">
    <cfRule type="expression" dxfId="87" priority="13" stopIfTrue="1">
      <formula>$F$51="超过30%"</formula>
    </cfRule>
  </conditionalFormatting>
  <conditionalFormatting sqref="G53">
    <cfRule type="expression" dxfId="86" priority="12" stopIfTrue="1">
      <formula>$H$53="超过30%"</formula>
    </cfRule>
  </conditionalFormatting>
  <conditionalFormatting sqref="E52">
    <cfRule type="expression" dxfId="85" priority="11" stopIfTrue="1">
      <formula>$F$52="超过20%"</formula>
    </cfRule>
  </conditionalFormatting>
  <conditionalFormatting sqref="E53">
    <cfRule type="expression" dxfId="84" priority="10" stopIfTrue="1">
      <formula>$F$53="超过30%"</formula>
    </cfRule>
  </conditionalFormatting>
  <conditionalFormatting sqref="G51">
    <cfRule type="expression" dxfId="83" priority="9" stopIfTrue="1">
      <formula>$H$53+$H$51="超过30%"</formula>
    </cfRule>
  </conditionalFormatting>
  <conditionalFormatting sqref="G52">
    <cfRule type="expression" dxfId="82" priority="8" stopIfTrue="1">
      <formula>$H$52="超过20%"</formula>
    </cfRule>
  </conditionalFormatting>
  <conditionalFormatting sqref="I51">
    <cfRule type="expression" dxfId="81" priority="7" stopIfTrue="1">
      <formula>$J$51="超过30%"</formula>
    </cfRule>
  </conditionalFormatting>
  <conditionalFormatting sqref="I52">
    <cfRule type="expression" dxfId="80" priority="6" stopIfTrue="1">
      <formula>$J$52="超过20%"</formula>
    </cfRule>
  </conditionalFormatting>
  <conditionalFormatting sqref="I53">
    <cfRule type="expression" dxfId="79" priority="5" stopIfTrue="1">
      <formula>$J$53="超过30%"</formula>
    </cfRule>
  </conditionalFormatting>
  <conditionalFormatting sqref="F47">
    <cfRule type="expression" dxfId="78" priority="4">
      <formula>$D$47="简单平均"</formula>
    </cfRule>
  </conditionalFormatting>
  <conditionalFormatting sqref="H47">
    <cfRule type="expression" dxfId="77" priority="3">
      <formula>$D$47="简单平均"</formula>
    </cfRule>
  </conditionalFormatting>
  <conditionalFormatting sqref="J47">
    <cfRule type="expression" dxfId="76" priority="2">
      <formula>$D$47="简单平均"</formula>
    </cfRule>
  </conditionalFormatting>
  <conditionalFormatting sqref="F7:F45 H7:H45 J7:J45">
    <cfRule type="cellIs" dxfId="7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M20" sqref="M20"/>
    </sheetView>
  </sheetViews>
  <sheetFormatPr defaultRowHeight="13.5"/>
  <cols>
    <col min="1" max="1" width="30.5" style="3059" customWidth="1"/>
    <col min="2" max="14" width="9" style="3059"/>
    <col min="15" max="15" width="12" style="3059" customWidth="1"/>
    <col min="16" max="16384" width="9" style="3059"/>
  </cols>
  <sheetData>
    <row r="1" spans="1:20" s="3048" customFormat="1">
      <c r="A1" s="3048" t="s">
        <v>3095</v>
      </c>
      <c r="B1" s="3048" t="s">
        <v>3096</v>
      </c>
      <c r="C1" s="3048" t="s">
        <v>3097</v>
      </c>
      <c r="D1" s="3048" t="s">
        <v>3098</v>
      </c>
      <c r="E1" s="3048" t="s">
        <v>3099</v>
      </c>
      <c r="F1" s="3048" t="s">
        <v>3100</v>
      </c>
      <c r="G1" s="3048" t="s">
        <v>3101</v>
      </c>
      <c r="H1" s="3048" t="s">
        <v>3102</v>
      </c>
      <c r="I1" s="3048" t="s">
        <v>3103</v>
      </c>
      <c r="J1" s="3048" t="s">
        <v>3104</v>
      </c>
      <c r="K1" s="3048" t="s">
        <v>3105</v>
      </c>
      <c r="L1" s="3048" t="s">
        <v>3106</v>
      </c>
      <c r="M1" s="3048" t="s">
        <v>3107</v>
      </c>
      <c r="N1" s="3048" t="s">
        <v>3108</v>
      </c>
      <c r="O1" s="3049"/>
      <c r="P1" s="3050" t="s">
        <v>3109</v>
      </c>
      <c r="Q1" s="3050" t="s">
        <v>3110</v>
      </c>
      <c r="R1" s="3050" t="s">
        <v>3111</v>
      </c>
      <c r="S1" s="3051"/>
      <c r="T1" s="3052"/>
    </row>
    <row r="2" spans="1:20" s="3053" customFormat="1">
      <c r="A2" s="3053" t="s">
        <v>3112</v>
      </c>
      <c r="B2" s="3053" t="s">
        <v>3061</v>
      </c>
      <c r="C2" s="3053" t="s">
        <v>3113</v>
      </c>
      <c r="D2" s="3053">
        <v>70601.070000000007</v>
      </c>
      <c r="E2" s="3053">
        <v>285523</v>
      </c>
      <c r="F2" s="3053" t="s">
        <v>3114</v>
      </c>
      <c r="G2" s="3053" t="s">
        <v>3115</v>
      </c>
      <c r="H2" s="3053" t="s">
        <v>3116</v>
      </c>
      <c r="I2" s="3053" t="s">
        <v>3117</v>
      </c>
      <c r="J2" s="3053">
        <v>660900</v>
      </c>
      <c r="K2" s="3053">
        <v>23147</v>
      </c>
      <c r="L2" s="3053" t="s">
        <v>1298</v>
      </c>
      <c r="M2" s="3053" t="s">
        <v>3118</v>
      </c>
      <c r="N2" s="3053" t="s">
        <v>3119</v>
      </c>
      <c r="O2" s="3054" t="s">
        <v>3120</v>
      </c>
      <c r="P2" s="3055">
        <f>16000+14800+14188.287</f>
        <v>44988.286999999997</v>
      </c>
      <c r="Q2" s="3055">
        <v>5</v>
      </c>
      <c r="R2" s="3055">
        <f>128064</f>
        <v>128064</v>
      </c>
      <c r="S2" s="3056" t="s">
        <v>3121</v>
      </c>
      <c r="T2" s="3057" t="s">
        <v>3122</v>
      </c>
    </row>
    <row r="3" spans="1:20" s="3053" customFormat="1" ht="14.25" thickBot="1">
      <c r="A3" s="3053" t="s">
        <v>3123</v>
      </c>
      <c r="B3" s="3053" t="s">
        <v>3061</v>
      </c>
      <c r="C3" s="3053" t="s">
        <v>3113</v>
      </c>
      <c r="D3" s="3053">
        <v>22035.93</v>
      </c>
      <c r="E3" s="3053">
        <v>61700.6</v>
      </c>
      <c r="F3" s="3053" t="s">
        <v>3124</v>
      </c>
      <c r="G3" s="3053" t="s">
        <v>3125</v>
      </c>
      <c r="H3" s="3053" t="s">
        <v>3126</v>
      </c>
      <c r="I3" s="3053" t="s">
        <v>3127</v>
      </c>
      <c r="J3" s="3053">
        <v>103700</v>
      </c>
      <c r="K3" s="3053">
        <v>16806.97</v>
      </c>
      <c r="L3" s="3053">
        <v>0</v>
      </c>
      <c r="M3" s="3053" t="s">
        <v>3128</v>
      </c>
      <c r="N3" s="3053" t="s">
        <v>3129</v>
      </c>
      <c r="O3" s="3061" t="s">
        <v>3130</v>
      </c>
      <c r="P3" s="3062">
        <f>25612.778</f>
        <v>25612.777999999998</v>
      </c>
      <c r="Q3" s="3062">
        <v>3.5</v>
      </c>
      <c r="R3" s="3062">
        <f>56000+51800+49659</f>
        <v>157459</v>
      </c>
      <c r="S3" s="3062">
        <f>ROUND(J2*10000/(R3+R2*0.9),0)</f>
        <v>24234</v>
      </c>
      <c r="T3" s="3063">
        <f>K2/S3</f>
        <v>0.95514566311793347</v>
      </c>
    </row>
    <row r="4" spans="1:20" s="3053" customFormat="1">
      <c r="A4" s="3053" t="s">
        <v>3131</v>
      </c>
      <c r="B4" s="3053" t="s">
        <v>3061</v>
      </c>
      <c r="C4" s="3053" t="s">
        <v>3113</v>
      </c>
      <c r="D4" s="3053">
        <v>32158.94</v>
      </c>
      <c r="E4" s="3053">
        <v>96476.82</v>
      </c>
      <c r="F4" s="3053" t="s">
        <v>3132</v>
      </c>
      <c r="G4" s="3053" t="s">
        <v>3125</v>
      </c>
      <c r="H4" s="3053" t="s">
        <v>3133</v>
      </c>
      <c r="I4" s="3053" t="s">
        <v>3134</v>
      </c>
      <c r="J4" s="3053">
        <v>263800</v>
      </c>
      <c r="K4" s="3053">
        <v>27343.360000000001</v>
      </c>
      <c r="L4" s="3053">
        <v>0</v>
      </c>
      <c r="M4" s="3053" t="s">
        <v>3135</v>
      </c>
      <c r="N4" s="3053" t="s">
        <v>3119</v>
      </c>
      <c r="R4" s="3058"/>
    </row>
    <row r="5" spans="1:20" s="3060" customFormat="1">
      <c r="A5" s="3060" t="s">
        <v>3136</v>
      </c>
      <c r="B5" s="3060" t="s">
        <v>3061</v>
      </c>
      <c r="C5" s="3060" t="s">
        <v>3113</v>
      </c>
      <c r="D5" s="3060">
        <v>15240.2</v>
      </c>
      <c r="E5" s="3060">
        <v>86800</v>
      </c>
      <c r="F5" s="3060">
        <v>5.6955</v>
      </c>
      <c r="G5" s="3060" t="s">
        <v>3125</v>
      </c>
      <c r="H5" s="3060" t="s">
        <v>3126</v>
      </c>
      <c r="I5" s="3060" t="s">
        <v>3137</v>
      </c>
      <c r="J5" s="3060">
        <v>242500</v>
      </c>
      <c r="K5" s="3060">
        <v>27937.79</v>
      </c>
      <c r="L5" s="3060">
        <v>2.11</v>
      </c>
      <c r="M5" s="3060" t="s">
        <v>3138</v>
      </c>
      <c r="N5" s="3060" t="s">
        <v>3129</v>
      </c>
    </row>
    <row r="6" spans="1:20" s="3048" customFormat="1">
      <c r="A6" s="3048" t="s">
        <v>3139</v>
      </c>
      <c r="B6" s="3048" t="s">
        <v>3061</v>
      </c>
      <c r="C6" s="3048" t="s">
        <v>3113</v>
      </c>
      <c r="D6" s="3048">
        <v>13326.99</v>
      </c>
      <c r="E6" s="3048">
        <v>46644</v>
      </c>
      <c r="F6" s="3048">
        <v>3.5</v>
      </c>
      <c r="G6" s="3048" t="s">
        <v>3125</v>
      </c>
      <c r="H6" s="3048" t="s">
        <v>3140</v>
      </c>
      <c r="I6" s="3048" t="s">
        <v>3141</v>
      </c>
      <c r="J6" s="3048">
        <v>141000</v>
      </c>
      <c r="K6" s="3048">
        <v>30228.97</v>
      </c>
      <c r="L6" s="3048">
        <v>107.35</v>
      </c>
      <c r="M6" s="3048" t="s">
        <v>3142</v>
      </c>
      <c r="N6" s="3048" t="s">
        <v>3119</v>
      </c>
    </row>
    <row r="7" spans="1:20" s="3048" customFormat="1">
      <c r="A7" s="3048" t="s">
        <v>3143</v>
      </c>
      <c r="B7" s="3048" t="s">
        <v>3061</v>
      </c>
      <c r="C7" s="3048" t="s">
        <v>3113</v>
      </c>
      <c r="D7" s="3048">
        <v>17629.740000000002</v>
      </c>
      <c r="E7" s="3048">
        <v>52889</v>
      </c>
      <c r="F7" s="3048">
        <v>3</v>
      </c>
      <c r="G7" s="3048" t="s">
        <v>3125</v>
      </c>
      <c r="H7" s="3048" t="s">
        <v>3140</v>
      </c>
      <c r="I7" s="3048" t="s">
        <v>3144</v>
      </c>
      <c r="J7" s="3048">
        <v>64200</v>
      </c>
      <c r="K7" s="3048">
        <v>12138.62</v>
      </c>
      <c r="L7" s="3048">
        <v>1.1000000000000001</v>
      </c>
      <c r="M7" s="3048" t="s">
        <v>3145</v>
      </c>
      <c r="N7" s="3048" t="s">
        <v>3119</v>
      </c>
    </row>
    <row r="8" spans="1:20" s="3048" customFormat="1">
      <c r="A8" s="3048" t="s">
        <v>3146</v>
      </c>
      <c r="B8" s="3048" t="s">
        <v>3061</v>
      </c>
      <c r="C8" s="3048" t="s">
        <v>3113</v>
      </c>
      <c r="D8" s="3048">
        <v>20680.23</v>
      </c>
      <c r="E8" s="3048">
        <v>62041</v>
      </c>
      <c r="F8" s="3048">
        <v>3</v>
      </c>
      <c r="G8" s="3048" t="s">
        <v>3125</v>
      </c>
      <c r="H8" s="3048" t="s">
        <v>3147</v>
      </c>
      <c r="I8" s="3048" t="s">
        <v>3148</v>
      </c>
      <c r="J8" s="3048">
        <v>81000</v>
      </c>
      <c r="K8" s="3048">
        <v>13055.87</v>
      </c>
      <c r="L8" s="3048">
        <v>8</v>
      </c>
      <c r="M8" s="3048" t="s">
        <v>3149</v>
      </c>
      <c r="N8" s="3048" t="s">
        <v>3119</v>
      </c>
    </row>
    <row r="9" spans="1:20" s="3048" customFormat="1">
      <c r="A9" s="3048" t="s">
        <v>3150</v>
      </c>
      <c r="B9" s="3048" t="s">
        <v>3061</v>
      </c>
      <c r="C9" s="3048" t="s">
        <v>3113</v>
      </c>
      <c r="D9" s="3048">
        <v>59750.39</v>
      </c>
      <c r="E9" s="3048">
        <v>149376</v>
      </c>
      <c r="F9" s="3048">
        <v>2.5</v>
      </c>
      <c r="G9" s="3048" t="s">
        <v>3125</v>
      </c>
      <c r="H9" s="3048" t="s">
        <v>3140</v>
      </c>
      <c r="I9" s="3048" t="s">
        <v>3151</v>
      </c>
      <c r="J9" s="3048">
        <v>182700</v>
      </c>
      <c r="K9" s="3048">
        <v>12230.87</v>
      </c>
      <c r="L9" s="3048">
        <v>1.5</v>
      </c>
      <c r="M9" s="3048" t="s">
        <v>3152</v>
      </c>
      <c r="N9" s="3048" t="s">
        <v>3119</v>
      </c>
    </row>
    <row r="10" spans="1:20" s="3048" customFormat="1">
      <c r="A10" s="3048" t="s">
        <v>3153</v>
      </c>
      <c r="B10" s="3048" t="s">
        <v>3061</v>
      </c>
      <c r="C10" s="3048" t="s">
        <v>3113</v>
      </c>
      <c r="D10" s="3048">
        <v>18865.5</v>
      </c>
      <c r="E10" s="3048">
        <v>22639</v>
      </c>
      <c r="F10" s="3048">
        <v>1.2</v>
      </c>
      <c r="G10" s="3048" t="s">
        <v>3125</v>
      </c>
      <c r="H10" s="3048" t="s">
        <v>3154</v>
      </c>
      <c r="I10" s="3048" t="s">
        <v>3155</v>
      </c>
      <c r="J10" s="3048">
        <v>25400</v>
      </c>
      <c r="K10" s="3048">
        <v>11219.57</v>
      </c>
      <c r="L10" s="3048">
        <v>0</v>
      </c>
      <c r="M10" s="3048" t="s">
        <v>3156</v>
      </c>
      <c r="N10" s="3048" t="s">
        <v>3119</v>
      </c>
    </row>
    <row r="11" spans="1:20" s="3048" customFormat="1">
      <c r="A11" s="3048" t="s">
        <v>3157</v>
      </c>
      <c r="B11" s="3048" t="s">
        <v>3061</v>
      </c>
      <c r="C11" s="3048" t="s">
        <v>3113</v>
      </c>
      <c r="D11" s="3048">
        <v>27884.6</v>
      </c>
      <c r="E11" s="3048">
        <v>81543</v>
      </c>
      <c r="F11" s="3048">
        <v>2.92</v>
      </c>
      <c r="G11" s="3048" t="s">
        <v>3125</v>
      </c>
      <c r="H11" s="3048" t="s">
        <v>3158</v>
      </c>
      <c r="I11" s="3048" t="s">
        <v>3159</v>
      </c>
      <c r="J11" s="3048">
        <v>110100</v>
      </c>
      <c r="K11" s="3048">
        <v>13502.07</v>
      </c>
      <c r="L11" s="3048">
        <v>0</v>
      </c>
      <c r="M11" s="3048" t="s">
        <v>3160</v>
      </c>
      <c r="N11" s="3048" t="s">
        <v>3119</v>
      </c>
    </row>
    <row r="12" spans="1:20" s="3048" customFormat="1">
      <c r="A12" s="3048" t="s">
        <v>3161</v>
      </c>
      <c r="B12" s="3048" t="s">
        <v>3061</v>
      </c>
      <c r="C12" s="3048" t="s">
        <v>3113</v>
      </c>
      <c r="D12" s="3048">
        <v>30547.5</v>
      </c>
      <c r="E12" s="3048">
        <v>83674</v>
      </c>
      <c r="F12" s="3048">
        <v>2.74</v>
      </c>
      <c r="G12" s="3048" t="s">
        <v>3125</v>
      </c>
      <c r="H12" s="3048" t="s">
        <v>3158</v>
      </c>
      <c r="I12" s="3048" t="s">
        <v>3159</v>
      </c>
      <c r="J12" s="3048">
        <v>113000</v>
      </c>
      <c r="K12" s="3048">
        <v>13504.79</v>
      </c>
      <c r="L12" s="3048">
        <v>0</v>
      </c>
      <c r="M12" s="3048" t="s">
        <v>3160</v>
      </c>
      <c r="N12" s="3048" t="s">
        <v>3119</v>
      </c>
    </row>
    <row r="13" spans="1:20" s="3048" customFormat="1">
      <c r="A13" s="3048" t="s">
        <v>3162</v>
      </c>
      <c r="B13" s="3048" t="s">
        <v>3061</v>
      </c>
      <c r="C13" s="3048" t="s">
        <v>3113</v>
      </c>
      <c r="D13" s="3048">
        <v>19364.02</v>
      </c>
      <c r="E13" s="3048">
        <v>58092</v>
      </c>
      <c r="F13" s="3048">
        <v>3</v>
      </c>
      <c r="G13" s="3048" t="s">
        <v>3125</v>
      </c>
      <c r="H13" s="3048" t="s">
        <v>3158</v>
      </c>
      <c r="I13" s="3048" t="s">
        <v>3163</v>
      </c>
      <c r="J13" s="3048">
        <v>91000</v>
      </c>
      <c r="K13" s="3048">
        <v>15664.8</v>
      </c>
      <c r="L13" s="3048">
        <v>1.1100000000000001</v>
      </c>
      <c r="M13" s="3048" t="s">
        <v>3164</v>
      </c>
      <c r="N13" s="3048" t="s">
        <v>3129</v>
      </c>
    </row>
    <row r="14" spans="1:20" s="3048" customFormat="1">
      <c r="A14" s="3048" t="s">
        <v>3165</v>
      </c>
      <c r="B14" s="3048" t="s">
        <v>3061</v>
      </c>
      <c r="C14" s="3048" t="s">
        <v>3113</v>
      </c>
      <c r="D14" s="3048">
        <v>230776</v>
      </c>
      <c r="E14" s="3048">
        <v>161543</v>
      </c>
      <c r="F14" s="3048">
        <v>0.7</v>
      </c>
      <c r="G14" s="3048" t="s">
        <v>3125</v>
      </c>
      <c r="H14" s="3048" t="s">
        <v>3166</v>
      </c>
      <c r="I14" s="3048" t="s">
        <v>3167</v>
      </c>
      <c r="J14" s="3048">
        <v>67145</v>
      </c>
      <c r="K14" s="3048">
        <v>4156.47</v>
      </c>
      <c r="L14" s="3048">
        <v>1.82</v>
      </c>
      <c r="M14" s="3048" t="s">
        <v>3168</v>
      </c>
      <c r="N14" s="3048" t="s">
        <v>3169</v>
      </c>
    </row>
    <row r="15" spans="1:20" s="3048" customFormat="1">
      <c r="A15" s="3048" t="s">
        <v>3170</v>
      </c>
      <c r="B15" s="3048" t="s">
        <v>3061</v>
      </c>
      <c r="C15" s="3048" t="s">
        <v>3113</v>
      </c>
      <c r="D15" s="3048">
        <v>1906</v>
      </c>
      <c r="E15" s="3048">
        <v>4449</v>
      </c>
      <c r="F15" s="3048" t="s">
        <v>1298</v>
      </c>
      <c r="G15" s="3048" t="s">
        <v>3125</v>
      </c>
      <c r="H15" s="3048" t="s">
        <v>3171</v>
      </c>
      <c r="I15" s="3048" t="s">
        <v>3172</v>
      </c>
      <c r="J15" s="3048">
        <v>6350</v>
      </c>
      <c r="K15" s="3048">
        <v>14272.87</v>
      </c>
      <c r="L15" s="3048">
        <v>252.19</v>
      </c>
      <c r="M15" s="3048" t="s">
        <v>3173</v>
      </c>
      <c r="N15" s="3048" t="s">
        <v>3129</v>
      </c>
    </row>
    <row r="16" spans="1:20" s="3048" customFormat="1">
      <c r="A16" s="3048" t="s">
        <v>3174</v>
      </c>
      <c r="B16" s="3048" t="s">
        <v>3061</v>
      </c>
      <c r="C16" s="3048" t="s">
        <v>3113</v>
      </c>
      <c r="D16" s="3048">
        <v>5976.96</v>
      </c>
      <c r="E16" s="3048">
        <v>15000</v>
      </c>
      <c r="F16" s="3048" t="s">
        <v>1298</v>
      </c>
      <c r="G16" s="3048" t="s">
        <v>3125</v>
      </c>
      <c r="H16" s="3048" t="s">
        <v>3175</v>
      </c>
      <c r="I16" s="3048" t="s">
        <v>3176</v>
      </c>
      <c r="J16" s="3048">
        <v>21100</v>
      </c>
      <c r="K16" s="3048">
        <v>14066.67</v>
      </c>
      <c r="L16" s="3048">
        <v>17.899999999999999</v>
      </c>
      <c r="M16" s="3048" t="s">
        <v>3177</v>
      </c>
      <c r="N16" s="3048" t="s">
        <v>3129</v>
      </c>
    </row>
  </sheetData>
  <phoneticPr fontId="14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9820.56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97" t="s">
        <v>2468</v>
      </c>
      <c r="D4" s="3298"/>
      <c r="E4" s="3299" t="s">
        <v>2469</v>
      </c>
      <c r="F4" s="3300"/>
      <c r="G4" s="3297" t="s">
        <v>2470</v>
      </c>
      <c r="H4" s="3298"/>
      <c r="I4" s="3297" t="s">
        <v>2471</v>
      </c>
      <c r="J4" s="3298"/>
      <c r="K4" s="567" t="s">
        <v>2472</v>
      </c>
      <c r="L4" s="1044"/>
      <c r="M4" s="1045"/>
      <c r="N4" s="1045"/>
      <c r="O4" s="1045"/>
      <c r="P4" s="3363" t="s">
        <v>2473</v>
      </c>
      <c r="Q4" s="3364"/>
      <c r="R4" s="3359" t="s">
        <v>2469</v>
      </c>
      <c r="S4" s="3360"/>
      <c r="T4" s="3359" t="s">
        <v>2470</v>
      </c>
      <c r="U4" s="3360"/>
      <c r="V4" s="3310" t="s">
        <v>2471</v>
      </c>
      <c r="W4" s="3310"/>
      <c r="X4" s="1540"/>
      <c r="Y4" s="3359" t="s">
        <v>2473</v>
      </c>
      <c r="Z4" s="3360"/>
      <c r="AA4" s="3358" t="s">
        <v>2469</v>
      </c>
      <c r="AB4" s="3276" t="s">
        <v>2470</v>
      </c>
      <c r="AC4" s="3358" t="s">
        <v>2471</v>
      </c>
    </row>
    <row r="5" spans="1:29" ht="15">
      <c r="A5" s="364"/>
      <c r="B5" s="365"/>
      <c r="C5" s="3286" t="s">
        <v>2364</v>
      </c>
      <c r="D5" s="3287"/>
      <c r="E5" s="3361" t="s">
        <v>2365</v>
      </c>
      <c r="F5" s="3362"/>
      <c r="G5" s="3286" t="s">
        <v>2366</v>
      </c>
      <c r="H5" s="3287"/>
      <c r="I5" s="3286" t="s">
        <v>2367</v>
      </c>
      <c r="J5" s="3287"/>
      <c r="K5" s="567"/>
      <c r="L5" s="1044"/>
      <c r="M5" s="1045"/>
      <c r="N5" s="1045"/>
      <c r="O5" s="1045"/>
      <c r="P5" s="3365"/>
      <c r="Q5" s="3304"/>
      <c r="R5" s="3282"/>
      <c r="S5" s="3283"/>
      <c r="T5" s="3282"/>
      <c r="U5" s="3283"/>
      <c r="V5" s="3310"/>
      <c r="W5" s="3310"/>
      <c r="X5" s="1540"/>
      <c r="Y5" s="3282"/>
      <c r="Z5" s="3283"/>
      <c r="AA5" s="3276"/>
      <c r="AB5" s="3276"/>
      <c r="AC5" s="3276"/>
    </row>
    <row r="6" spans="1:29" ht="15.75" thickBot="1">
      <c r="A6" s="366"/>
      <c r="B6" s="367"/>
      <c r="C6" s="3288" t="s">
        <v>2368</v>
      </c>
      <c r="D6" s="3289"/>
      <c r="E6" s="3291" t="s">
        <v>2368</v>
      </c>
      <c r="F6" s="3292"/>
      <c r="G6" s="3288" t="s">
        <v>2368</v>
      </c>
      <c r="H6" s="3289"/>
      <c r="I6" s="3288" t="s">
        <v>2368</v>
      </c>
      <c r="J6" s="3289"/>
      <c r="K6" s="567" t="s">
        <v>2369</v>
      </c>
      <c r="L6" s="1044"/>
      <c r="M6" s="1045"/>
      <c r="N6" s="1045"/>
      <c r="O6" s="1045"/>
      <c r="P6" s="3366"/>
      <c r="Q6" s="3306"/>
      <c r="R6" s="3282"/>
      <c r="S6" s="3283"/>
      <c r="T6" s="3307"/>
      <c r="U6" s="3308"/>
      <c r="V6" s="3310"/>
      <c r="W6" s="3310"/>
      <c r="X6" s="1540"/>
      <c r="Y6" s="3307"/>
      <c r="Z6" s="3308"/>
      <c r="AA6" s="3277"/>
      <c r="AB6" s="3277"/>
      <c r="AC6" s="3277"/>
    </row>
    <row r="7" spans="1:29" s="113" customFormat="1" ht="15.75" thickBot="1">
      <c r="A7" s="368" t="s">
        <v>2370</v>
      </c>
      <c r="B7" s="369"/>
      <c r="C7" s="370">
        <f>'数据-取费表'!B2</f>
        <v>44166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8" t="s">
        <v>2371</v>
      </c>
      <c r="Q7" s="3312"/>
      <c r="R7" s="710" t="s">
        <v>17</v>
      </c>
      <c r="S7" s="711">
        <f t="shared" ref="S7:S15" si="0">F7</f>
        <v>0</v>
      </c>
      <c r="T7" s="710" t="s">
        <v>17</v>
      </c>
      <c r="U7" s="711">
        <f t="shared" ref="U7:U15" si="1">H7</f>
        <v>0</v>
      </c>
      <c r="V7" s="710" t="s">
        <v>17</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8" t="s">
        <v>2374</v>
      </c>
      <c r="Q8" s="3279"/>
      <c r="R8" s="710" t="s">
        <v>17</v>
      </c>
      <c r="S8" s="711">
        <f t="shared" si="0"/>
        <v>0</v>
      </c>
      <c r="T8" s="710" t="s">
        <v>17</v>
      </c>
      <c r="U8" s="711">
        <f t="shared" si="1"/>
        <v>0</v>
      </c>
      <c r="V8" s="710" t="s">
        <v>17</v>
      </c>
      <c r="W8" s="711">
        <f t="shared" si="2"/>
        <v>0</v>
      </c>
      <c r="X8" s="712"/>
      <c r="Y8" s="3278" t="s">
        <v>2374</v>
      </c>
      <c r="Z8" s="3279"/>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2" t="s">
        <v>2377</v>
      </c>
      <c r="Q9" s="1528" t="str">
        <f t="shared" ref="Q9:Q15" si="6">B9</f>
        <v>用途</v>
      </c>
      <c r="R9" s="710" t="s">
        <v>17</v>
      </c>
      <c r="S9" s="711">
        <f t="shared" si="0"/>
        <v>100</v>
      </c>
      <c r="T9" s="710" t="s">
        <v>17</v>
      </c>
      <c r="U9" s="711">
        <f t="shared" si="1"/>
        <v>100</v>
      </c>
      <c r="V9" s="710" t="s">
        <v>17</v>
      </c>
      <c r="W9" s="711">
        <f t="shared" si="2"/>
        <v>100</v>
      </c>
      <c r="X9" s="712"/>
      <c r="Y9" s="325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2"/>
      <c r="Q10" s="1528"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2"/>
      <c r="Q11" s="1528"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2"/>
      <c r="Q12" s="1528">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2"/>
      <c r="Q13" s="1528">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2"/>
      <c r="Q14" s="1528">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5" t="s">
        <v>2382</v>
      </c>
      <c r="Q15" s="1537" t="str">
        <f t="shared" si="6"/>
        <v>产业集聚程度</v>
      </c>
      <c r="R15" s="714" t="s">
        <v>17</v>
      </c>
      <c r="S15" s="715">
        <f t="shared" si="0"/>
        <v>100</v>
      </c>
      <c r="T15" s="714" t="s">
        <v>17</v>
      </c>
      <c r="U15" s="715">
        <f t="shared" si="1"/>
        <v>100</v>
      </c>
      <c r="V15" s="714" t="s">
        <v>17</v>
      </c>
      <c r="W15" s="715">
        <f t="shared" si="2"/>
        <v>100</v>
      </c>
      <c r="X15" s="1540"/>
      <c r="Y15" s="3315" t="s">
        <v>2382</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6"/>
      <c r="Q16" s="1537"/>
      <c r="R16" s="714"/>
      <c r="S16" s="715"/>
      <c r="T16" s="714"/>
      <c r="U16" s="715"/>
      <c r="V16" s="714"/>
      <c r="W16" s="715"/>
      <c r="X16" s="1540"/>
      <c r="Y16" s="3316"/>
      <c r="Z16" s="1541"/>
      <c r="AA16" s="1538">
        <v>1</v>
      </c>
      <c r="AB16" s="1538">
        <v>1</v>
      </c>
      <c r="AC16" s="1538">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6"/>
      <c r="Q17" s="1537" t="str">
        <f>B17</f>
        <v>交通便捷度</v>
      </c>
      <c r="R17" s="714" t="s">
        <v>17</v>
      </c>
      <c r="S17" s="715">
        <f>F17</f>
        <v>100</v>
      </c>
      <c r="T17" s="714" t="s">
        <v>17</v>
      </c>
      <c r="U17" s="715">
        <f>H17</f>
        <v>100</v>
      </c>
      <c r="V17" s="714" t="s">
        <v>17</v>
      </c>
      <c r="W17" s="715">
        <f>J17</f>
        <v>100</v>
      </c>
      <c r="X17" s="1540"/>
      <c r="Y17" s="3316"/>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6"/>
      <c r="Q18" s="1537"/>
      <c r="R18" s="714"/>
      <c r="S18" s="715"/>
      <c r="T18" s="714"/>
      <c r="U18" s="715"/>
      <c r="V18" s="714"/>
      <c r="W18" s="715"/>
      <c r="X18" s="1540"/>
      <c r="Y18" s="3316"/>
      <c r="Z18" s="1541"/>
      <c r="AA18" s="1538">
        <v>1</v>
      </c>
      <c r="AB18" s="1538">
        <v>1</v>
      </c>
      <c r="AC18" s="1538">
        <v>1</v>
      </c>
    </row>
    <row r="19" spans="1:29" ht="42.75">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6"/>
      <c r="Q19" s="1537" t="str">
        <f>B19</f>
        <v>公共配套设施</v>
      </c>
      <c r="R19" s="714" t="s">
        <v>17</v>
      </c>
      <c r="S19" s="715">
        <f>F19</f>
        <v>100</v>
      </c>
      <c r="T19" s="714" t="s">
        <v>17</v>
      </c>
      <c r="U19" s="715">
        <f>H19</f>
        <v>100</v>
      </c>
      <c r="V19" s="714" t="s">
        <v>17</v>
      </c>
      <c r="W19" s="715">
        <f>J19</f>
        <v>100</v>
      </c>
      <c r="X19" s="1540"/>
      <c r="Y19" s="3316"/>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6"/>
      <c r="Q20" s="1537"/>
      <c r="R20" s="714"/>
      <c r="S20" s="715"/>
      <c r="T20" s="714"/>
      <c r="U20" s="715"/>
      <c r="V20" s="714"/>
      <c r="W20" s="715"/>
      <c r="X20" s="1540"/>
      <c r="Y20" s="3316"/>
      <c r="Z20" s="1541"/>
      <c r="AA20" s="1538">
        <v>1</v>
      </c>
      <c r="AB20" s="1538">
        <v>1</v>
      </c>
      <c r="AC20" s="1538">
        <v>1</v>
      </c>
    </row>
    <row r="21" spans="1:29" ht="28.5">
      <c r="A21" s="387"/>
      <c r="B21" s="1292"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6"/>
      <c r="Q21" s="1537" t="str">
        <f>B21</f>
        <v>基础设施水平</v>
      </c>
      <c r="R21" s="714" t="s">
        <v>17</v>
      </c>
      <c r="S21" s="715">
        <f>F21</f>
        <v>100</v>
      </c>
      <c r="T21" s="714" t="s">
        <v>17</v>
      </c>
      <c r="U21" s="715">
        <f>H21</f>
        <v>100</v>
      </c>
      <c r="V21" s="714" t="s">
        <v>17</v>
      </c>
      <c r="W21" s="715">
        <f>J21</f>
        <v>100</v>
      </c>
      <c r="X21" s="1540"/>
      <c r="Y21" s="3316"/>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4"/>
      <c r="M22" s="1045"/>
      <c r="N22" s="1045"/>
      <c r="O22" s="1053"/>
      <c r="P22" s="3316"/>
      <c r="Q22" s="1537"/>
      <c r="R22" s="714"/>
      <c r="S22" s="715"/>
      <c r="T22" s="714"/>
      <c r="U22" s="715"/>
      <c r="V22" s="714"/>
      <c r="W22" s="715"/>
      <c r="X22" s="1540"/>
      <c r="Y22" s="3316"/>
      <c r="Z22" s="1541"/>
      <c r="AA22" s="1538">
        <v>1</v>
      </c>
      <c r="AB22" s="1538">
        <v>1</v>
      </c>
      <c r="AC22" s="1538">
        <v>1</v>
      </c>
    </row>
    <row r="23" spans="1:29" ht="71.25">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6"/>
      <c r="Q23" s="1537" t="str">
        <f>B23</f>
        <v>环境质量</v>
      </c>
      <c r="R23" s="714" t="s">
        <v>17</v>
      </c>
      <c r="S23" s="715">
        <f>F23</f>
        <v>100</v>
      </c>
      <c r="T23" s="714" t="s">
        <v>17</v>
      </c>
      <c r="U23" s="715">
        <f>H23</f>
        <v>100</v>
      </c>
      <c r="V23" s="714" t="s">
        <v>17</v>
      </c>
      <c r="W23" s="715">
        <f>J23</f>
        <v>100</v>
      </c>
      <c r="X23" s="1540"/>
      <c r="Y23" s="3316"/>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4"/>
      <c r="M24" s="1045"/>
      <c r="N24" s="1045"/>
      <c r="O24" s="1053"/>
      <c r="P24" s="3316"/>
      <c r="Q24" s="1537"/>
      <c r="R24" s="714"/>
      <c r="S24" s="715"/>
      <c r="T24" s="714"/>
      <c r="U24" s="715"/>
      <c r="V24" s="714"/>
      <c r="W24" s="715"/>
      <c r="X24" s="1540"/>
      <c r="Y24" s="3316"/>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6"/>
      <c r="Q25" s="1537">
        <f>B25</f>
        <v>111</v>
      </c>
      <c r="R25" s="714" t="s">
        <v>17</v>
      </c>
      <c r="S25" s="715">
        <f>F25</f>
        <v>100</v>
      </c>
      <c r="T25" s="714" t="s">
        <v>17</v>
      </c>
      <c r="U25" s="715">
        <f>H25</f>
        <v>100</v>
      </c>
      <c r="V25" s="714" t="s">
        <v>17</v>
      </c>
      <c r="W25" s="715">
        <f>J25</f>
        <v>100</v>
      </c>
      <c r="X25" s="1540"/>
      <c r="Y25" s="3316"/>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6"/>
      <c r="Q26" s="1537">
        <f t="shared" ref="Q26:Q40" si="11">B26</f>
        <v>111</v>
      </c>
      <c r="R26" s="714" t="s">
        <v>17</v>
      </c>
      <c r="S26" s="715">
        <f>F26</f>
        <v>100</v>
      </c>
      <c r="T26" s="714" t="s">
        <v>17</v>
      </c>
      <c r="U26" s="715">
        <f>H26</f>
        <v>100</v>
      </c>
      <c r="V26" s="714" t="s">
        <v>17</v>
      </c>
      <c r="W26" s="715">
        <f>J26</f>
        <v>100</v>
      </c>
      <c r="X26" s="1540"/>
      <c r="Y26" s="3316"/>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6"/>
      <c r="Q27" s="1528">
        <f t="shared" si="11"/>
        <v>111</v>
      </c>
      <c r="R27" s="710" t="s">
        <v>17</v>
      </c>
      <c r="S27" s="711">
        <f>F27</f>
        <v>100</v>
      </c>
      <c r="T27" s="710" t="s">
        <v>17</v>
      </c>
      <c r="U27" s="711">
        <f>H27</f>
        <v>100</v>
      </c>
      <c r="V27" s="710" t="s">
        <v>17</v>
      </c>
      <c r="W27" s="711">
        <f>J27</f>
        <v>100</v>
      </c>
      <c r="X27" s="712"/>
      <c r="Y27" s="3316"/>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6"/>
      <c r="Q28" s="1537">
        <f t="shared" si="11"/>
        <v>111</v>
      </c>
      <c r="R28" s="714" t="s">
        <v>17</v>
      </c>
      <c r="S28" s="715">
        <f t="shared" ref="S28:S40" si="12">F28</f>
        <v>100</v>
      </c>
      <c r="T28" s="714" t="s">
        <v>17</v>
      </c>
      <c r="U28" s="715">
        <f t="shared" ref="U28:U40" si="13">H28</f>
        <v>100</v>
      </c>
      <c r="V28" s="714" t="s">
        <v>17</v>
      </c>
      <c r="W28" s="715">
        <f t="shared" ref="W28:W40" si="14">J28</f>
        <v>100</v>
      </c>
      <c r="X28" s="1540"/>
      <c r="Y28" s="3316"/>
      <c r="Z28" s="1541">
        <f t="shared" ref="Z28:Z40" si="15">Q28</f>
        <v>111</v>
      </c>
      <c r="AA28" s="1538">
        <f t="shared" si="3"/>
        <v>1</v>
      </c>
      <c r="AB28" s="1538">
        <f t="shared" si="4"/>
        <v>1</v>
      </c>
      <c r="AC28" s="1538">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96" t="s">
        <v>2387</v>
      </c>
      <c r="Q29" s="1537" t="str">
        <f t="shared" si="11"/>
        <v>建筑类型</v>
      </c>
      <c r="R29" s="714" t="s">
        <v>17</v>
      </c>
      <c r="S29" s="715">
        <f t="shared" si="12"/>
        <v>100</v>
      </c>
      <c r="T29" s="714" t="s">
        <v>17</v>
      </c>
      <c r="U29" s="715">
        <f t="shared" si="13"/>
        <v>100</v>
      </c>
      <c r="V29" s="714" t="s">
        <v>17</v>
      </c>
      <c r="W29" s="715">
        <f t="shared" si="14"/>
        <v>100</v>
      </c>
      <c r="X29" s="1540"/>
      <c r="Y29" s="3320" t="s">
        <v>2387</v>
      </c>
      <c r="Z29" s="1541" t="str">
        <f t="shared" si="15"/>
        <v>建筑类型</v>
      </c>
      <c r="AA29" s="1538">
        <f t="shared" si="3"/>
        <v>1</v>
      </c>
      <c r="AB29" s="1538">
        <f t="shared" si="4"/>
        <v>1</v>
      </c>
      <c r="AC29" s="1538">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8" t="e">
        <f t="shared" si="3"/>
        <v>#N/A</v>
      </c>
      <c r="AB30" s="1538" t="e">
        <f t="shared" si="4"/>
        <v>#N/A</v>
      </c>
      <c r="AC30" s="1538"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0"/>
      <c r="Q31" s="1537" t="str">
        <f t="shared" si="11"/>
        <v>建筑结构</v>
      </c>
      <c r="R31" s="714" t="s">
        <v>17</v>
      </c>
      <c r="S31" s="715">
        <f t="shared" si="12"/>
        <v>100</v>
      </c>
      <c r="T31" s="714" t="s">
        <v>17</v>
      </c>
      <c r="U31" s="715">
        <f t="shared" si="13"/>
        <v>100</v>
      </c>
      <c r="V31" s="714" t="s">
        <v>17</v>
      </c>
      <c r="W31" s="715">
        <f t="shared" si="14"/>
        <v>100</v>
      </c>
      <c r="X31" s="1540"/>
      <c r="Y31" s="3320"/>
      <c r="Z31" s="1541" t="str">
        <f t="shared" si="15"/>
        <v>建筑结构</v>
      </c>
      <c r="AA31" s="1538">
        <f t="shared" si="3"/>
        <v>1</v>
      </c>
      <c r="AB31" s="1538">
        <f t="shared" si="4"/>
        <v>1</v>
      </c>
      <c r="AC31" s="1538">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0"/>
      <c r="Q32" s="1537" t="str">
        <f t="shared" si="11"/>
        <v>公共部分装修</v>
      </c>
      <c r="R32" s="714" t="s">
        <v>17</v>
      </c>
      <c r="S32" s="715">
        <f t="shared" si="12"/>
        <v>100</v>
      </c>
      <c r="T32" s="714" t="s">
        <v>17</v>
      </c>
      <c r="U32" s="715">
        <f t="shared" si="13"/>
        <v>100</v>
      </c>
      <c r="V32" s="714" t="s">
        <v>17</v>
      </c>
      <c r="W32" s="715">
        <f t="shared" si="14"/>
        <v>100</v>
      </c>
      <c r="X32" s="1540"/>
      <c r="Y32" s="3320"/>
      <c r="Z32" s="1541" t="str">
        <f t="shared" si="15"/>
        <v>公共部分装修</v>
      </c>
      <c r="AA32" s="1538">
        <f t="shared" si="3"/>
        <v>1</v>
      </c>
      <c r="AB32" s="1538">
        <f t="shared" si="4"/>
        <v>1</v>
      </c>
      <c r="AC32" s="1538">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0"/>
      <c r="Q33" s="1537" t="str">
        <f t="shared" si="11"/>
        <v>成新度</v>
      </c>
      <c r="R33" s="714" t="s">
        <v>17</v>
      </c>
      <c r="S33" s="715" t="e">
        <f t="shared" si="12"/>
        <v>#N/A</v>
      </c>
      <c r="T33" s="714" t="s">
        <v>17</v>
      </c>
      <c r="U33" s="715" t="e">
        <f t="shared" si="13"/>
        <v>#N/A</v>
      </c>
      <c r="V33" s="714" t="s">
        <v>17</v>
      </c>
      <c r="W33" s="715" t="e">
        <f t="shared" si="14"/>
        <v>#N/A</v>
      </c>
      <c r="X33" s="1540"/>
      <c r="Y33" s="3320"/>
      <c r="Z33" s="1541" t="str">
        <f t="shared" si="15"/>
        <v>成新度</v>
      </c>
      <c r="AA33" s="1538" t="e">
        <f t="shared" si="3"/>
        <v>#N/A</v>
      </c>
      <c r="AB33" s="1538" t="e">
        <f t="shared" si="4"/>
        <v>#N/A</v>
      </c>
      <c r="AC33" s="1538"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0"/>
      <c r="Q34" s="1528"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0" t="s">
        <v>2387</v>
      </c>
      <c r="Q35" s="1537" t="str">
        <f t="shared" si="11"/>
        <v>市政基础设施</v>
      </c>
      <c r="R35" s="714" t="s">
        <v>17</v>
      </c>
      <c r="S35" s="715">
        <f t="shared" si="12"/>
        <v>100</v>
      </c>
      <c r="T35" s="714" t="s">
        <v>17</v>
      </c>
      <c r="U35" s="715">
        <f t="shared" si="13"/>
        <v>100</v>
      </c>
      <c r="V35" s="714" t="s">
        <v>17</v>
      </c>
      <c r="W35" s="715">
        <f t="shared" si="14"/>
        <v>100</v>
      </c>
      <c r="X35" s="1540"/>
      <c r="Y35" s="3320" t="s">
        <v>2387</v>
      </c>
      <c r="Z35" s="1541" t="str">
        <f t="shared" si="15"/>
        <v>市政基础设施</v>
      </c>
      <c r="AA35" s="1538">
        <f t="shared" si="3"/>
        <v>1</v>
      </c>
      <c r="AB35" s="1538">
        <f t="shared" si="4"/>
        <v>1</v>
      </c>
      <c r="AC35" s="1538">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0"/>
      <c r="Q36" s="1537" t="str">
        <f t="shared" si="11"/>
        <v>内部装修</v>
      </c>
      <c r="R36" s="714" t="s">
        <v>17</v>
      </c>
      <c r="S36" s="715">
        <f t="shared" si="12"/>
        <v>100</v>
      </c>
      <c r="T36" s="714" t="s">
        <v>17</v>
      </c>
      <c r="U36" s="715">
        <f t="shared" si="13"/>
        <v>100</v>
      </c>
      <c r="V36" s="714" t="s">
        <v>17</v>
      </c>
      <c r="W36" s="715">
        <f t="shared" si="14"/>
        <v>100</v>
      </c>
      <c r="X36" s="1540"/>
      <c r="Y36" s="3320"/>
      <c r="Z36" s="1541" t="str">
        <f t="shared" si="15"/>
        <v>内部装修</v>
      </c>
      <c r="AA36" s="1538">
        <f t="shared" si="3"/>
        <v>1</v>
      </c>
      <c r="AB36" s="1538">
        <f t="shared" si="4"/>
        <v>1</v>
      </c>
      <c r="AC36" s="1538">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0"/>
      <c r="Q37" s="1537" t="str">
        <f t="shared" si="11"/>
        <v>内部装修状况</v>
      </c>
      <c r="R37" s="714" t="s">
        <v>17</v>
      </c>
      <c r="S37" s="715">
        <f t="shared" si="12"/>
        <v>100</v>
      </c>
      <c r="T37" s="714" t="s">
        <v>17</v>
      </c>
      <c r="U37" s="715">
        <f t="shared" si="13"/>
        <v>100</v>
      </c>
      <c r="V37" s="714" t="s">
        <v>17</v>
      </c>
      <c r="W37" s="715">
        <f t="shared" si="14"/>
        <v>100</v>
      </c>
      <c r="X37" s="1540"/>
      <c r="Y37" s="3320"/>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0"/>
      <c r="Q39" s="1537">
        <f t="shared" si="11"/>
        <v>111</v>
      </c>
      <c r="R39" s="714" t="s">
        <v>17</v>
      </c>
      <c r="S39" s="715">
        <f t="shared" si="12"/>
        <v>100</v>
      </c>
      <c r="T39" s="714" t="s">
        <v>17</v>
      </c>
      <c r="U39" s="715">
        <f t="shared" si="13"/>
        <v>100</v>
      </c>
      <c r="V39" s="714" t="s">
        <v>17</v>
      </c>
      <c r="W39" s="715">
        <f t="shared" si="14"/>
        <v>100</v>
      </c>
      <c r="X39" s="1540"/>
      <c r="Y39" s="3320"/>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1"/>
      <c r="Q40" s="1537">
        <f t="shared" si="11"/>
        <v>111</v>
      </c>
      <c r="R40" s="714" t="s">
        <v>17</v>
      </c>
      <c r="S40" s="715">
        <f t="shared" si="12"/>
        <v>100</v>
      </c>
      <c r="T40" s="714" t="s">
        <v>17</v>
      </c>
      <c r="U40" s="715">
        <f t="shared" si="13"/>
        <v>100</v>
      </c>
      <c r="V40" s="714" t="s">
        <v>17</v>
      </c>
      <c r="W40" s="715">
        <f t="shared" si="14"/>
        <v>100</v>
      </c>
      <c r="X40" s="1540"/>
      <c r="Y40" s="3321"/>
      <c r="Z40" s="1541">
        <f t="shared" si="15"/>
        <v>111</v>
      </c>
      <c r="AA40" s="1538">
        <f t="shared" si="3"/>
        <v>1</v>
      </c>
      <c r="AB40" s="1538">
        <f t="shared" si="4"/>
        <v>1</v>
      </c>
      <c r="AC40" s="1538">
        <f t="shared" si="5"/>
        <v>1</v>
      </c>
    </row>
    <row r="41" spans="1:29" ht="15">
      <c r="A41" s="438" t="s">
        <v>2399</v>
      </c>
      <c r="B41" s="439"/>
      <c r="C41" s="1315" t="s">
        <v>1</v>
      </c>
      <c r="D41" s="1316"/>
      <c r="E41" s="1317"/>
      <c r="F41" s="1318"/>
      <c r="G41" s="1319"/>
      <c r="H41" s="1320"/>
      <c r="I41" s="1317"/>
      <c r="J41" s="1320"/>
      <c r="K41" s="723"/>
      <c r="L41" s="1057"/>
      <c r="M41" s="1058"/>
      <c r="N41" s="1045"/>
      <c r="O41" s="1058"/>
      <c r="P41" s="3322" t="str">
        <f>A41</f>
        <v>成交单价（元/平方米）</v>
      </c>
      <c r="Q41" s="3322"/>
      <c r="R41" s="3323">
        <f>E41</f>
        <v>0</v>
      </c>
      <c r="S41" s="3323"/>
      <c r="T41" s="3323">
        <f>G41</f>
        <v>0</v>
      </c>
      <c r="U41" s="3323"/>
      <c r="V41" s="3323">
        <f>I41</f>
        <v>0</v>
      </c>
      <c r="W41" s="3323"/>
      <c r="X41" s="699"/>
      <c r="Y41" s="721"/>
      <c r="Z41" s="699"/>
      <c r="AA41" s="699"/>
      <c r="AB41" s="699"/>
      <c r="AC41" s="699"/>
    </row>
    <row r="42" spans="1:29" ht="15.75" thickBot="1">
      <c r="A42" s="445" t="s">
        <v>2491</v>
      </c>
      <c r="B42" s="446"/>
      <c r="C42" s="1321" t="e">
        <f>R43</f>
        <v>#DIV/0!</v>
      </c>
      <c r="D42" s="2539" t="s">
        <v>2878</v>
      </c>
      <c r="E42" s="1322" t="e">
        <f>R42</f>
        <v>#DIV/0!</v>
      </c>
      <c r="F42" s="2540"/>
      <c r="G42" s="1321" t="e">
        <f>T42</f>
        <v>#DIV/0!</v>
      </c>
      <c r="H42" s="2540"/>
      <c r="I42" s="1322" t="e">
        <f>V42</f>
        <v>#DIV/0!</v>
      </c>
      <c r="J42" s="2540"/>
      <c r="K42" s="2542">
        <f>F42+H42+J42</f>
        <v>0</v>
      </c>
      <c r="L42" s="1057"/>
      <c r="M42" s="1058"/>
      <c r="N42" s="1045"/>
      <c r="O42" s="1058"/>
      <c r="P42" s="3322" t="str">
        <f>A42</f>
        <v>比较价值（元/平方米）</v>
      </c>
      <c r="Q42" s="3322"/>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699"/>
      <c r="Y42" s="699"/>
      <c r="Z42" s="699"/>
      <c r="AA42" s="699"/>
      <c r="AB42" s="699"/>
      <c r="AC42" s="699"/>
    </row>
    <row r="43" spans="1:29" ht="15.75" thickBot="1">
      <c r="A43" s="449" t="s">
        <v>2492</v>
      </c>
      <c r="B43" s="450"/>
      <c r="C43" s="1324" t="e">
        <f>R43</f>
        <v>#DIV/0!</v>
      </c>
      <c r="D43" s="1324"/>
      <c r="E43" s="1324"/>
      <c r="F43" s="1324"/>
      <c r="G43" s="1324"/>
      <c r="H43" s="1324"/>
      <c r="I43" s="1324"/>
      <c r="J43" s="1324"/>
      <c r="K43" s="724"/>
      <c r="L43" s="1057"/>
      <c r="M43" s="1058"/>
      <c r="N43" s="1058"/>
      <c r="O43" s="1058"/>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5" t="str">
        <f>YEAR(C7)&amp;"-"&amp;MONTH(C7)</f>
        <v>2020-12</v>
      </c>
      <c r="D52" s="1346">
        <f>EDATE(C52,-1)</f>
        <v>44136</v>
      </c>
      <c r="E52" s="1346">
        <f t="shared" ref="E52:O52" si="16">EDATE(D52,-1)</f>
        <v>44105</v>
      </c>
      <c r="F52" s="1346">
        <f t="shared" si="16"/>
        <v>44075</v>
      </c>
      <c r="G52" s="1346">
        <f t="shared" si="16"/>
        <v>44044</v>
      </c>
      <c r="H52" s="1346">
        <f t="shared" si="16"/>
        <v>44013</v>
      </c>
      <c r="I52" s="1346">
        <f t="shared" si="16"/>
        <v>43983</v>
      </c>
      <c r="J52" s="1346">
        <f t="shared" si="16"/>
        <v>43952</v>
      </c>
      <c r="K52" s="1346">
        <f t="shared" si="16"/>
        <v>43922</v>
      </c>
      <c r="L52" s="1346">
        <f t="shared" si="16"/>
        <v>43891</v>
      </c>
      <c r="M52" s="1346">
        <f t="shared" si="16"/>
        <v>43862</v>
      </c>
      <c r="N52" s="1346">
        <f t="shared" si="16"/>
        <v>43831</v>
      </c>
      <c r="O52" s="1346">
        <f t="shared" si="16"/>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0"/>
      <c r="O54" s="3001"/>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5"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1326"/>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4"/>
      <c r="M3" s="2965"/>
      <c r="N3" s="2965"/>
      <c r="O3" s="2965"/>
      <c r="P3" s="1326"/>
      <c r="Q3" s="708"/>
      <c r="R3" s="708"/>
      <c r="S3" s="708"/>
      <c r="T3" s="708"/>
      <c r="U3" s="708"/>
      <c r="V3" s="708"/>
      <c r="W3" s="708"/>
      <c r="X3" s="708"/>
      <c r="Y3" s="708"/>
      <c r="Z3" s="708"/>
      <c r="AA3" s="708"/>
      <c r="AB3" s="725"/>
      <c r="AC3" s="722"/>
    </row>
    <row r="4" spans="1:29" ht="15">
      <c r="A4" s="361" t="s">
        <v>2467</v>
      </c>
      <c r="B4" s="362"/>
      <c r="C4" s="3297" t="s">
        <v>2468</v>
      </c>
      <c r="D4" s="3298"/>
      <c r="E4" s="3299" t="s">
        <v>2469</v>
      </c>
      <c r="F4" s="3300"/>
      <c r="G4" s="3297" t="s">
        <v>2470</v>
      </c>
      <c r="H4" s="3298"/>
      <c r="I4" s="3297" t="s">
        <v>2471</v>
      </c>
      <c r="J4" s="3298"/>
      <c r="K4" s="567" t="s">
        <v>2472</v>
      </c>
      <c r="L4" s="2945"/>
      <c r="M4" s="2946"/>
      <c r="N4" s="2946"/>
      <c r="O4" s="2946"/>
      <c r="P4" s="3363" t="s">
        <v>2473</v>
      </c>
      <c r="Q4" s="3364"/>
      <c r="R4" s="3359" t="s">
        <v>2469</v>
      </c>
      <c r="S4" s="3360"/>
      <c r="T4" s="3359" t="s">
        <v>2470</v>
      </c>
      <c r="U4" s="3360"/>
      <c r="V4" s="3310" t="s">
        <v>2471</v>
      </c>
      <c r="W4" s="3310"/>
      <c r="X4" s="1540"/>
      <c r="Y4" s="3359" t="s">
        <v>2473</v>
      </c>
      <c r="Z4" s="3360"/>
      <c r="AA4" s="3358" t="s">
        <v>2469</v>
      </c>
      <c r="AB4" s="3276" t="s">
        <v>2470</v>
      </c>
      <c r="AC4" s="3358" t="s">
        <v>2471</v>
      </c>
    </row>
    <row r="5" spans="1:29" ht="15">
      <c r="A5" s="364"/>
      <c r="B5" s="365"/>
      <c r="C5" s="3286" t="s">
        <v>2364</v>
      </c>
      <c r="D5" s="3287"/>
      <c r="E5" s="3361" t="s">
        <v>2365</v>
      </c>
      <c r="F5" s="3362"/>
      <c r="G5" s="3286" t="s">
        <v>2366</v>
      </c>
      <c r="H5" s="3287"/>
      <c r="I5" s="3286" t="s">
        <v>2367</v>
      </c>
      <c r="J5" s="3287"/>
      <c r="K5" s="567"/>
      <c r="L5" s="2945"/>
      <c r="M5" s="2946"/>
      <c r="N5" s="2946"/>
      <c r="O5" s="2946"/>
      <c r="P5" s="3365"/>
      <c r="Q5" s="3304"/>
      <c r="R5" s="3282"/>
      <c r="S5" s="3283"/>
      <c r="T5" s="3282"/>
      <c r="U5" s="3283"/>
      <c r="V5" s="3310"/>
      <c r="W5" s="3310"/>
      <c r="X5" s="1540"/>
      <c r="Y5" s="3282"/>
      <c r="Z5" s="3283"/>
      <c r="AA5" s="3276"/>
      <c r="AB5" s="3276"/>
      <c r="AC5" s="3276"/>
    </row>
    <row r="6" spans="1:29" ht="15.75" thickBot="1">
      <c r="A6" s="366"/>
      <c r="B6" s="367"/>
      <c r="C6" s="3288" t="s">
        <v>2368</v>
      </c>
      <c r="D6" s="3289"/>
      <c r="E6" s="3291" t="s">
        <v>2368</v>
      </c>
      <c r="F6" s="3292"/>
      <c r="G6" s="3288" t="s">
        <v>2368</v>
      </c>
      <c r="H6" s="3289"/>
      <c r="I6" s="3288" t="s">
        <v>2368</v>
      </c>
      <c r="J6" s="3289"/>
      <c r="K6" s="567" t="s">
        <v>2369</v>
      </c>
      <c r="L6" s="2945"/>
      <c r="M6" s="2946"/>
      <c r="N6" s="2946"/>
      <c r="O6" s="2946"/>
      <c r="P6" s="3366"/>
      <c r="Q6" s="3306"/>
      <c r="R6" s="3282"/>
      <c r="S6" s="3283"/>
      <c r="T6" s="3307"/>
      <c r="U6" s="3308"/>
      <c r="V6" s="3310"/>
      <c r="W6" s="3310"/>
      <c r="X6" s="1540"/>
      <c r="Y6" s="3307"/>
      <c r="Z6" s="3308"/>
      <c r="AA6" s="3277"/>
      <c r="AB6" s="3277"/>
      <c r="AC6" s="3277"/>
    </row>
    <row r="7" spans="1:29" s="113" customFormat="1" ht="15.75" thickBot="1">
      <c r="A7" s="368" t="s">
        <v>2370</v>
      </c>
      <c r="B7" s="369"/>
      <c r="C7" s="370">
        <f>'数据-取费表'!B2</f>
        <v>44166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78" t="s">
        <v>2371</v>
      </c>
      <c r="Q7" s="3312"/>
      <c r="R7" s="710" t="s">
        <v>17</v>
      </c>
      <c r="S7" s="711">
        <f t="shared" ref="S7:S14" si="0">F7</f>
        <v>0</v>
      </c>
      <c r="T7" s="710" t="s">
        <v>17</v>
      </c>
      <c r="U7" s="711">
        <f t="shared" ref="U7:U14" si="1">H7</f>
        <v>0</v>
      </c>
      <c r="V7" s="710" t="s">
        <v>17</v>
      </c>
      <c r="W7" s="711">
        <f t="shared" ref="W7:W14" si="2">J7</f>
        <v>0</v>
      </c>
      <c r="X7" s="712"/>
      <c r="Y7" s="3278" t="s">
        <v>2371</v>
      </c>
      <c r="Z7" s="3279"/>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78" t="s">
        <v>2374</v>
      </c>
      <c r="Q8" s="3279"/>
      <c r="R8" s="710" t="s">
        <v>17</v>
      </c>
      <c r="S8" s="711">
        <f t="shared" si="0"/>
        <v>0</v>
      </c>
      <c r="T8" s="710" t="s">
        <v>17</v>
      </c>
      <c r="U8" s="711">
        <f t="shared" si="1"/>
        <v>0</v>
      </c>
      <c r="V8" s="710" t="s">
        <v>17</v>
      </c>
      <c r="W8" s="711">
        <f t="shared" si="2"/>
        <v>0</v>
      </c>
      <c r="X8" s="712"/>
      <c r="Y8" s="3278" t="s">
        <v>2374</v>
      </c>
      <c r="Z8" s="3279"/>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2" t="s">
        <v>2377</v>
      </c>
      <c r="Q9" s="1528" t="str">
        <f t="shared" ref="Q9:Q14" si="6">B9</f>
        <v>用途</v>
      </c>
      <c r="R9" s="710" t="s">
        <v>17</v>
      </c>
      <c r="S9" s="711">
        <f t="shared" si="0"/>
        <v>100</v>
      </c>
      <c r="T9" s="710" t="s">
        <v>17</v>
      </c>
      <c r="U9" s="711">
        <f t="shared" si="1"/>
        <v>100</v>
      </c>
      <c r="V9" s="710" t="s">
        <v>17</v>
      </c>
      <c r="W9" s="711">
        <f t="shared" si="2"/>
        <v>100</v>
      </c>
      <c r="X9" s="712"/>
      <c r="Y9" s="3251"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2"/>
      <c r="Q10" s="1528"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2"/>
      <c r="Q11" s="1528">
        <f t="shared" si="6"/>
        <v>111</v>
      </c>
      <c r="R11" s="710" t="s">
        <v>17</v>
      </c>
      <c r="S11" s="711">
        <f t="shared" si="0"/>
        <v>100</v>
      </c>
      <c r="T11" s="710" t="s">
        <v>17</v>
      </c>
      <c r="U11" s="711">
        <f t="shared" si="1"/>
        <v>100</v>
      </c>
      <c r="V11" s="710" t="s">
        <v>17</v>
      </c>
      <c r="W11" s="711">
        <f t="shared" si="2"/>
        <v>100</v>
      </c>
      <c r="X11" s="712"/>
      <c r="Y11" s="325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2"/>
      <c r="Q12" s="1528">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2"/>
      <c r="Q13" s="1528">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5" t="s">
        <v>2382</v>
      </c>
      <c r="Q14" s="1537" t="str">
        <f t="shared" si="6"/>
        <v>交通便捷度</v>
      </c>
      <c r="R14" s="714" t="s">
        <v>17</v>
      </c>
      <c r="S14" s="715">
        <f t="shared" si="0"/>
        <v>100</v>
      </c>
      <c r="T14" s="714" t="s">
        <v>17</v>
      </c>
      <c r="U14" s="715">
        <f t="shared" si="1"/>
        <v>100</v>
      </c>
      <c r="V14" s="714" t="s">
        <v>17</v>
      </c>
      <c r="W14" s="715">
        <f t="shared" si="2"/>
        <v>100</v>
      </c>
      <c r="X14" s="1540"/>
      <c r="Y14" s="3315" t="s">
        <v>2382</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16"/>
      <c r="Q15" s="1537"/>
      <c r="R15" s="714"/>
      <c r="S15" s="715"/>
      <c r="T15" s="714"/>
      <c r="U15" s="715"/>
      <c r="V15" s="714"/>
      <c r="W15" s="715"/>
      <c r="X15" s="1540"/>
      <c r="Y15" s="3316"/>
      <c r="Z15" s="1541"/>
      <c r="AA15" s="1538">
        <v>1</v>
      </c>
      <c r="AB15" s="1538">
        <v>1</v>
      </c>
      <c r="AC15" s="1538">
        <v>1</v>
      </c>
    </row>
    <row r="16" spans="1:29" ht="42.75">
      <c r="A16" s="364"/>
      <c r="B16" s="587" t="s">
        <v>2510</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16"/>
      <c r="Q16" s="1537" t="str">
        <f>B16</f>
        <v>公共配套设施</v>
      </c>
      <c r="R16" s="714" t="s">
        <v>17</v>
      </c>
      <c r="S16" s="715">
        <f>F16</f>
        <v>100</v>
      </c>
      <c r="T16" s="714" t="s">
        <v>17</v>
      </c>
      <c r="U16" s="715">
        <f>H16</f>
        <v>100</v>
      </c>
      <c r="V16" s="714" t="s">
        <v>17</v>
      </c>
      <c r="W16" s="715">
        <f>J16</f>
        <v>100</v>
      </c>
      <c r="X16" s="1540"/>
      <c r="Y16" s="3316"/>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16"/>
      <c r="Q17" s="1537"/>
      <c r="R17" s="714"/>
      <c r="S17" s="715"/>
      <c r="T17" s="714"/>
      <c r="U17" s="715"/>
      <c r="V17" s="714"/>
      <c r="W17" s="715"/>
      <c r="X17" s="1540"/>
      <c r="Y17" s="3316"/>
      <c r="Z17" s="1541"/>
      <c r="AA17" s="1538">
        <v>1</v>
      </c>
      <c r="AB17" s="1538">
        <v>1</v>
      </c>
      <c r="AC17" s="1538">
        <v>1</v>
      </c>
    </row>
    <row r="18" spans="1:29" ht="28.5">
      <c r="A18" s="364"/>
      <c r="B18" s="589" t="s">
        <v>2511</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16"/>
      <c r="Q18" s="1537" t="str">
        <f>B18</f>
        <v>基础设施水平</v>
      </c>
      <c r="R18" s="714" t="s">
        <v>17</v>
      </c>
      <c r="S18" s="715">
        <f>F18</f>
        <v>100</v>
      </c>
      <c r="T18" s="714" t="s">
        <v>17</v>
      </c>
      <c r="U18" s="715">
        <f>H18</f>
        <v>100</v>
      </c>
      <c r="V18" s="714" t="s">
        <v>17</v>
      </c>
      <c r="W18" s="715">
        <f>J18</f>
        <v>100</v>
      </c>
      <c r="X18" s="1540"/>
      <c r="Y18" s="3316"/>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52"/>
      <c r="M19" s="2946"/>
      <c r="N19" s="2946"/>
      <c r="O19" s="2946"/>
      <c r="P19" s="3316"/>
      <c r="Q19" s="1537"/>
      <c r="R19" s="714"/>
      <c r="S19" s="715"/>
      <c r="T19" s="714"/>
      <c r="U19" s="715"/>
      <c r="V19" s="714"/>
      <c r="W19" s="715"/>
      <c r="X19" s="1540"/>
      <c r="Y19" s="3316"/>
      <c r="Z19" s="1541"/>
      <c r="AA19" s="1538">
        <v>1</v>
      </c>
      <c r="AB19" s="1538">
        <v>1</v>
      </c>
      <c r="AC19" s="1538">
        <v>1</v>
      </c>
    </row>
    <row r="20" spans="1:29" ht="57">
      <c r="A20" s="364"/>
      <c r="B20" s="587" t="s">
        <v>2532</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16"/>
      <c r="Q20" s="1537" t="str">
        <f>B20</f>
        <v>自然及人文环境</v>
      </c>
      <c r="R20" s="714" t="s">
        <v>17</v>
      </c>
      <c r="S20" s="715">
        <f>F20</f>
        <v>100</v>
      </c>
      <c r="T20" s="714" t="s">
        <v>17</v>
      </c>
      <c r="U20" s="715">
        <f>H20</f>
        <v>100</v>
      </c>
      <c r="V20" s="714" t="s">
        <v>17</v>
      </c>
      <c r="W20" s="715">
        <f>J20</f>
        <v>100</v>
      </c>
      <c r="X20" s="1540"/>
      <c r="Y20" s="3316"/>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16"/>
      <c r="Q21" s="1537"/>
      <c r="R21" s="714"/>
      <c r="S21" s="715"/>
      <c r="T21" s="714"/>
      <c r="U21" s="715"/>
      <c r="V21" s="714"/>
      <c r="W21" s="715"/>
      <c r="X21" s="1540"/>
      <c r="Y21" s="3316"/>
      <c r="Z21" s="1541"/>
      <c r="AA21" s="1538">
        <v>1</v>
      </c>
      <c r="AB21" s="1538">
        <v>1</v>
      </c>
      <c r="AC21" s="1538">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16"/>
      <c r="Q22" s="1537" t="str">
        <f>B22</f>
        <v>楼层</v>
      </c>
      <c r="R22" s="714" t="s">
        <v>17</v>
      </c>
      <c r="S22" s="715">
        <f>F22</f>
        <v>100</v>
      </c>
      <c r="T22" s="714" t="s">
        <v>17</v>
      </c>
      <c r="U22" s="715">
        <f>H22</f>
        <v>100</v>
      </c>
      <c r="V22" s="714" t="s">
        <v>17</v>
      </c>
      <c r="W22" s="715">
        <f>J22</f>
        <v>100</v>
      </c>
      <c r="X22" s="1540"/>
      <c r="Y22" s="3316"/>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16"/>
      <c r="Q23" s="1537">
        <f>B23</f>
        <v>111</v>
      </c>
      <c r="R23" s="714" t="s">
        <v>17</v>
      </c>
      <c r="S23" s="715">
        <f>F23</f>
        <v>100</v>
      </c>
      <c r="T23" s="714" t="s">
        <v>17</v>
      </c>
      <c r="U23" s="715">
        <f>H23</f>
        <v>100</v>
      </c>
      <c r="V23" s="714" t="s">
        <v>17</v>
      </c>
      <c r="W23" s="715">
        <f>J23</f>
        <v>100</v>
      </c>
      <c r="X23" s="1540"/>
      <c r="Y23" s="3316"/>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16"/>
      <c r="Q24" s="1537">
        <f t="shared" ref="Q24:Q36" si="11">B24</f>
        <v>111</v>
      </c>
      <c r="R24" s="714" t="s">
        <v>17</v>
      </c>
      <c r="S24" s="715">
        <f>F24</f>
        <v>100</v>
      </c>
      <c r="T24" s="714" t="s">
        <v>17</v>
      </c>
      <c r="U24" s="715">
        <f>H24</f>
        <v>100</v>
      </c>
      <c r="V24" s="714" t="s">
        <v>17</v>
      </c>
      <c r="W24" s="715">
        <f>J24</f>
        <v>100</v>
      </c>
      <c r="X24" s="1540"/>
      <c r="Y24" s="3316"/>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16"/>
      <c r="Q25" s="1528">
        <f t="shared" si="11"/>
        <v>111</v>
      </c>
      <c r="R25" s="710" t="s">
        <v>17</v>
      </c>
      <c r="S25" s="711">
        <f>F25</f>
        <v>100</v>
      </c>
      <c r="T25" s="710" t="s">
        <v>17</v>
      </c>
      <c r="U25" s="711">
        <f>H25</f>
        <v>100</v>
      </c>
      <c r="V25" s="710" t="s">
        <v>17</v>
      </c>
      <c r="W25" s="711">
        <f>J25</f>
        <v>100</v>
      </c>
      <c r="X25" s="712"/>
      <c r="Y25" s="3316"/>
      <c r="Z25" s="55">
        <f>Q25</f>
        <v>111</v>
      </c>
      <c r="AA25" s="1538">
        <f>D25/F25</f>
        <v>1</v>
      </c>
      <c r="AB25" s="1538">
        <f>D25/H25</f>
        <v>1</v>
      </c>
      <c r="AC25" s="1538">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96" t="s">
        <v>2387</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20" t="s">
        <v>2387</v>
      </c>
      <c r="Z26" s="1541" t="str">
        <f t="shared" ref="Z26:Z36" si="15">Q26</f>
        <v>配套类型</v>
      </c>
      <c r="AA26" s="1538">
        <f t="shared" si="3"/>
        <v>1</v>
      </c>
      <c r="AB26" s="1538">
        <f t="shared" si="4"/>
        <v>1</v>
      </c>
      <c r="AC26" s="1538">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8">
        <f t="shared" si="3"/>
        <v>1</v>
      </c>
      <c r="AB27" s="1538">
        <f t="shared" si="4"/>
        <v>1</v>
      </c>
      <c r="AC27" s="1538">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20"/>
      <c r="Q28" s="1537" t="str">
        <f t="shared" si="11"/>
        <v>公共部分装修</v>
      </c>
      <c r="R28" s="714" t="s">
        <v>17</v>
      </c>
      <c r="S28" s="715">
        <f t="shared" si="12"/>
        <v>100</v>
      </c>
      <c r="T28" s="714" t="s">
        <v>17</v>
      </c>
      <c r="U28" s="715">
        <f t="shared" si="13"/>
        <v>100</v>
      </c>
      <c r="V28" s="714" t="s">
        <v>17</v>
      </c>
      <c r="W28" s="715">
        <f t="shared" si="14"/>
        <v>100</v>
      </c>
      <c r="X28" s="1540"/>
      <c r="Y28" s="3320"/>
      <c r="Z28" s="1541" t="str">
        <f t="shared" si="15"/>
        <v>公共部分装修</v>
      </c>
      <c r="AA28" s="1538">
        <f t="shared" si="3"/>
        <v>1</v>
      </c>
      <c r="AB28" s="1538">
        <f t="shared" si="4"/>
        <v>1</v>
      </c>
      <c r="AC28" s="1538">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20"/>
      <c r="Q29" s="1537" t="str">
        <f t="shared" si="11"/>
        <v>成新率</v>
      </c>
      <c r="R29" s="714" t="s">
        <v>17</v>
      </c>
      <c r="S29" s="715" t="e">
        <f t="shared" si="12"/>
        <v>#N/A</v>
      </c>
      <c r="T29" s="714" t="s">
        <v>17</v>
      </c>
      <c r="U29" s="715" t="e">
        <f t="shared" si="13"/>
        <v>#N/A</v>
      </c>
      <c r="V29" s="714" t="s">
        <v>17</v>
      </c>
      <c r="W29" s="715" t="e">
        <f t="shared" si="14"/>
        <v>#N/A</v>
      </c>
      <c r="X29" s="1540"/>
      <c r="Y29" s="3320"/>
      <c r="Z29" s="1541" t="str">
        <f t="shared" si="15"/>
        <v>成新率</v>
      </c>
      <c r="AA29" s="1538" t="e">
        <f t="shared" si="3"/>
        <v>#N/A</v>
      </c>
      <c r="AB29" s="1538" t="e">
        <f t="shared" si="4"/>
        <v>#N/A</v>
      </c>
      <c r="AC29" s="1538"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20"/>
      <c r="Q30" s="1537" t="str">
        <f t="shared" si="11"/>
        <v>物业等级</v>
      </c>
      <c r="R30" s="714" t="s">
        <v>17</v>
      </c>
      <c r="S30" s="715">
        <f t="shared" si="12"/>
        <v>100</v>
      </c>
      <c r="T30" s="714" t="s">
        <v>17</v>
      </c>
      <c r="U30" s="715">
        <f t="shared" si="13"/>
        <v>100</v>
      </c>
      <c r="V30" s="714" t="s">
        <v>17</v>
      </c>
      <c r="W30" s="715">
        <f t="shared" si="14"/>
        <v>100</v>
      </c>
      <c r="X30" s="1540"/>
      <c r="Y30" s="3320"/>
      <c r="Z30" s="1541" t="str">
        <f t="shared" si="15"/>
        <v>物业等级</v>
      </c>
      <c r="AA30" s="1538">
        <f t="shared" si="3"/>
        <v>1</v>
      </c>
      <c r="AB30" s="1538">
        <f t="shared" si="4"/>
        <v>1</v>
      </c>
      <c r="AC30" s="1538">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20"/>
      <c r="Q31" s="1528"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20" t="s">
        <v>2387</v>
      </c>
      <c r="Q32" s="1537" t="str">
        <f t="shared" si="11"/>
        <v>车位类型</v>
      </c>
      <c r="R32" s="714" t="s">
        <v>17</v>
      </c>
      <c r="S32" s="715">
        <f t="shared" si="12"/>
        <v>100</v>
      </c>
      <c r="T32" s="714" t="s">
        <v>17</v>
      </c>
      <c r="U32" s="715">
        <f t="shared" si="13"/>
        <v>100</v>
      </c>
      <c r="V32" s="714" t="s">
        <v>17</v>
      </c>
      <c r="W32" s="715">
        <f t="shared" si="14"/>
        <v>100</v>
      </c>
      <c r="X32" s="1540"/>
      <c r="Y32" s="3320" t="s">
        <v>2387</v>
      </c>
      <c r="Z32" s="1541" t="str">
        <f t="shared" si="15"/>
        <v>车位类型</v>
      </c>
      <c r="AA32" s="1538">
        <f t="shared" si="3"/>
        <v>1</v>
      </c>
      <c r="AB32" s="1538">
        <f t="shared" si="4"/>
        <v>1</v>
      </c>
      <c r="AC32" s="1538">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20"/>
      <c r="Q33" s="1537" t="str">
        <f t="shared" si="11"/>
        <v>是否直接入户</v>
      </c>
      <c r="R33" s="714" t="s">
        <v>17</v>
      </c>
      <c r="S33" s="715">
        <f t="shared" si="12"/>
        <v>100</v>
      </c>
      <c r="T33" s="714" t="s">
        <v>17</v>
      </c>
      <c r="U33" s="715">
        <f t="shared" si="13"/>
        <v>100</v>
      </c>
      <c r="V33" s="714" t="s">
        <v>17</v>
      </c>
      <c r="W33" s="715">
        <f t="shared" si="14"/>
        <v>100</v>
      </c>
      <c r="X33" s="1540"/>
      <c r="Y33" s="3320"/>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20"/>
      <c r="Q34" s="1537">
        <f t="shared" si="11"/>
        <v>111</v>
      </c>
      <c r="R34" s="714" t="s">
        <v>17</v>
      </c>
      <c r="S34" s="715">
        <f t="shared" si="12"/>
        <v>100</v>
      </c>
      <c r="T34" s="714" t="s">
        <v>17</v>
      </c>
      <c r="U34" s="715">
        <f t="shared" si="13"/>
        <v>100</v>
      </c>
      <c r="V34" s="714" t="s">
        <v>17</v>
      </c>
      <c r="W34" s="715">
        <f t="shared" si="14"/>
        <v>100</v>
      </c>
      <c r="X34" s="1540"/>
      <c r="Y34" s="3320"/>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20"/>
      <c r="Q36" s="1537">
        <f t="shared" si="11"/>
        <v>111</v>
      </c>
      <c r="R36" s="714" t="s">
        <v>17</v>
      </c>
      <c r="S36" s="715">
        <f t="shared" si="12"/>
        <v>100</v>
      </c>
      <c r="T36" s="714" t="s">
        <v>17</v>
      </c>
      <c r="U36" s="715">
        <f t="shared" si="13"/>
        <v>100</v>
      </c>
      <c r="V36" s="714" t="s">
        <v>17</v>
      </c>
      <c r="W36" s="715">
        <f t="shared" si="14"/>
        <v>100</v>
      </c>
      <c r="X36" s="1540"/>
      <c r="Y36" s="3320"/>
      <c r="Z36" s="1541">
        <f t="shared" si="15"/>
        <v>111</v>
      </c>
      <c r="AA36" s="1538">
        <f t="shared" si="3"/>
        <v>1</v>
      </c>
      <c r="AB36" s="1538">
        <f t="shared" si="4"/>
        <v>1</v>
      </c>
      <c r="AC36" s="1538">
        <f t="shared" si="5"/>
        <v>1</v>
      </c>
    </row>
    <row r="37" spans="1:29" ht="15">
      <c r="A37" s="438" t="s">
        <v>2542</v>
      </c>
      <c r="B37" s="2160" t="s">
        <v>2543</v>
      </c>
      <c r="C37" s="1315" t="s">
        <v>1</v>
      </c>
      <c r="D37" s="1316"/>
      <c r="E37" s="1317"/>
      <c r="F37" s="1318"/>
      <c r="G37" s="1319"/>
      <c r="H37" s="1320"/>
      <c r="I37" s="1317"/>
      <c r="J37" s="1320"/>
      <c r="K37" s="576"/>
      <c r="L37" s="2954"/>
      <c r="M37" s="2955"/>
      <c r="N37" s="2946"/>
      <c r="O37" s="2955"/>
      <c r="P37" s="3322" t="str">
        <f>A37</f>
        <v>成交单价</v>
      </c>
      <c r="Q37" s="3322"/>
      <c r="R37" s="3323">
        <f>E37</f>
        <v>0</v>
      </c>
      <c r="S37" s="3323"/>
      <c r="T37" s="3323">
        <f>G37</f>
        <v>0</v>
      </c>
      <c r="U37" s="3323"/>
      <c r="V37" s="3323">
        <f>I37</f>
        <v>0</v>
      </c>
      <c r="W37" s="3323"/>
      <c r="X37" s="699"/>
      <c r="Y37" s="721"/>
      <c r="Z37" s="699"/>
      <c r="AA37" s="699"/>
      <c r="AB37" s="699"/>
      <c r="AC37" s="699"/>
    </row>
    <row r="38" spans="1:29" ht="15.75" thickBot="1">
      <c r="A38" s="445" t="s">
        <v>2544</v>
      </c>
      <c r="B38" s="446" t="str">
        <f>B37</f>
        <v>元/车位</v>
      </c>
      <c r="C38" s="1321" t="e">
        <f>R39</f>
        <v>#DIV/0!</v>
      </c>
      <c r="D38" s="2539" t="s">
        <v>2878</v>
      </c>
      <c r="E38" s="1322" t="e">
        <f>R38</f>
        <v>#DIV/0!</v>
      </c>
      <c r="F38" s="2540"/>
      <c r="G38" s="1321" t="e">
        <f>T38</f>
        <v>#DIV/0!</v>
      </c>
      <c r="H38" s="2540"/>
      <c r="I38" s="1322" t="e">
        <f>V38</f>
        <v>#DIV/0!</v>
      </c>
      <c r="J38" s="2540"/>
      <c r="K38" s="2542">
        <f>F38+H38+J38</f>
        <v>0</v>
      </c>
      <c r="L38" s="2954"/>
      <c r="M38" s="2955"/>
      <c r="N38" s="2955"/>
      <c r="O38" s="2955"/>
      <c r="P38" s="3322" t="str">
        <f>A38</f>
        <v>比较价值（元/平方米）</v>
      </c>
      <c r="Q38" s="3322"/>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699"/>
      <c r="Y38" s="699"/>
      <c r="Z38" s="699"/>
      <c r="AA38" s="699"/>
      <c r="AB38" s="699"/>
      <c r="AC38" s="699"/>
    </row>
    <row r="39" spans="1:29" ht="15.75" thickBot="1">
      <c r="A39" s="449" t="s">
        <v>2545</v>
      </c>
      <c r="B39" s="450"/>
      <c r="C39" s="1324" t="e">
        <f>R39</f>
        <v>#DIV/0!</v>
      </c>
      <c r="D39" s="1324"/>
      <c r="E39" s="1324"/>
      <c r="F39" s="1324"/>
      <c r="G39" s="1324"/>
      <c r="H39" s="1324"/>
      <c r="I39" s="1324"/>
      <c r="J39" s="1324"/>
      <c r="K39" s="577"/>
      <c r="L39" s="2954"/>
      <c r="M39" s="2955"/>
      <c r="N39" s="2955"/>
      <c r="O39" s="2955"/>
      <c r="P39" s="3367" t="str">
        <f>A39</f>
        <v>估价对象XX用房的比较价值（楼面单价，元/平方米）</v>
      </c>
      <c r="Q39" s="3368"/>
      <c r="R39" s="3401" t="e">
        <f>IF(F1="售价",ROUND(IF(D38="简单平均",AVERAGE(R38:W38),R38*F38+T38*H38+V38*J38),0),ROUND(IF(D38="简单平均",AVERAGE(R38:V38),R38*F38+T38*H38+V38*J38),1))</f>
        <v>#DIV/0!</v>
      </c>
      <c r="S39" s="3401"/>
      <c r="T39" s="3401"/>
      <c r="U39" s="3401"/>
      <c r="V39" s="3401"/>
      <c r="W39" s="3401"/>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2549</v>
      </c>
      <c r="B47" s="1058"/>
      <c r="C47" s="1071"/>
      <c r="D47" s="1071"/>
      <c r="E47" s="1071"/>
      <c r="F47" s="1328"/>
      <c r="G47" s="1328"/>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2550</v>
      </c>
      <c r="B48" s="463"/>
      <c r="C48" s="1345" t="str">
        <f>YEAR(C7)&amp;"-"&amp;MONTH(C7)</f>
        <v>2020-12</v>
      </c>
      <c r="D48" s="1346">
        <f>EDATE(C48,-1)</f>
        <v>44136</v>
      </c>
      <c r="E48" s="1346">
        <f t="shared" ref="E48:O48" si="16">EDATE(D48,-1)</f>
        <v>44105</v>
      </c>
      <c r="F48" s="1346">
        <f t="shared" si="16"/>
        <v>44075</v>
      </c>
      <c r="G48" s="1346">
        <f t="shared" si="16"/>
        <v>44044</v>
      </c>
      <c r="H48" s="1346">
        <f t="shared" si="16"/>
        <v>44013</v>
      </c>
      <c r="I48" s="1346">
        <f t="shared" si="16"/>
        <v>43983</v>
      </c>
      <c r="J48" s="1346">
        <f t="shared" si="16"/>
        <v>43952</v>
      </c>
      <c r="K48" s="1346">
        <f t="shared" si="16"/>
        <v>43922</v>
      </c>
      <c r="L48" s="1346">
        <f t="shared" si="16"/>
        <v>43891</v>
      </c>
      <c r="M48" s="1346">
        <f t="shared" si="16"/>
        <v>43862</v>
      </c>
      <c r="N48" s="1346">
        <f t="shared" si="16"/>
        <v>43831</v>
      </c>
      <c r="O48" s="1346">
        <f t="shared" si="16"/>
        <v>43800</v>
      </c>
      <c r="P48" s="2989"/>
      <c r="Q48" s="2971"/>
      <c r="R48" s="2971"/>
      <c r="S48" s="2971"/>
      <c r="T48" s="2971"/>
      <c r="U48" s="2971"/>
      <c r="V48" s="2971"/>
      <c r="W48" s="2971"/>
      <c r="X48" s="2971"/>
      <c r="Y48" s="2971"/>
      <c r="Z48" s="2971"/>
      <c r="AA48" s="2971"/>
      <c r="AB48" s="2971"/>
      <c r="AC48" s="2971"/>
    </row>
    <row r="49" spans="1:29" s="113" customFormat="1" ht="15">
      <c r="A49" s="466"/>
      <c r="B49" s="467"/>
      <c r="C49" s="1338">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2407</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2372</v>
      </c>
      <c r="B51" s="467"/>
      <c r="C51" s="479" t="s">
        <v>2474</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2410</v>
      </c>
      <c r="B53" s="485" t="s">
        <v>2376</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2425</v>
      </c>
      <c r="C65" s="535" t="s">
        <v>2419</v>
      </c>
      <c r="D65" s="535" t="s">
        <v>2420</v>
      </c>
      <c r="E65" s="535" t="s">
        <v>2421</v>
      </c>
      <c r="F65" s="535" t="s">
        <v>2422</v>
      </c>
      <c r="G65" s="535" t="s">
        <v>2423</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2511</v>
      </c>
      <c r="C67" s="616" t="s">
        <v>2497</v>
      </c>
      <c r="D67" s="616" t="s">
        <v>2498</v>
      </c>
      <c r="E67" s="616" t="s">
        <v>2499</v>
      </c>
      <c r="F67" s="616" t="s">
        <v>2500</v>
      </c>
      <c r="G67" s="616" t="s">
        <v>2501</v>
      </c>
      <c r="H67" s="496"/>
      <c r="I67" s="496"/>
      <c r="J67" s="496"/>
      <c r="K67" s="496"/>
      <c r="L67" s="496"/>
      <c r="M67" s="1290"/>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2431</v>
      </c>
      <c r="C69" s="535" t="s">
        <v>2419</v>
      </c>
      <c r="D69" s="535" t="s">
        <v>2420</v>
      </c>
      <c r="E69" s="535" t="s">
        <v>2421</v>
      </c>
      <c r="F69" s="535" t="s">
        <v>2422</v>
      </c>
      <c r="G69" s="535" t="s">
        <v>2423</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2551</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2385</v>
      </c>
      <c r="B79" s="485" t="s">
        <v>2552</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2553</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2438</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2555</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2557</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2558</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IF(C2="——",ROUND(C37*D3/10000,0),ROUND(C37*D3/10000,0)-D2)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297" t="s">
        <v>2468</v>
      </c>
      <c r="D4" s="3298"/>
      <c r="E4" s="3299" t="s">
        <v>2469</v>
      </c>
      <c r="F4" s="3300"/>
      <c r="G4" s="3297" t="s">
        <v>2470</v>
      </c>
      <c r="H4" s="3298"/>
      <c r="I4" s="3297" t="s">
        <v>2471</v>
      </c>
      <c r="J4" s="3298"/>
      <c r="K4" s="567" t="s">
        <v>2472</v>
      </c>
      <c r="L4" s="2945"/>
      <c r="M4" s="2946"/>
      <c r="N4" s="2946"/>
      <c r="O4" s="2946"/>
      <c r="P4" s="3363" t="s">
        <v>2473</v>
      </c>
      <c r="Q4" s="3364"/>
      <c r="R4" s="3359" t="s">
        <v>2469</v>
      </c>
      <c r="S4" s="3360"/>
      <c r="T4" s="3359" t="s">
        <v>2470</v>
      </c>
      <c r="U4" s="3360"/>
      <c r="V4" s="3310" t="s">
        <v>2471</v>
      </c>
      <c r="W4" s="3310"/>
      <c r="X4" s="1540"/>
      <c r="Y4" s="3359" t="s">
        <v>2473</v>
      </c>
      <c r="Z4" s="3360"/>
      <c r="AA4" s="3358" t="s">
        <v>2469</v>
      </c>
      <c r="AB4" s="3276" t="s">
        <v>2470</v>
      </c>
      <c r="AC4" s="3358" t="s">
        <v>2471</v>
      </c>
    </row>
    <row r="5" spans="1:29" ht="15">
      <c r="A5" s="364"/>
      <c r="B5" s="365"/>
      <c r="C5" s="3286" t="s">
        <v>2364</v>
      </c>
      <c r="D5" s="3287"/>
      <c r="E5" s="3361" t="s">
        <v>2365</v>
      </c>
      <c r="F5" s="3362"/>
      <c r="G5" s="3286" t="s">
        <v>2366</v>
      </c>
      <c r="H5" s="3287"/>
      <c r="I5" s="3286" t="s">
        <v>2367</v>
      </c>
      <c r="J5" s="3287"/>
      <c r="K5" s="567"/>
      <c r="L5" s="2945"/>
      <c r="M5" s="2946"/>
      <c r="N5" s="2946"/>
      <c r="O5" s="2946"/>
      <c r="P5" s="3365"/>
      <c r="Q5" s="3304"/>
      <c r="R5" s="3282"/>
      <c r="S5" s="3283"/>
      <c r="T5" s="3282"/>
      <c r="U5" s="3283"/>
      <c r="V5" s="3310"/>
      <c r="W5" s="3310"/>
      <c r="X5" s="1540"/>
      <c r="Y5" s="3282"/>
      <c r="Z5" s="3283"/>
      <c r="AA5" s="3276"/>
      <c r="AB5" s="3276"/>
      <c r="AC5" s="3276"/>
    </row>
    <row r="6" spans="1:29" ht="15.75" thickBot="1">
      <c r="A6" s="366"/>
      <c r="B6" s="367"/>
      <c r="C6" s="3288" t="s">
        <v>2368</v>
      </c>
      <c r="D6" s="3289"/>
      <c r="E6" s="3291" t="s">
        <v>2368</v>
      </c>
      <c r="F6" s="3292"/>
      <c r="G6" s="3288" t="s">
        <v>2368</v>
      </c>
      <c r="H6" s="3289"/>
      <c r="I6" s="3288" t="s">
        <v>2368</v>
      </c>
      <c r="J6" s="3289"/>
      <c r="K6" s="567" t="s">
        <v>2369</v>
      </c>
      <c r="L6" s="2945"/>
      <c r="M6" s="2946"/>
      <c r="N6" s="2946"/>
      <c r="O6" s="2946"/>
      <c r="P6" s="3366"/>
      <c r="Q6" s="3306"/>
      <c r="R6" s="3282"/>
      <c r="S6" s="3283"/>
      <c r="T6" s="3307"/>
      <c r="U6" s="3308"/>
      <c r="V6" s="3310"/>
      <c r="W6" s="3310"/>
      <c r="X6" s="1540"/>
      <c r="Y6" s="3307"/>
      <c r="Z6" s="3308"/>
      <c r="AA6" s="3277"/>
      <c r="AB6" s="3277"/>
      <c r="AC6" s="3277"/>
    </row>
    <row r="7" spans="1:29" s="113" customFormat="1" ht="15.75" thickBot="1">
      <c r="A7" s="368" t="s">
        <v>2370</v>
      </c>
      <c r="B7" s="369"/>
      <c r="C7" s="370">
        <f>'数据-取费表'!B2</f>
        <v>44166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78" t="s">
        <v>2371</v>
      </c>
      <c r="Q7" s="3312"/>
      <c r="R7" s="710" t="s">
        <v>17</v>
      </c>
      <c r="S7" s="711">
        <f t="shared" ref="S7:S14" si="0">F7</f>
        <v>0</v>
      </c>
      <c r="T7" s="710" t="s">
        <v>17</v>
      </c>
      <c r="U7" s="711">
        <f t="shared" ref="U7:U14" si="1">H7</f>
        <v>0</v>
      </c>
      <c r="V7" s="710" t="s">
        <v>17</v>
      </c>
      <c r="W7" s="711">
        <f t="shared" ref="W7:W14" si="2">J7</f>
        <v>0</v>
      </c>
      <c r="X7" s="712"/>
      <c r="Y7" s="3278" t="s">
        <v>2371</v>
      </c>
      <c r="Z7" s="3279"/>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78" t="s">
        <v>2374</v>
      </c>
      <c r="Q8" s="3279"/>
      <c r="R8" s="710" t="s">
        <v>17</v>
      </c>
      <c r="S8" s="711">
        <f t="shared" si="0"/>
        <v>0</v>
      </c>
      <c r="T8" s="710" t="s">
        <v>17</v>
      </c>
      <c r="U8" s="711">
        <f t="shared" si="1"/>
        <v>0</v>
      </c>
      <c r="V8" s="710" t="s">
        <v>17</v>
      </c>
      <c r="W8" s="711">
        <f t="shared" si="2"/>
        <v>0</v>
      </c>
      <c r="X8" s="712"/>
      <c r="Y8" s="3278" t="s">
        <v>2374</v>
      </c>
      <c r="Z8" s="3279"/>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2" t="s">
        <v>2377</v>
      </c>
      <c r="Q9" s="1528" t="str">
        <f t="shared" ref="Q9:Q14" si="6">B9</f>
        <v>用途</v>
      </c>
      <c r="R9" s="710" t="s">
        <v>17</v>
      </c>
      <c r="S9" s="711">
        <f t="shared" si="0"/>
        <v>100</v>
      </c>
      <c r="T9" s="710" t="s">
        <v>17</v>
      </c>
      <c r="U9" s="711">
        <f t="shared" si="1"/>
        <v>100</v>
      </c>
      <c r="V9" s="710" t="s">
        <v>17</v>
      </c>
      <c r="W9" s="711">
        <f t="shared" si="2"/>
        <v>100</v>
      </c>
      <c r="X9" s="712"/>
      <c r="Y9" s="3251"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2"/>
      <c r="Q10" s="1528"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2"/>
      <c r="Q11" s="1528">
        <f t="shared" si="6"/>
        <v>111</v>
      </c>
      <c r="R11" s="710" t="s">
        <v>17</v>
      </c>
      <c r="S11" s="711">
        <f t="shared" si="0"/>
        <v>100</v>
      </c>
      <c r="T11" s="710" t="s">
        <v>17</v>
      </c>
      <c r="U11" s="711">
        <f t="shared" si="1"/>
        <v>100</v>
      </c>
      <c r="V11" s="710" t="s">
        <v>17</v>
      </c>
      <c r="W11" s="711">
        <f t="shared" si="2"/>
        <v>100</v>
      </c>
      <c r="X11" s="712"/>
      <c r="Y11" s="3251"/>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2"/>
      <c r="Q12" s="1528">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22"/>
      <c r="Q13" s="1528">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5" t="s">
        <v>2382</v>
      </c>
      <c r="Q14" s="1537" t="str">
        <f t="shared" si="6"/>
        <v>交通便捷度</v>
      </c>
      <c r="R14" s="714" t="s">
        <v>17</v>
      </c>
      <c r="S14" s="715">
        <f t="shared" si="0"/>
        <v>100</v>
      </c>
      <c r="T14" s="714" t="s">
        <v>17</v>
      </c>
      <c r="U14" s="715">
        <f t="shared" si="1"/>
        <v>100</v>
      </c>
      <c r="V14" s="714" t="s">
        <v>17</v>
      </c>
      <c r="W14" s="715">
        <f t="shared" si="2"/>
        <v>100</v>
      </c>
      <c r="X14" s="1540"/>
      <c r="Y14" s="3315" t="s">
        <v>2382</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16"/>
      <c r="Q15" s="1537"/>
      <c r="R15" s="714"/>
      <c r="S15" s="715"/>
      <c r="T15" s="714"/>
      <c r="U15" s="715"/>
      <c r="V15" s="714"/>
      <c r="W15" s="715"/>
      <c r="X15" s="1540"/>
      <c r="Y15" s="3316"/>
      <c r="Z15" s="1541"/>
      <c r="AA15" s="1538">
        <v>1</v>
      </c>
      <c r="AB15" s="1538">
        <v>1</v>
      </c>
      <c r="AC15" s="1538">
        <v>1</v>
      </c>
    </row>
    <row r="16" spans="1:29" ht="42.75">
      <c r="A16" s="387"/>
      <c r="B16" s="410" t="s">
        <v>2510</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16"/>
      <c r="Q16" s="1537" t="str">
        <f>B16</f>
        <v>公共配套设施</v>
      </c>
      <c r="R16" s="714" t="s">
        <v>17</v>
      </c>
      <c r="S16" s="715">
        <f>F16</f>
        <v>100</v>
      </c>
      <c r="T16" s="714" t="s">
        <v>17</v>
      </c>
      <c r="U16" s="715">
        <f>H16</f>
        <v>100</v>
      </c>
      <c r="V16" s="714" t="s">
        <v>17</v>
      </c>
      <c r="W16" s="715">
        <f>J16</f>
        <v>100</v>
      </c>
      <c r="X16" s="1540"/>
      <c r="Y16" s="3316"/>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16"/>
      <c r="Q17" s="1537"/>
      <c r="R17" s="714"/>
      <c r="S17" s="715"/>
      <c r="T17" s="714"/>
      <c r="U17" s="715"/>
      <c r="V17" s="714"/>
      <c r="W17" s="715"/>
      <c r="X17" s="1540"/>
      <c r="Y17" s="3316"/>
      <c r="Z17" s="1541"/>
      <c r="AA17" s="1538">
        <v>1</v>
      </c>
      <c r="AB17" s="1538">
        <v>1</v>
      </c>
      <c r="AC17" s="1538">
        <v>1</v>
      </c>
    </row>
    <row r="18" spans="1:29" ht="28.5">
      <c r="A18" s="387"/>
      <c r="B18" s="1292" t="s">
        <v>2511</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16"/>
      <c r="Q18" s="1537" t="str">
        <f>B18</f>
        <v>基础设施水平</v>
      </c>
      <c r="R18" s="714" t="s">
        <v>17</v>
      </c>
      <c r="S18" s="715">
        <f>F18</f>
        <v>100</v>
      </c>
      <c r="T18" s="714" t="s">
        <v>17</v>
      </c>
      <c r="U18" s="715">
        <f>H18</f>
        <v>100</v>
      </c>
      <c r="V18" s="714" t="s">
        <v>17</v>
      </c>
      <c r="W18" s="715">
        <f>J18</f>
        <v>100</v>
      </c>
      <c r="X18" s="1540"/>
      <c r="Y18" s="3316"/>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52"/>
      <c r="M19" s="2946"/>
      <c r="N19" s="2946"/>
      <c r="O19" s="3004"/>
      <c r="P19" s="3316"/>
      <c r="Q19" s="1537"/>
      <c r="R19" s="714"/>
      <c r="S19" s="715"/>
      <c r="T19" s="714"/>
      <c r="U19" s="715"/>
      <c r="V19" s="714"/>
      <c r="W19" s="715"/>
      <c r="X19" s="1540"/>
      <c r="Y19" s="3316"/>
      <c r="Z19" s="1541"/>
      <c r="AA19" s="1538">
        <v>1</v>
      </c>
      <c r="AB19" s="1538">
        <v>1</v>
      </c>
      <c r="AC19" s="1538">
        <v>1</v>
      </c>
    </row>
    <row r="20" spans="1:29" ht="57">
      <c r="A20" s="387"/>
      <c r="B20" s="410" t="s">
        <v>2532</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16"/>
      <c r="Q20" s="1537" t="str">
        <f>B20</f>
        <v>自然及人文环境</v>
      </c>
      <c r="R20" s="714" t="s">
        <v>17</v>
      </c>
      <c r="S20" s="715">
        <f>F20</f>
        <v>100</v>
      </c>
      <c r="T20" s="714" t="s">
        <v>17</v>
      </c>
      <c r="U20" s="715">
        <f>H20</f>
        <v>100</v>
      </c>
      <c r="V20" s="714" t="s">
        <v>17</v>
      </c>
      <c r="W20" s="715">
        <f>J20</f>
        <v>100</v>
      </c>
      <c r="X20" s="1540"/>
      <c r="Y20" s="3316"/>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16"/>
      <c r="Q21" s="1537"/>
      <c r="R21" s="714"/>
      <c r="S21" s="715"/>
      <c r="T21" s="714"/>
      <c r="U21" s="715"/>
      <c r="V21" s="714"/>
      <c r="W21" s="715"/>
      <c r="X21" s="1540"/>
      <c r="Y21" s="3316"/>
      <c r="Z21" s="1541"/>
      <c r="AA21" s="1538">
        <v>1</v>
      </c>
      <c r="AB21" s="1538">
        <v>1</v>
      </c>
      <c r="AC21" s="1538">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16"/>
      <c r="Q22" s="1537" t="str">
        <f>B22</f>
        <v>楼层</v>
      </c>
      <c r="R22" s="714" t="s">
        <v>17</v>
      </c>
      <c r="S22" s="715">
        <f>F22</f>
        <v>100</v>
      </c>
      <c r="T22" s="714" t="s">
        <v>17</v>
      </c>
      <c r="U22" s="715">
        <f>H22</f>
        <v>100</v>
      </c>
      <c r="V22" s="714" t="s">
        <v>17</v>
      </c>
      <c r="W22" s="715">
        <f>J22</f>
        <v>100</v>
      </c>
      <c r="X22" s="1540"/>
      <c r="Y22" s="3316"/>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16"/>
      <c r="Q23" s="1537">
        <f>B23</f>
        <v>111</v>
      </c>
      <c r="R23" s="714" t="s">
        <v>17</v>
      </c>
      <c r="S23" s="715">
        <f>F23</f>
        <v>100</v>
      </c>
      <c r="T23" s="714" t="s">
        <v>17</v>
      </c>
      <c r="U23" s="715">
        <f>H23</f>
        <v>100</v>
      </c>
      <c r="V23" s="714" t="s">
        <v>17</v>
      </c>
      <c r="W23" s="715">
        <f>J23</f>
        <v>100</v>
      </c>
      <c r="X23" s="1540"/>
      <c r="Y23" s="3316"/>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16"/>
      <c r="Q24" s="1537">
        <f t="shared" ref="Q24:Q34" si="11">B24</f>
        <v>111</v>
      </c>
      <c r="R24" s="714" t="s">
        <v>17</v>
      </c>
      <c r="S24" s="715">
        <f>F24</f>
        <v>100</v>
      </c>
      <c r="T24" s="714" t="s">
        <v>17</v>
      </c>
      <c r="U24" s="715">
        <f>H24</f>
        <v>100</v>
      </c>
      <c r="V24" s="714" t="s">
        <v>17</v>
      </c>
      <c r="W24" s="715">
        <f>J24</f>
        <v>100</v>
      </c>
      <c r="X24" s="1540"/>
      <c r="Y24" s="3316"/>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16"/>
      <c r="Q25" s="1528">
        <f t="shared" si="11"/>
        <v>111</v>
      </c>
      <c r="R25" s="710" t="s">
        <v>17</v>
      </c>
      <c r="S25" s="711">
        <f>F25</f>
        <v>100</v>
      </c>
      <c r="T25" s="710" t="s">
        <v>17</v>
      </c>
      <c r="U25" s="711">
        <f>H25</f>
        <v>100</v>
      </c>
      <c r="V25" s="710" t="s">
        <v>17</v>
      </c>
      <c r="W25" s="711">
        <f>J25</f>
        <v>100</v>
      </c>
      <c r="X25" s="712"/>
      <c r="Y25" s="3316"/>
      <c r="Z25" s="55">
        <f>Q25</f>
        <v>111</v>
      </c>
      <c r="AA25" s="1538">
        <f>D25/F25</f>
        <v>1</v>
      </c>
      <c r="AB25" s="1538">
        <f>D25/H25</f>
        <v>1</v>
      </c>
      <c r="AC25" s="1538">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96" t="s">
        <v>2387</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20" t="s">
        <v>2387</v>
      </c>
      <c r="Z26" s="1541" t="str">
        <f t="shared" ref="Z26:Z34" si="15">Q26</f>
        <v>公共部分装修</v>
      </c>
      <c r="AA26" s="1538">
        <f t="shared" si="3"/>
        <v>1</v>
      </c>
      <c r="AB26" s="1538">
        <f t="shared" si="4"/>
        <v>1</v>
      </c>
      <c r="AC26" s="1538">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8" t="e">
        <f t="shared" si="3"/>
        <v>#N/A</v>
      </c>
      <c r="AB27" s="1538" t="e">
        <f t="shared" si="4"/>
        <v>#N/A</v>
      </c>
      <c r="AC27" s="1538"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20"/>
      <c r="Q28" s="1537" t="str">
        <f t="shared" si="11"/>
        <v>物业等级</v>
      </c>
      <c r="R28" s="714" t="s">
        <v>17</v>
      </c>
      <c r="S28" s="715">
        <f t="shared" si="12"/>
        <v>100</v>
      </c>
      <c r="T28" s="714" t="s">
        <v>17</v>
      </c>
      <c r="U28" s="715">
        <f t="shared" si="13"/>
        <v>100</v>
      </c>
      <c r="V28" s="714" t="s">
        <v>17</v>
      </c>
      <c r="W28" s="715">
        <f t="shared" si="14"/>
        <v>100</v>
      </c>
      <c r="X28" s="1540"/>
      <c r="Y28" s="3320"/>
      <c r="Z28" s="1541" t="str">
        <f t="shared" si="15"/>
        <v>物业等级</v>
      </c>
      <c r="AA28" s="1538">
        <f t="shared" si="3"/>
        <v>1</v>
      </c>
      <c r="AB28" s="1538">
        <f t="shared" si="4"/>
        <v>1</v>
      </c>
      <c r="AC28" s="1538">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20"/>
      <c r="Q29" s="1537" t="str">
        <f t="shared" si="11"/>
        <v>有无电梯</v>
      </c>
      <c r="R29" s="714" t="s">
        <v>17</v>
      </c>
      <c r="S29" s="715">
        <f t="shared" si="12"/>
        <v>100</v>
      </c>
      <c r="T29" s="714" t="s">
        <v>17</v>
      </c>
      <c r="U29" s="715">
        <f t="shared" si="13"/>
        <v>100</v>
      </c>
      <c r="V29" s="714" t="s">
        <v>17</v>
      </c>
      <c r="W29" s="715">
        <f t="shared" si="14"/>
        <v>100</v>
      </c>
      <c r="X29" s="1540"/>
      <c r="Y29" s="3320"/>
      <c r="Z29" s="1541" t="str">
        <f t="shared" si="15"/>
        <v>有无电梯</v>
      </c>
      <c r="AA29" s="1538">
        <f t="shared" si="3"/>
        <v>1</v>
      </c>
      <c r="AB29" s="1538">
        <f t="shared" si="4"/>
        <v>1</v>
      </c>
      <c r="AC29" s="1538">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20"/>
      <c r="Q30" s="1537" t="str">
        <f t="shared" si="11"/>
        <v>建筑面积</v>
      </c>
      <c r="R30" s="714" t="s">
        <v>17</v>
      </c>
      <c r="S30" s="715" t="e">
        <f t="shared" si="12"/>
        <v>#N/A</v>
      </c>
      <c r="T30" s="714" t="s">
        <v>17</v>
      </c>
      <c r="U30" s="715" t="e">
        <f t="shared" si="13"/>
        <v>#N/A</v>
      </c>
      <c r="V30" s="714" t="s">
        <v>17</v>
      </c>
      <c r="W30" s="715" t="e">
        <f t="shared" si="14"/>
        <v>#N/A</v>
      </c>
      <c r="X30" s="1540"/>
      <c r="Y30" s="3320"/>
      <c r="Z30" s="1541" t="str">
        <f t="shared" si="15"/>
        <v>建筑面积</v>
      </c>
      <c r="AA30" s="1538" t="e">
        <f t="shared" si="3"/>
        <v>#N/A</v>
      </c>
      <c r="AB30" s="1538" t="e">
        <f t="shared" si="4"/>
        <v>#N/A</v>
      </c>
      <c r="AC30" s="1538"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20"/>
      <c r="Q31" s="1528"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20" t="s">
        <v>2387</v>
      </c>
      <c r="Q32" s="1537">
        <f t="shared" si="11"/>
        <v>111</v>
      </c>
      <c r="R32" s="714" t="s">
        <v>17</v>
      </c>
      <c r="S32" s="715">
        <f t="shared" si="12"/>
        <v>100</v>
      </c>
      <c r="T32" s="714" t="s">
        <v>17</v>
      </c>
      <c r="U32" s="715">
        <f t="shared" si="13"/>
        <v>100</v>
      </c>
      <c r="V32" s="714" t="s">
        <v>17</v>
      </c>
      <c r="W32" s="715">
        <f t="shared" si="14"/>
        <v>100</v>
      </c>
      <c r="X32" s="1540"/>
      <c r="Y32" s="3320" t="s">
        <v>2387</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20"/>
      <c r="Q33" s="1537">
        <f t="shared" si="11"/>
        <v>111</v>
      </c>
      <c r="R33" s="714" t="s">
        <v>17</v>
      </c>
      <c r="S33" s="715">
        <f t="shared" si="12"/>
        <v>100</v>
      </c>
      <c r="T33" s="714" t="s">
        <v>17</v>
      </c>
      <c r="U33" s="715">
        <f t="shared" si="13"/>
        <v>100</v>
      </c>
      <c r="V33" s="714" t="s">
        <v>17</v>
      </c>
      <c r="W33" s="715">
        <f t="shared" si="14"/>
        <v>100</v>
      </c>
      <c r="X33" s="1540"/>
      <c r="Y33" s="3320"/>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20"/>
      <c r="Q34" s="1537">
        <f t="shared" si="11"/>
        <v>111</v>
      </c>
      <c r="R34" s="714" t="s">
        <v>17</v>
      </c>
      <c r="S34" s="715">
        <f t="shared" si="12"/>
        <v>100</v>
      </c>
      <c r="T34" s="714" t="s">
        <v>17</v>
      </c>
      <c r="U34" s="715">
        <f t="shared" si="13"/>
        <v>100</v>
      </c>
      <c r="V34" s="714" t="s">
        <v>17</v>
      </c>
      <c r="W34" s="715">
        <f t="shared" si="14"/>
        <v>100</v>
      </c>
      <c r="X34" s="1540"/>
      <c r="Y34" s="3320"/>
      <c r="Z34" s="1541">
        <f t="shared" si="15"/>
        <v>111</v>
      </c>
      <c r="AA34" s="1538">
        <f t="shared" si="3"/>
        <v>1</v>
      </c>
      <c r="AB34" s="1538">
        <f t="shared" si="4"/>
        <v>1</v>
      </c>
      <c r="AC34" s="1538">
        <f t="shared" si="5"/>
        <v>1</v>
      </c>
    </row>
    <row r="35" spans="1:30" ht="15">
      <c r="A35" s="438" t="s">
        <v>2399</v>
      </c>
      <c r="B35" s="439"/>
      <c r="C35" s="1315" t="s">
        <v>1</v>
      </c>
      <c r="D35" s="1316"/>
      <c r="E35" s="1317"/>
      <c r="F35" s="1318"/>
      <c r="G35" s="1319"/>
      <c r="H35" s="1320"/>
      <c r="I35" s="1317"/>
      <c r="J35" s="1320"/>
      <c r="K35" s="723"/>
      <c r="L35" s="2954"/>
      <c r="M35" s="2955"/>
      <c r="N35" s="2946"/>
      <c r="O35" s="2955"/>
      <c r="P35" s="3322" t="str">
        <f>A35</f>
        <v>成交单价（元/平方米）</v>
      </c>
      <c r="Q35" s="3322"/>
      <c r="R35" s="3323">
        <f>E35</f>
        <v>0</v>
      </c>
      <c r="S35" s="3323"/>
      <c r="T35" s="3323">
        <f>G35</f>
        <v>0</v>
      </c>
      <c r="U35" s="3323"/>
      <c r="V35" s="3323">
        <f>I35</f>
        <v>0</v>
      </c>
      <c r="W35" s="3323"/>
      <c r="X35" s="699"/>
      <c r="Y35" s="721"/>
      <c r="Z35" s="699"/>
      <c r="AA35" s="699"/>
      <c r="AB35" s="699"/>
      <c r="AC35" s="699"/>
    </row>
    <row r="36" spans="1:30" ht="15.75" thickBot="1">
      <c r="A36" s="445" t="s">
        <v>2491</v>
      </c>
      <c r="B36" s="446"/>
      <c r="C36" s="1321" t="e">
        <f>R37</f>
        <v>#DIV/0!</v>
      </c>
      <c r="D36" s="2539" t="s">
        <v>2878</v>
      </c>
      <c r="E36" s="1322" t="e">
        <f>R36</f>
        <v>#DIV/0!</v>
      </c>
      <c r="F36" s="2540"/>
      <c r="G36" s="1321" t="e">
        <f>T36</f>
        <v>#DIV/0!</v>
      </c>
      <c r="H36" s="2540"/>
      <c r="I36" s="1322" t="e">
        <f>V36</f>
        <v>#DIV/0!</v>
      </c>
      <c r="J36" s="2540"/>
      <c r="K36" s="2542">
        <f>F36+H36+J36</f>
        <v>0</v>
      </c>
      <c r="L36" s="2954"/>
      <c r="M36" s="2955"/>
      <c r="N36" s="2946"/>
      <c r="O36" s="2955"/>
      <c r="P36" s="3322" t="str">
        <f>A36</f>
        <v>比较价值（元/平方米）</v>
      </c>
      <c r="Q36" s="3322"/>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699"/>
      <c r="Y36" s="699"/>
      <c r="Z36" s="699"/>
      <c r="AA36" s="699"/>
      <c r="AB36" s="699"/>
      <c r="AC36" s="699"/>
    </row>
    <row r="37" spans="1:30" ht="15.75" thickBot="1">
      <c r="A37" s="449" t="s">
        <v>2492</v>
      </c>
      <c r="B37" s="450"/>
      <c r="C37" s="1324" t="e">
        <f>R37</f>
        <v>#DIV/0!</v>
      </c>
      <c r="D37" s="1324"/>
      <c r="E37" s="1324"/>
      <c r="F37" s="1324"/>
      <c r="G37" s="1324"/>
      <c r="H37" s="1324"/>
      <c r="I37" s="1324"/>
      <c r="J37" s="1324"/>
      <c r="K37" s="724"/>
      <c r="L37" s="2954"/>
      <c r="M37" s="2955"/>
      <c r="N37" s="2955"/>
      <c r="O37" s="2955"/>
      <c r="P37" s="3367" t="str">
        <f>A37</f>
        <v>估价对象XX用房的比较价值（楼面单价，元/平方米）</v>
      </c>
      <c r="Q37" s="3368"/>
      <c r="R37" s="3401" t="e">
        <f>IF(F1="售价",ROUND(IF(D36="简单平均",AVERAGE(R36:W36),R36*F36+T36*H36+V36*J36),0),ROUND(IF(D36="简单平均",AVERAGE(R36:V36),R36*F36+T36*H36+V36*J36),1))</f>
        <v>#DIV/0!</v>
      </c>
      <c r="S37" s="3401"/>
      <c r="T37" s="3401"/>
      <c r="U37" s="3401"/>
      <c r="V37" s="3401"/>
      <c r="W37" s="3401"/>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2496</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2370</v>
      </c>
      <c r="B46" s="463"/>
      <c r="C46" s="1345" t="str">
        <f>YEAR(C7)&amp;"-"&amp;MONTH(C7)</f>
        <v>2020-12</v>
      </c>
      <c r="D46" s="1346">
        <f>EDATE(C46,-1)</f>
        <v>44136</v>
      </c>
      <c r="E46" s="1346">
        <f t="shared" ref="E46:O46" si="16">EDATE(D46,-1)</f>
        <v>44105</v>
      </c>
      <c r="F46" s="1346">
        <f t="shared" si="16"/>
        <v>44075</v>
      </c>
      <c r="G46" s="1346">
        <f t="shared" si="16"/>
        <v>44044</v>
      </c>
      <c r="H46" s="1346">
        <f t="shared" si="16"/>
        <v>44013</v>
      </c>
      <c r="I46" s="1346">
        <f t="shared" si="16"/>
        <v>43983</v>
      </c>
      <c r="J46" s="1346">
        <f t="shared" si="16"/>
        <v>43952</v>
      </c>
      <c r="K46" s="1346">
        <f t="shared" si="16"/>
        <v>43922</v>
      </c>
      <c r="L46" s="1346">
        <f t="shared" si="16"/>
        <v>43891</v>
      </c>
      <c r="M46" s="1346">
        <f t="shared" si="16"/>
        <v>43862</v>
      </c>
      <c r="N46" s="1346">
        <f t="shared" si="16"/>
        <v>43831</v>
      </c>
      <c r="O46" s="1346">
        <f t="shared" si="16"/>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2407</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2372</v>
      </c>
      <c r="B49" s="467"/>
      <c r="C49" s="479" t="s">
        <v>2474</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2410</v>
      </c>
      <c r="B51" s="485" t="s">
        <v>2376</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2562</v>
      </c>
      <c r="C63" s="535" t="s">
        <v>2419</v>
      </c>
      <c r="D63" s="535" t="s">
        <v>2420</v>
      </c>
      <c r="E63" s="535" t="s">
        <v>2421</v>
      </c>
      <c r="F63" s="535" t="s">
        <v>2422</v>
      </c>
      <c r="G63" s="535" t="s">
        <v>2423</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2511</v>
      </c>
      <c r="C65" s="616" t="s">
        <v>2497</v>
      </c>
      <c r="D65" s="616" t="s">
        <v>2498</v>
      </c>
      <c r="E65" s="616" t="s">
        <v>2499</v>
      </c>
      <c r="F65" s="616" t="s">
        <v>2500</v>
      </c>
      <c r="G65" s="616" t="s">
        <v>2501</v>
      </c>
      <c r="H65" s="496"/>
      <c r="I65" s="496"/>
      <c r="J65" s="496"/>
      <c r="K65" s="496"/>
      <c r="L65" s="496"/>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2431</v>
      </c>
      <c r="C67" s="535" t="s">
        <v>2419</v>
      </c>
      <c r="D67" s="535" t="s">
        <v>2420</v>
      </c>
      <c r="E67" s="535" t="s">
        <v>2421</v>
      </c>
      <c r="F67" s="535" t="s">
        <v>2422</v>
      </c>
      <c r="G67" s="535" t="s">
        <v>2423</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2551</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2385</v>
      </c>
      <c r="B77" s="485" t="s">
        <v>2438</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2555</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2563</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2565</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297" t="s">
        <v>2468</v>
      </c>
      <c r="D4" s="3298"/>
      <c r="E4" s="3299" t="s">
        <v>2469</v>
      </c>
      <c r="F4" s="3300"/>
      <c r="G4" s="3297" t="s">
        <v>2470</v>
      </c>
      <c r="H4" s="3298"/>
      <c r="I4" s="3297" t="s">
        <v>2471</v>
      </c>
      <c r="J4" s="3298"/>
      <c r="K4" s="567" t="s">
        <v>2472</v>
      </c>
      <c r="L4" s="2945"/>
      <c r="M4" s="2946"/>
      <c r="N4" s="2946"/>
      <c r="O4" s="2946"/>
      <c r="P4" s="3363" t="s">
        <v>2473</v>
      </c>
      <c r="Q4" s="3364"/>
      <c r="R4" s="3359" t="s">
        <v>2469</v>
      </c>
      <c r="S4" s="3360"/>
      <c r="T4" s="3359" t="s">
        <v>2470</v>
      </c>
      <c r="U4" s="3360"/>
      <c r="V4" s="3310" t="s">
        <v>2471</v>
      </c>
      <c r="W4" s="3310"/>
      <c r="X4" s="1540"/>
      <c r="Y4" s="3359" t="s">
        <v>2473</v>
      </c>
      <c r="Z4" s="3360"/>
      <c r="AA4" s="3358" t="s">
        <v>2469</v>
      </c>
      <c r="AB4" s="3276" t="s">
        <v>2470</v>
      </c>
      <c r="AC4" s="3358" t="s">
        <v>2471</v>
      </c>
    </row>
    <row r="5" spans="1:29" ht="15">
      <c r="A5" s="364"/>
      <c r="B5" s="365"/>
      <c r="C5" s="3286" t="s">
        <v>2364</v>
      </c>
      <c r="D5" s="3287"/>
      <c r="E5" s="3361" t="s">
        <v>2365</v>
      </c>
      <c r="F5" s="3362"/>
      <c r="G5" s="3286" t="s">
        <v>2366</v>
      </c>
      <c r="H5" s="3287"/>
      <c r="I5" s="3286" t="s">
        <v>2367</v>
      </c>
      <c r="J5" s="3287"/>
      <c r="K5" s="567"/>
      <c r="L5" s="2945"/>
      <c r="M5" s="2946"/>
      <c r="N5" s="2946"/>
      <c r="O5" s="2946"/>
      <c r="P5" s="3365"/>
      <c r="Q5" s="3304"/>
      <c r="R5" s="3282"/>
      <c r="S5" s="3283"/>
      <c r="T5" s="3282"/>
      <c r="U5" s="3283"/>
      <c r="V5" s="3310"/>
      <c r="W5" s="3310"/>
      <c r="X5" s="1540"/>
      <c r="Y5" s="3282"/>
      <c r="Z5" s="3283"/>
      <c r="AA5" s="3276"/>
      <c r="AB5" s="3276"/>
      <c r="AC5" s="3276"/>
    </row>
    <row r="6" spans="1:29" ht="15.75" thickBot="1">
      <c r="A6" s="366"/>
      <c r="B6" s="367"/>
      <c r="C6" s="3402" t="s">
        <v>2618</v>
      </c>
      <c r="D6" s="3403"/>
      <c r="E6" s="3404" t="s">
        <v>2618</v>
      </c>
      <c r="F6" s="3405"/>
      <c r="G6" s="3402" t="s">
        <v>2618</v>
      </c>
      <c r="H6" s="3403"/>
      <c r="I6" s="3402" t="s">
        <v>2618</v>
      </c>
      <c r="J6" s="3403"/>
      <c r="K6" s="567" t="s">
        <v>2369</v>
      </c>
      <c r="L6" s="2945"/>
      <c r="M6" s="2946"/>
      <c r="N6" s="2946"/>
      <c r="O6" s="2946"/>
      <c r="P6" s="3366"/>
      <c r="Q6" s="3306"/>
      <c r="R6" s="3282"/>
      <c r="S6" s="3283"/>
      <c r="T6" s="3307"/>
      <c r="U6" s="3308"/>
      <c r="V6" s="3310"/>
      <c r="W6" s="3310"/>
      <c r="X6" s="1540"/>
      <c r="Y6" s="3307"/>
      <c r="Z6" s="3308"/>
      <c r="AA6" s="3277"/>
      <c r="AB6" s="3277"/>
      <c r="AC6" s="3277"/>
    </row>
    <row r="7" spans="1:29" s="113" customFormat="1" ht="15.75" thickBot="1">
      <c r="A7" s="368" t="s">
        <v>2370</v>
      </c>
      <c r="B7" s="369"/>
      <c r="C7" s="370">
        <f>'数据-取费表'!B2</f>
        <v>44166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78" t="s">
        <v>2371</v>
      </c>
      <c r="Q7" s="3312"/>
      <c r="R7" s="710" t="s">
        <v>17</v>
      </c>
      <c r="S7" s="711">
        <f t="shared" ref="S7:S15" si="0">F7</f>
        <v>0</v>
      </c>
      <c r="T7" s="710" t="s">
        <v>17</v>
      </c>
      <c r="U7" s="711">
        <f t="shared" ref="U7:U15" si="1">H7</f>
        <v>0</v>
      </c>
      <c r="V7" s="710" t="s">
        <v>17</v>
      </c>
      <c r="W7" s="711">
        <f t="shared" ref="W7:W15" si="2">J7</f>
        <v>0</v>
      </c>
      <c r="X7" s="712"/>
      <c r="Y7" s="3278" t="s">
        <v>2371</v>
      </c>
      <c r="Z7" s="3279"/>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78" t="s">
        <v>2374</v>
      </c>
      <c r="Q8" s="3279"/>
      <c r="R8" s="710" t="s">
        <v>17</v>
      </c>
      <c r="S8" s="711">
        <f t="shared" si="0"/>
        <v>0</v>
      </c>
      <c r="T8" s="710" t="s">
        <v>17</v>
      </c>
      <c r="U8" s="711">
        <f t="shared" si="1"/>
        <v>0</v>
      </c>
      <c r="V8" s="710" t="s">
        <v>17</v>
      </c>
      <c r="W8" s="711">
        <f t="shared" si="2"/>
        <v>0</v>
      </c>
      <c r="X8" s="712"/>
      <c r="Y8" s="3278" t="s">
        <v>2374</v>
      </c>
      <c r="Z8" s="3279"/>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22" t="s">
        <v>2377</v>
      </c>
      <c r="Q9" s="1528" t="str">
        <f t="shared" ref="Q9:Q15" si="6">B9</f>
        <v>用途</v>
      </c>
      <c r="R9" s="710" t="s">
        <v>17</v>
      </c>
      <c r="S9" s="711">
        <f t="shared" si="0"/>
        <v>100</v>
      </c>
      <c r="T9" s="710" t="s">
        <v>17</v>
      </c>
      <c r="U9" s="711">
        <f t="shared" si="1"/>
        <v>100</v>
      </c>
      <c r="V9" s="710" t="s">
        <v>17</v>
      </c>
      <c r="W9" s="711">
        <f t="shared" si="2"/>
        <v>100</v>
      </c>
      <c r="X9" s="712"/>
      <c r="Y9" s="3251"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104</v>
      </c>
      <c r="G10" s="391"/>
      <c r="H10" s="132">
        <f>ROUND(100/'数据-取费表'!G16,0)</f>
        <v>104</v>
      </c>
      <c r="I10" s="391"/>
      <c r="J10" s="132">
        <f>ROUND(100/'数据-取费表'!G16,0)</f>
        <v>104</v>
      </c>
      <c r="K10" s="628"/>
      <c r="L10" s="2949"/>
      <c r="M10" s="2950"/>
      <c r="N10" s="2950"/>
      <c r="O10" s="3003"/>
      <c r="P10" s="3322"/>
      <c r="Q10" s="1528" t="str">
        <f t="shared" si="6"/>
        <v>土地使用年限（年）</v>
      </c>
      <c r="R10" s="710" t="s">
        <v>17</v>
      </c>
      <c r="S10" s="711">
        <f t="shared" si="0"/>
        <v>104</v>
      </c>
      <c r="T10" s="710" t="s">
        <v>17</v>
      </c>
      <c r="U10" s="711">
        <f t="shared" si="1"/>
        <v>104</v>
      </c>
      <c r="V10" s="710" t="s">
        <v>17</v>
      </c>
      <c r="W10" s="711">
        <f t="shared" si="2"/>
        <v>104</v>
      </c>
      <c r="X10" s="712"/>
      <c r="Y10" s="3251"/>
      <c r="Z10" s="55" t="str">
        <f t="shared" si="7"/>
        <v>土地使用年限（年）</v>
      </c>
      <c r="AA10" s="713">
        <f t="shared" si="3"/>
        <v>0.96153846153846156</v>
      </c>
      <c r="AB10" s="713">
        <f t="shared" si="4"/>
        <v>0.96153846153846156</v>
      </c>
      <c r="AC10" s="713">
        <f t="shared" si="5"/>
        <v>0.96153846153846156</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2"/>
      <c r="Q11" s="1528"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2"/>
      <c r="Q12" s="1528">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2"/>
      <c r="Q13" s="1528">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2"/>
      <c r="Q14" s="1528">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713">
        <f t="shared" si="5"/>
        <v>1</v>
      </c>
    </row>
    <row r="15" spans="1:29" ht="57">
      <c r="A15" s="399" t="s">
        <v>2381</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5" t="s">
        <v>2382</v>
      </c>
      <c r="Q15" s="1537" t="str">
        <f t="shared" si="6"/>
        <v>产业集聚程度</v>
      </c>
      <c r="R15" s="714" t="s">
        <v>17</v>
      </c>
      <c r="S15" s="715">
        <f t="shared" si="0"/>
        <v>100</v>
      </c>
      <c r="T15" s="714" t="s">
        <v>17</v>
      </c>
      <c r="U15" s="715">
        <f t="shared" si="1"/>
        <v>100</v>
      </c>
      <c r="V15" s="714" t="s">
        <v>17</v>
      </c>
      <c r="W15" s="715">
        <f t="shared" si="2"/>
        <v>100</v>
      </c>
      <c r="X15" s="1540"/>
      <c r="Y15" s="3315" t="s">
        <v>2382</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16"/>
      <c r="Q16" s="1537"/>
      <c r="R16" s="714"/>
      <c r="S16" s="715"/>
      <c r="T16" s="714"/>
      <c r="U16" s="715"/>
      <c r="V16" s="714"/>
      <c r="W16" s="715"/>
      <c r="X16" s="1540"/>
      <c r="Y16" s="3316"/>
      <c r="Z16" s="1541"/>
      <c r="AA16" s="1538">
        <v>1</v>
      </c>
      <c r="AB16" s="1538">
        <v>1</v>
      </c>
      <c r="AC16" s="1538">
        <v>1</v>
      </c>
    </row>
    <row r="17" spans="1:29" ht="85.5">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16"/>
      <c r="Q17" s="1537" t="str">
        <f>B17</f>
        <v>交通便捷度</v>
      </c>
      <c r="R17" s="714" t="s">
        <v>17</v>
      </c>
      <c r="S17" s="715">
        <f>F17</f>
        <v>100</v>
      </c>
      <c r="T17" s="714" t="s">
        <v>17</v>
      </c>
      <c r="U17" s="715">
        <f>H17</f>
        <v>100</v>
      </c>
      <c r="V17" s="714" t="s">
        <v>17</v>
      </c>
      <c r="W17" s="715">
        <f>J17</f>
        <v>100</v>
      </c>
      <c r="X17" s="1540"/>
      <c r="Y17" s="3316"/>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16"/>
      <c r="Q18" s="1537"/>
      <c r="R18" s="714"/>
      <c r="S18" s="715"/>
      <c r="T18" s="714"/>
      <c r="U18" s="715"/>
      <c r="V18" s="714"/>
      <c r="W18" s="715"/>
      <c r="X18" s="1540"/>
      <c r="Y18" s="3316"/>
      <c r="Z18" s="1541"/>
      <c r="AA18" s="1538">
        <v>1</v>
      </c>
      <c r="AB18" s="1538">
        <v>1</v>
      </c>
      <c r="AC18" s="1538">
        <v>1</v>
      </c>
    </row>
    <row r="19" spans="1:29" ht="15">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16"/>
      <c r="Q19" s="1537" t="str">
        <f t="shared" ref="Q19:Q33" si="8">B19</f>
        <v>区域土地利用方向</v>
      </c>
      <c r="R19" s="714" t="s">
        <v>17</v>
      </c>
      <c r="S19" s="715">
        <f>F19</f>
        <v>100</v>
      </c>
      <c r="T19" s="714" t="s">
        <v>17</v>
      </c>
      <c r="U19" s="715">
        <f>H19</f>
        <v>100</v>
      </c>
      <c r="V19" s="714" t="s">
        <v>17</v>
      </c>
      <c r="W19" s="715">
        <f>J19</f>
        <v>100</v>
      </c>
      <c r="X19" s="1540"/>
      <c r="Y19" s="3316"/>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16"/>
      <c r="Q20" s="1537"/>
      <c r="R20" s="714"/>
      <c r="S20" s="715"/>
      <c r="T20" s="714"/>
      <c r="U20" s="715"/>
      <c r="V20" s="714"/>
      <c r="W20" s="715"/>
      <c r="X20" s="1540"/>
      <c r="Y20" s="3316"/>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16"/>
      <c r="Q21" s="1537" t="str">
        <f t="shared" si="8"/>
        <v>环境状况</v>
      </c>
      <c r="R21" s="714" t="s">
        <v>17</v>
      </c>
      <c r="S21" s="715">
        <f>F21</f>
        <v>100</v>
      </c>
      <c r="T21" s="714" t="s">
        <v>17</v>
      </c>
      <c r="U21" s="715">
        <f>H21</f>
        <v>100</v>
      </c>
      <c r="V21" s="714" t="s">
        <v>17</v>
      </c>
      <c r="W21" s="715">
        <f>J21</f>
        <v>100</v>
      </c>
      <c r="X21" s="1540"/>
      <c r="Y21" s="3316"/>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16"/>
      <c r="Q22" s="1537"/>
      <c r="R22" s="714"/>
      <c r="S22" s="715"/>
      <c r="T22" s="714"/>
      <c r="U22" s="715"/>
      <c r="V22" s="714"/>
      <c r="W22" s="715"/>
      <c r="X22" s="1540"/>
      <c r="Y22" s="3316"/>
      <c r="Z22" s="1541"/>
      <c r="AA22" s="1538">
        <v>1</v>
      </c>
      <c r="AB22" s="1538">
        <v>1</v>
      </c>
      <c r="AC22" s="1538">
        <v>1</v>
      </c>
    </row>
    <row r="23" spans="1:29" s="113" customFormat="1" ht="42.75">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16"/>
      <c r="Q23" s="1528" t="str">
        <f t="shared" si="8"/>
        <v>公共配套设施</v>
      </c>
      <c r="R23" s="710" t="s">
        <v>17</v>
      </c>
      <c r="S23" s="711">
        <f>F23</f>
        <v>100</v>
      </c>
      <c r="T23" s="710" t="s">
        <v>17</v>
      </c>
      <c r="U23" s="711">
        <f>H23</f>
        <v>100</v>
      </c>
      <c r="V23" s="710" t="s">
        <v>17</v>
      </c>
      <c r="W23" s="711">
        <f>J23</f>
        <v>100</v>
      </c>
      <c r="X23" s="712"/>
      <c r="Y23" s="3316"/>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16"/>
      <c r="Q24" s="1528"/>
      <c r="R24" s="710"/>
      <c r="S24" s="711"/>
      <c r="T24" s="710"/>
      <c r="U24" s="711"/>
      <c r="V24" s="710"/>
      <c r="W24" s="711"/>
      <c r="X24" s="712"/>
      <c r="Y24" s="3316"/>
      <c r="Z24" s="55"/>
      <c r="AA24" s="713">
        <v>1</v>
      </c>
      <c r="AB24" s="713">
        <v>1</v>
      </c>
      <c r="AC24" s="713">
        <v>1</v>
      </c>
    </row>
    <row r="25" spans="1:29" s="113" customFormat="1" ht="28.5">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16"/>
      <c r="Q25" s="1528"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16"/>
      <c r="Q26" s="1528"/>
      <c r="R26" s="710"/>
      <c r="S26" s="711"/>
      <c r="T26" s="710"/>
      <c r="U26" s="711"/>
      <c r="V26" s="710"/>
      <c r="W26" s="711"/>
      <c r="X26" s="712"/>
      <c r="Y26" s="3316"/>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16"/>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6"/>
      <c r="Z27" s="1541" t="str">
        <f t="shared" ref="Z27:Z40" si="13">Q27</f>
        <v>临街状况</v>
      </c>
      <c r="AA27" s="1538">
        <f t="shared" si="3"/>
        <v>1</v>
      </c>
      <c r="AB27" s="1538">
        <f t="shared" si="4"/>
        <v>1</v>
      </c>
      <c r="AC27" s="1538">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16"/>
      <c r="Q28" s="1537" t="str">
        <f t="shared" si="8"/>
        <v>毗邻道路的类型与等级</v>
      </c>
      <c r="R28" s="714" t="s">
        <v>17</v>
      </c>
      <c r="S28" s="715">
        <f t="shared" si="10"/>
        <v>100</v>
      </c>
      <c r="T28" s="714" t="s">
        <v>17</v>
      </c>
      <c r="U28" s="715">
        <f t="shared" si="11"/>
        <v>100</v>
      </c>
      <c r="V28" s="714" t="s">
        <v>17</v>
      </c>
      <c r="W28" s="715">
        <f t="shared" si="12"/>
        <v>100</v>
      </c>
      <c r="X28" s="1540"/>
      <c r="Y28" s="3316"/>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16"/>
      <c r="Q29" s="1537"/>
      <c r="R29" s="714"/>
      <c r="S29" s="715"/>
      <c r="T29" s="714"/>
      <c r="U29" s="715"/>
      <c r="V29" s="714"/>
      <c r="W29" s="715"/>
      <c r="X29" s="1540"/>
      <c r="Y29" s="3316"/>
      <c r="Z29" s="1541"/>
      <c r="AA29" s="1538">
        <v>1</v>
      </c>
      <c r="AB29" s="1538">
        <v>1</v>
      </c>
      <c r="AC29" s="1538">
        <v>1</v>
      </c>
    </row>
    <row r="30" spans="1:29" ht="15">
      <c r="A30" s="387"/>
      <c r="B30" s="610" t="s">
        <v>2572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16"/>
      <c r="Q30" s="1537" t="str">
        <f t="shared" si="8"/>
        <v>土地级别</v>
      </c>
      <c r="R30" s="714" t="s">
        <v>17</v>
      </c>
      <c r="S30" s="715">
        <f t="shared" si="10"/>
        <v>100</v>
      </c>
      <c r="T30" s="714" t="s">
        <v>17</v>
      </c>
      <c r="U30" s="715">
        <f t="shared" si="11"/>
        <v>100</v>
      </c>
      <c r="V30" s="714" t="s">
        <v>17</v>
      </c>
      <c r="W30" s="715">
        <f t="shared" si="12"/>
        <v>100</v>
      </c>
      <c r="X30" s="1540"/>
      <c r="Y30" s="3316"/>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16"/>
      <c r="Q31" s="1537">
        <f t="shared" si="8"/>
        <v>111</v>
      </c>
      <c r="R31" s="714" t="s">
        <v>17</v>
      </c>
      <c r="S31" s="715">
        <f t="shared" si="10"/>
        <v>100</v>
      </c>
      <c r="T31" s="714" t="s">
        <v>17</v>
      </c>
      <c r="U31" s="715">
        <f t="shared" si="11"/>
        <v>100</v>
      </c>
      <c r="V31" s="714" t="s">
        <v>17</v>
      </c>
      <c r="W31" s="715">
        <f t="shared" si="12"/>
        <v>100</v>
      </c>
      <c r="X31" s="1540"/>
      <c r="Y31" s="3316"/>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96" t="s">
        <v>2387</v>
      </c>
      <c r="Q32" s="1537">
        <f t="shared" si="8"/>
        <v>111</v>
      </c>
      <c r="R32" s="714" t="s">
        <v>17</v>
      </c>
      <c r="S32" s="715">
        <f t="shared" si="10"/>
        <v>100</v>
      </c>
      <c r="T32" s="714" t="s">
        <v>17</v>
      </c>
      <c r="U32" s="715">
        <f t="shared" si="11"/>
        <v>100</v>
      </c>
      <c r="V32" s="714" t="s">
        <v>17</v>
      </c>
      <c r="W32" s="715">
        <f t="shared" si="12"/>
        <v>100</v>
      </c>
      <c r="X32" s="1540"/>
      <c r="Y32" s="3320" t="s">
        <v>2387</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20"/>
      <c r="Q33" s="1537">
        <f t="shared" si="8"/>
        <v>111</v>
      </c>
      <c r="R33" s="717" t="s">
        <v>17</v>
      </c>
      <c r="S33" s="718">
        <f t="shared" si="10"/>
        <v>100</v>
      </c>
      <c r="T33" s="717" t="s">
        <v>17</v>
      </c>
      <c r="U33" s="718">
        <f t="shared" si="11"/>
        <v>100</v>
      </c>
      <c r="V33" s="717" t="s">
        <v>17</v>
      </c>
      <c r="W33" s="718">
        <f t="shared" si="12"/>
        <v>100</v>
      </c>
      <c r="X33" s="719"/>
      <c r="Y33" s="3320"/>
      <c r="Z33" s="720">
        <f t="shared" si="13"/>
        <v>111</v>
      </c>
      <c r="AA33" s="1538">
        <f t="shared" si="3"/>
        <v>1</v>
      </c>
      <c r="AB33" s="1538">
        <f t="shared" si="4"/>
        <v>1</v>
      </c>
      <c r="AC33" s="1538">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20"/>
      <c r="Q34" s="1537" t="str">
        <f>B34</f>
        <v>宗地面积</v>
      </c>
      <c r="R34" s="714" t="s">
        <v>17</v>
      </c>
      <c r="S34" s="715" t="e">
        <f t="shared" si="10"/>
        <v>#N/A</v>
      </c>
      <c r="T34" s="714" t="s">
        <v>17</v>
      </c>
      <c r="U34" s="715" t="e">
        <f t="shared" si="11"/>
        <v>#N/A</v>
      </c>
      <c r="V34" s="714" t="s">
        <v>17</v>
      </c>
      <c r="W34" s="715" t="e">
        <f t="shared" si="12"/>
        <v>#N/A</v>
      </c>
      <c r="X34" s="1540"/>
      <c r="Y34" s="3320"/>
      <c r="Z34" s="1541" t="str">
        <f t="shared" si="13"/>
        <v>宗地面积</v>
      </c>
      <c r="AA34" s="1538" t="e">
        <f t="shared" si="3"/>
        <v>#N/A</v>
      </c>
      <c r="AB34" s="1538" t="e">
        <f t="shared" si="4"/>
        <v>#N/A</v>
      </c>
      <c r="AC34" s="1538"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20"/>
      <c r="Q35" s="1537" t="str">
        <f t="shared" ref="Q35:Q40" si="14">B35</f>
        <v>宗地形状</v>
      </c>
      <c r="R35" s="714" t="s">
        <v>17</v>
      </c>
      <c r="S35" s="715">
        <f t="shared" si="10"/>
        <v>100</v>
      </c>
      <c r="T35" s="714" t="s">
        <v>17</v>
      </c>
      <c r="U35" s="715">
        <f t="shared" si="11"/>
        <v>100</v>
      </c>
      <c r="V35" s="714" t="s">
        <v>17</v>
      </c>
      <c r="W35" s="715">
        <f t="shared" si="12"/>
        <v>100</v>
      </c>
      <c r="X35" s="1540"/>
      <c r="Y35" s="3320"/>
      <c r="Z35" s="1541" t="str">
        <f t="shared" si="13"/>
        <v>宗地形状</v>
      </c>
      <c r="AA35" s="1538">
        <f t="shared" si="3"/>
        <v>1</v>
      </c>
      <c r="AB35" s="1538">
        <f t="shared" si="4"/>
        <v>1</v>
      </c>
      <c r="AC35" s="1538">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20"/>
      <c r="Q36" s="1537"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20" t="s">
        <v>2387</v>
      </c>
      <c r="Q37" s="1537" t="str">
        <f t="shared" si="14"/>
        <v>工程地质条件</v>
      </c>
      <c r="R37" s="714" t="s">
        <v>17</v>
      </c>
      <c r="S37" s="715">
        <f t="shared" si="10"/>
        <v>100</v>
      </c>
      <c r="T37" s="714" t="s">
        <v>17</v>
      </c>
      <c r="U37" s="715">
        <f t="shared" si="11"/>
        <v>100</v>
      </c>
      <c r="V37" s="714" t="s">
        <v>17</v>
      </c>
      <c r="W37" s="715">
        <f t="shared" si="12"/>
        <v>100</v>
      </c>
      <c r="X37" s="1540"/>
      <c r="Y37" s="3320" t="s">
        <v>2387</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20"/>
      <c r="Q38" s="1537">
        <f t="shared" si="14"/>
        <v>111</v>
      </c>
      <c r="R38" s="714" t="s">
        <v>17</v>
      </c>
      <c r="S38" s="715">
        <f t="shared" si="10"/>
        <v>100</v>
      </c>
      <c r="T38" s="714" t="s">
        <v>17</v>
      </c>
      <c r="U38" s="715">
        <f t="shared" si="11"/>
        <v>100</v>
      </c>
      <c r="V38" s="714" t="s">
        <v>17</v>
      </c>
      <c r="W38" s="715">
        <f t="shared" si="12"/>
        <v>100</v>
      </c>
      <c r="X38" s="1540"/>
      <c r="Y38" s="3320"/>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20"/>
      <c r="Q39" s="1537">
        <f t="shared" si="14"/>
        <v>111</v>
      </c>
      <c r="R39" s="714" t="s">
        <v>17</v>
      </c>
      <c r="S39" s="715">
        <f t="shared" si="10"/>
        <v>100</v>
      </c>
      <c r="T39" s="714" t="s">
        <v>17</v>
      </c>
      <c r="U39" s="715">
        <f t="shared" si="11"/>
        <v>100</v>
      </c>
      <c r="V39" s="714" t="s">
        <v>17</v>
      </c>
      <c r="W39" s="715">
        <f t="shared" si="12"/>
        <v>100</v>
      </c>
      <c r="X39" s="1540"/>
      <c r="Y39" s="3320"/>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20"/>
      <c r="Q40" s="1537">
        <f t="shared" si="14"/>
        <v>111</v>
      </c>
      <c r="R40" s="717" t="s">
        <v>17</v>
      </c>
      <c r="S40" s="718">
        <f t="shared" si="10"/>
        <v>100</v>
      </c>
      <c r="T40" s="717" t="s">
        <v>17</v>
      </c>
      <c r="U40" s="718">
        <f t="shared" si="11"/>
        <v>100</v>
      </c>
      <c r="V40" s="717" t="s">
        <v>17</v>
      </c>
      <c r="W40" s="718">
        <f t="shared" si="12"/>
        <v>100</v>
      </c>
      <c r="X40" s="719"/>
      <c r="Y40" s="3320"/>
      <c r="Z40" s="720">
        <f t="shared" si="13"/>
        <v>111</v>
      </c>
      <c r="AA40" s="1538">
        <f t="shared" si="3"/>
        <v>1</v>
      </c>
      <c r="AB40" s="1538">
        <f t="shared" si="4"/>
        <v>1</v>
      </c>
      <c r="AC40" s="1538">
        <f t="shared" si="5"/>
        <v>1</v>
      </c>
    </row>
    <row r="41" spans="1:31" ht="15">
      <c r="A41" s="438" t="s">
        <v>2542</v>
      </c>
      <c r="B41" s="2169" t="s">
        <v>2621</v>
      </c>
      <c r="C41" s="638" t="s">
        <v>1</v>
      </c>
      <c r="D41" s="440"/>
      <c r="E41" s="441"/>
      <c r="F41" s="442"/>
      <c r="G41" s="443"/>
      <c r="H41" s="444"/>
      <c r="I41" s="441"/>
      <c r="J41" s="444"/>
      <c r="K41" s="723"/>
      <c r="L41" s="2954"/>
      <c r="M41" s="2946"/>
      <c r="N41" s="2946"/>
      <c r="O41" s="2955"/>
      <c r="P41" s="3322" t="str">
        <f>A41</f>
        <v>成交单价</v>
      </c>
      <c r="Q41" s="3322"/>
      <c r="R41" s="3310">
        <f>E41</f>
        <v>0</v>
      </c>
      <c r="S41" s="3310"/>
      <c r="T41" s="3310">
        <f>G41</f>
        <v>0</v>
      </c>
      <c r="U41" s="3310"/>
      <c r="V41" s="3310">
        <f>I41</f>
        <v>0</v>
      </c>
      <c r="W41" s="3310"/>
      <c r="X41" s="699"/>
      <c r="Y41" s="721"/>
      <c r="Z41" s="699"/>
      <c r="AA41" s="699"/>
      <c r="AB41" s="699"/>
      <c r="AC41" s="699"/>
    </row>
    <row r="42" spans="1:31" ht="15.75" thickBot="1">
      <c r="A42" s="445" t="s">
        <v>2491</v>
      </c>
      <c r="B42" s="639"/>
      <c r="C42" s="448" t="e">
        <f>R43</f>
        <v>#DIV/0!</v>
      </c>
      <c r="D42" s="2539" t="s">
        <v>2878</v>
      </c>
      <c r="E42" s="448" t="e">
        <f>R42</f>
        <v>#DIV/0!</v>
      </c>
      <c r="F42" s="2540"/>
      <c r="G42" s="447" t="e">
        <f>T42</f>
        <v>#DIV/0!</v>
      </c>
      <c r="H42" s="2540"/>
      <c r="I42" s="448" t="e">
        <f>V42</f>
        <v>#DIV/0!</v>
      </c>
      <c r="J42" s="2540"/>
      <c r="K42" s="2542">
        <f>F42+H42+J42</f>
        <v>0</v>
      </c>
      <c r="L42" s="2954"/>
      <c r="M42" s="2946"/>
      <c r="N42" s="2946"/>
      <c r="O42" s="2955"/>
      <c r="P42" s="3322" t="str">
        <f>A42</f>
        <v>比较价值（元/平方米）</v>
      </c>
      <c r="Q42" s="3322"/>
      <c r="R42" s="3397" t="e">
        <f>ROUND(PRODUCT(R41,AA7:AA40),0)</f>
        <v>#DIV/0!</v>
      </c>
      <c r="S42" s="3397"/>
      <c r="T42" s="3397" t="e">
        <f>ROUND(PRODUCT(T41,AB7:AB40),0)</f>
        <v>#DIV/0!</v>
      </c>
      <c r="U42" s="3397"/>
      <c r="V42" s="3397" t="e">
        <f>ROUND(PRODUCT(V41,AC7:AC40),0)</f>
        <v>#DIV/0!</v>
      </c>
      <c r="W42" s="3397"/>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4"/>
      <c r="M43" s="2946"/>
      <c r="N43" s="2946"/>
      <c r="O43" s="2955"/>
      <c r="P43" s="3367" t="str">
        <f>A43</f>
        <v>估价对象XX用房的比较价值（楼面单价，元/平方米）</v>
      </c>
      <c r="Q43" s="3368"/>
      <c r="R43" s="3398" t="e">
        <f>ROUND(IF(D42="简单平均",AVERAGE(R42:W42),R42*F42+T42*H42+V42*J42),0)</f>
        <v>#DIV/0!</v>
      </c>
      <c r="S43" s="3398"/>
      <c r="T43" s="3398"/>
      <c r="U43" s="3398"/>
      <c r="V43" s="3398"/>
      <c r="W43" s="3398"/>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2580</v>
      </c>
      <c r="B50" s="641" t="s">
        <v>2581</v>
      </c>
      <c r="C50" s="2170" t="s">
        <v>2582</v>
      </c>
      <c r="D50" s="2171" t="s">
        <v>2583</v>
      </c>
      <c r="E50" s="642" t="s">
        <v>2584</v>
      </c>
      <c r="F50" s="643" t="s">
        <v>2585</v>
      </c>
      <c r="G50" s="3297" t="s">
        <v>2586</v>
      </c>
      <c r="H50" s="3399"/>
      <c r="I50" s="1541" t="s">
        <v>2622</v>
      </c>
      <c r="J50" s="1541">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2589</v>
      </c>
      <c r="B51" s="645" t="e">
        <f>C43</f>
        <v>#DIV/0!</v>
      </c>
      <c r="C51" s="646">
        <v>1</v>
      </c>
      <c r="D51" s="1075">
        <v>1</v>
      </c>
      <c r="E51" s="646">
        <f>'数据-汇总表'!E8+'数据-汇总表'!E9</f>
        <v>8033.74</v>
      </c>
      <c r="F51" s="647" t="e">
        <f t="shared" ref="F51:F60" si="15">ROUND(B51*E51/10000,0)</f>
        <v>#DIV/0!</v>
      </c>
      <c r="G51" s="3293"/>
      <c r="H51" s="3322"/>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2590</v>
      </c>
      <c r="B52" s="224" t="e">
        <f>ROUND($C$43*C52*D52,0)</f>
        <v>#DIV/0!</v>
      </c>
      <c r="C52" s="176">
        <f t="shared" ref="C52:C60" si="16">IF($C$50="北京市系数",I52,J52)</f>
        <v>0</v>
      </c>
      <c r="D52" s="1076">
        <v>0.25</v>
      </c>
      <c r="E52" s="650"/>
      <c r="F52" s="647" t="e">
        <f t="shared" si="15"/>
        <v>#DIV/0!</v>
      </c>
      <c r="G52" s="3400" t="s">
        <v>2591</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2592</v>
      </c>
      <c r="B53" s="224" t="e">
        <f t="shared" ref="B53:B60" si="17">ROUND($C$43*C53*D53,0)</f>
        <v>#DIV/0!</v>
      </c>
      <c r="C53" s="176">
        <f t="shared" si="16"/>
        <v>0</v>
      </c>
      <c r="D53" s="1076">
        <v>0.25</v>
      </c>
      <c r="E53" s="650"/>
      <c r="F53" s="647" t="e">
        <f t="shared" si="15"/>
        <v>#DIV/0!</v>
      </c>
      <c r="G53" s="3400"/>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2593</v>
      </c>
      <c r="B54" s="224" t="e">
        <f t="shared" si="17"/>
        <v>#DIV/0!</v>
      </c>
      <c r="C54" s="176">
        <f t="shared" si="16"/>
        <v>0</v>
      </c>
      <c r="D54" s="1076">
        <v>0.25</v>
      </c>
      <c r="E54" s="650"/>
      <c r="F54" s="647" t="e">
        <f t="shared" si="15"/>
        <v>#DIV/0!</v>
      </c>
      <c r="G54" s="3400"/>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2594</v>
      </c>
      <c r="B55" s="224" t="e">
        <f t="shared" si="17"/>
        <v>#DIV/0!</v>
      </c>
      <c r="C55" s="176">
        <f t="shared" si="16"/>
        <v>0</v>
      </c>
      <c r="D55" s="1076">
        <v>0.25</v>
      </c>
      <c r="E55" s="650"/>
      <c r="F55" s="647" t="e">
        <f t="shared" si="15"/>
        <v>#DIV/0!</v>
      </c>
      <c r="G55" s="3400"/>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2595</v>
      </c>
      <c r="B56" s="224" t="e">
        <f t="shared" si="17"/>
        <v>#DIV/0!</v>
      </c>
      <c r="C56" s="176">
        <f t="shared" si="16"/>
        <v>0.2</v>
      </c>
      <c r="D56" s="1076">
        <v>0.25</v>
      </c>
      <c r="E56" s="223">
        <f>'数据-汇总表'!E11</f>
        <v>1786.82</v>
      </c>
      <c r="F56" s="647" t="e">
        <f t="shared" si="15"/>
        <v>#DIV/0!</v>
      </c>
      <c r="G56" s="2174" t="s">
        <v>2596</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2597</v>
      </c>
      <c r="B57" s="224" t="e">
        <f t="shared" si="17"/>
        <v>#DIV/0!</v>
      </c>
      <c r="C57" s="176">
        <f t="shared" si="16"/>
        <v>0.2</v>
      </c>
      <c r="D57" s="1076">
        <v>0.25</v>
      </c>
      <c r="E57" s="223">
        <f>'数据-汇总表'!E12</f>
        <v>0</v>
      </c>
      <c r="F57" s="647" t="e">
        <f t="shared" si="15"/>
        <v>#DIV/0!</v>
      </c>
      <c r="G57" s="1023" t="s">
        <v>2598</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2602</v>
      </c>
      <c r="B60" s="224" t="e">
        <f t="shared" si="17"/>
        <v>#DIV/0!</v>
      </c>
      <c r="C60" s="176">
        <f t="shared" si="16"/>
        <v>0.15</v>
      </c>
      <c r="D60" s="1076">
        <v>0.25</v>
      </c>
      <c r="E60" s="223">
        <f>'数据-汇总表'!E15</f>
        <v>0</v>
      </c>
      <c r="F60" s="647" t="e">
        <f t="shared" si="15"/>
        <v>#DIV/0!</v>
      </c>
      <c r="G60" s="2175" t="s">
        <v>2596</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2603</v>
      </c>
      <c r="B61" s="652" t="s">
        <v>28</v>
      </c>
      <c r="C61" s="652" t="s">
        <v>29</v>
      </c>
      <c r="D61" s="652" t="s">
        <v>997</v>
      </c>
      <c r="E61" s="652">
        <f>IF(B41="楼面地价",SUM(E51:E60),'数据-汇总表'!D3)</f>
        <v>4000.72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2496</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2604</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2407</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2372</v>
      </c>
      <c r="B68" s="467"/>
      <c r="C68" s="479" t="s">
        <v>2474</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2410</v>
      </c>
      <c r="B70" s="485" t="s">
        <v>2376</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2379</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2381</v>
      </c>
      <c r="B83" s="485" t="s">
        <v>2527</v>
      </c>
      <c r="C83" s="530" t="s">
        <v>2419</v>
      </c>
      <c r="D83" s="530" t="s">
        <v>2420</v>
      </c>
      <c r="E83" s="530" t="s">
        <v>2421</v>
      </c>
      <c r="F83" s="530" t="s">
        <v>2422</v>
      </c>
      <c r="G83" s="530" t="s">
        <v>2423</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2424</v>
      </c>
      <c r="C85" s="535" t="s">
        <v>2419</v>
      </c>
      <c r="D85" s="535" t="s">
        <v>2420</v>
      </c>
      <c r="E85" s="535" t="s">
        <v>2421</v>
      </c>
      <c r="F85" s="535" t="s">
        <v>2422</v>
      </c>
      <c r="G85" s="535" t="s">
        <v>2423</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2419</v>
      </c>
      <c r="D87" s="530" t="s">
        <v>2420</v>
      </c>
      <c r="E87" s="530" t="s">
        <v>2421</v>
      </c>
      <c r="F87" s="530" t="s">
        <v>2422</v>
      </c>
      <c r="G87" s="530" t="s">
        <v>2423</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2419</v>
      </c>
      <c r="D89" s="530" t="s">
        <v>2420</v>
      </c>
      <c r="E89" s="530" t="s">
        <v>2421</v>
      </c>
      <c r="F89" s="530" t="s">
        <v>2422</v>
      </c>
      <c r="G89" s="530" t="s">
        <v>2423</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2497</v>
      </c>
      <c r="D93" s="616" t="s">
        <v>2498</v>
      </c>
      <c r="E93" s="616" t="s">
        <v>2499</v>
      </c>
      <c r="F93" s="616" t="s">
        <v>2500</v>
      </c>
      <c r="G93" s="616" t="s">
        <v>2501</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2513</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2572</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2385</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6" t="s">
        <v>183</v>
      </c>
      <c r="B18" s="821" t="s">
        <v>560</v>
      </c>
      <c r="C18" s="822" t="s">
        <v>561</v>
      </c>
      <c r="D18" s="823"/>
      <c r="E18" s="821">
        <v>1</v>
      </c>
      <c r="F18" s="824" t="s">
        <v>562</v>
      </c>
      <c r="G18" s="825"/>
      <c r="H18" s="817"/>
      <c r="I18" s="817"/>
    </row>
    <row r="19" spans="1:9" s="826" customFormat="1" ht="19.5" customHeight="1">
      <c r="A19" s="3406"/>
      <c r="B19" s="3406" t="s">
        <v>563</v>
      </c>
      <c r="C19" s="822" t="s">
        <v>564</v>
      </c>
      <c r="D19" s="823"/>
      <c r="E19" s="821">
        <v>0.9</v>
      </c>
      <c r="F19" s="824" t="s">
        <v>565</v>
      </c>
      <c r="G19" s="825"/>
      <c r="H19" s="817"/>
      <c r="I19" s="817"/>
    </row>
    <row r="20" spans="1:9" s="826" customFormat="1" ht="19.5" customHeight="1">
      <c r="A20" s="3406"/>
      <c r="B20" s="3406"/>
      <c r="C20" s="822" t="s">
        <v>566</v>
      </c>
      <c r="D20" s="823"/>
      <c r="E20" s="821">
        <v>1.1000000000000001</v>
      </c>
      <c r="F20" s="824" t="s">
        <v>567</v>
      </c>
      <c r="G20" s="825"/>
      <c r="H20" s="817"/>
      <c r="I20" s="817"/>
    </row>
    <row r="21" spans="1:9" s="826" customFormat="1" ht="19.5" customHeight="1">
      <c r="A21" s="3406"/>
      <c r="B21" s="3406"/>
      <c r="C21" s="822" t="s">
        <v>568</v>
      </c>
      <c r="D21" s="823"/>
      <c r="E21" s="821">
        <v>0.8</v>
      </c>
      <c r="F21" s="824" t="s">
        <v>569</v>
      </c>
      <c r="G21" s="825"/>
      <c r="H21" s="817"/>
      <c r="I21" s="817"/>
    </row>
    <row r="22" spans="1:9" s="826" customFormat="1" ht="19.5" customHeight="1">
      <c r="A22" s="3406"/>
      <c r="B22" s="3406"/>
      <c r="C22" s="822" t="s">
        <v>570</v>
      </c>
      <c r="D22" s="823"/>
      <c r="E22" s="821">
        <v>0.5</v>
      </c>
      <c r="F22" s="824"/>
      <c r="G22" s="825"/>
      <c r="H22" s="817"/>
      <c r="I22" s="817"/>
    </row>
    <row r="23" spans="1:9" s="826" customFormat="1" ht="19.5" customHeight="1">
      <c r="A23" s="3406" t="s">
        <v>184</v>
      </c>
      <c r="B23" s="821" t="s">
        <v>560</v>
      </c>
      <c r="C23" s="822" t="s">
        <v>571</v>
      </c>
      <c r="D23" s="823"/>
      <c r="E23" s="821">
        <v>1</v>
      </c>
      <c r="F23" s="824" t="s">
        <v>572</v>
      </c>
      <c r="G23" s="825"/>
      <c r="H23" s="817"/>
      <c r="I23" s="817"/>
    </row>
    <row r="24" spans="1:9" s="826" customFormat="1" ht="19.5" customHeight="1">
      <c r="A24" s="3406"/>
      <c r="B24" s="3406" t="s">
        <v>563</v>
      </c>
      <c r="C24" s="822" t="s">
        <v>573</v>
      </c>
      <c r="D24" s="823"/>
      <c r="E24" s="821">
        <v>0.5</v>
      </c>
      <c r="F24" s="824"/>
      <c r="G24" s="825"/>
      <c r="H24" s="817"/>
      <c r="I24" s="817"/>
    </row>
    <row r="25" spans="1:9" s="826" customFormat="1" ht="19.5" customHeight="1">
      <c r="A25" s="3406"/>
      <c r="B25" s="3406"/>
      <c r="C25" s="822" t="s">
        <v>574</v>
      </c>
      <c r="D25" s="823"/>
      <c r="E25" s="821">
        <v>1.1000000000000001</v>
      </c>
      <c r="F25" s="824"/>
      <c r="G25" s="825"/>
      <c r="H25" s="817"/>
      <c r="I25" s="817"/>
    </row>
    <row r="26" spans="1:9" s="826" customFormat="1" ht="19.5" customHeight="1">
      <c r="A26" s="3406"/>
      <c r="B26" s="3406"/>
      <c r="C26" s="822" t="s">
        <v>575</v>
      </c>
      <c r="D26" s="823"/>
      <c r="E26" s="821">
        <v>1.1000000000000001</v>
      </c>
      <c r="F26" s="824"/>
      <c r="G26" s="825"/>
      <c r="H26" s="817"/>
      <c r="I26" s="817"/>
    </row>
    <row r="27" spans="1:9" s="826" customFormat="1" ht="19.5" customHeight="1">
      <c r="A27" s="3406"/>
      <c r="B27" s="3406"/>
      <c r="C27" s="822" t="s">
        <v>576</v>
      </c>
      <c r="D27" s="823"/>
      <c r="E27" s="821">
        <v>0.9</v>
      </c>
      <c r="F27" s="824" t="s">
        <v>577</v>
      </c>
      <c r="G27" s="825"/>
      <c r="H27" s="817"/>
      <c r="I27" s="817"/>
    </row>
    <row r="28" spans="1:9" s="826" customFormat="1" ht="19.5" customHeight="1">
      <c r="A28" s="3406"/>
      <c r="B28" s="3406"/>
      <c r="C28" s="822" t="s">
        <v>578</v>
      </c>
      <c r="D28" s="823"/>
      <c r="E28" s="821">
        <v>0.9</v>
      </c>
      <c r="F28" s="824" t="s">
        <v>579</v>
      </c>
      <c r="G28" s="825"/>
      <c r="H28" s="817"/>
      <c r="I28" s="817"/>
    </row>
    <row r="29" spans="1:9" s="826" customFormat="1" ht="19.5" customHeight="1">
      <c r="A29" s="3406"/>
      <c r="B29" s="3406"/>
      <c r="C29" s="822" t="s">
        <v>580</v>
      </c>
      <c r="D29" s="823"/>
      <c r="E29" s="821">
        <v>0.9</v>
      </c>
      <c r="F29" s="824" t="s">
        <v>581</v>
      </c>
      <c r="G29" s="825"/>
      <c r="H29" s="817"/>
      <c r="I29" s="817"/>
    </row>
    <row r="30" spans="1:9" s="826" customFormat="1" ht="19.5" customHeight="1">
      <c r="A30" s="3406"/>
      <c r="B30" s="3406"/>
      <c r="C30" s="822" t="s">
        <v>582</v>
      </c>
      <c r="D30" s="823"/>
      <c r="E30" s="821">
        <v>0.9</v>
      </c>
      <c r="F30" s="824" t="s">
        <v>583</v>
      </c>
      <c r="G30" s="825"/>
      <c r="H30" s="817"/>
      <c r="I30" s="817"/>
    </row>
    <row r="31" spans="1:9" s="826" customFormat="1" ht="19.5" customHeight="1">
      <c r="A31" s="3406"/>
      <c r="B31" s="3406"/>
      <c r="C31" s="822" t="s">
        <v>584</v>
      </c>
      <c r="D31" s="823"/>
      <c r="E31" s="821">
        <v>0.8</v>
      </c>
      <c r="F31" s="824" t="s">
        <v>585</v>
      </c>
      <c r="G31" s="825"/>
      <c r="H31" s="817"/>
      <c r="I31" s="817"/>
    </row>
    <row r="32" spans="1:9" s="826" customFormat="1" ht="19.5" customHeight="1">
      <c r="A32" s="3406"/>
      <c r="B32" s="3406"/>
      <c r="C32" s="822" t="s">
        <v>586</v>
      </c>
      <c r="D32" s="823"/>
      <c r="E32" s="821">
        <v>0.8</v>
      </c>
      <c r="F32" s="824" t="s">
        <v>587</v>
      </c>
      <c r="G32" s="825"/>
      <c r="H32" s="817"/>
      <c r="I32" s="817"/>
    </row>
    <row r="33" spans="1:9" s="826" customFormat="1" ht="19.5" customHeight="1">
      <c r="A33" s="3406" t="s">
        <v>185</v>
      </c>
      <c r="B33" s="821" t="s">
        <v>560</v>
      </c>
      <c r="C33" s="822" t="s">
        <v>588</v>
      </c>
      <c r="D33" s="823"/>
      <c r="E33" s="821">
        <v>1</v>
      </c>
      <c r="F33" s="824" t="s">
        <v>589</v>
      </c>
      <c r="G33" s="825"/>
      <c r="H33" s="817"/>
      <c r="I33" s="817"/>
    </row>
    <row r="34" spans="1:9" s="826" customFormat="1" ht="19.5" customHeight="1">
      <c r="A34" s="3406"/>
      <c r="B34" s="821" t="s">
        <v>563</v>
      </c>
      <c r="C34" s="822" t="s">
        <v>590</v>
      </c>
      <c r="D34" s="823"/>
      <c r="E34" s="821">
        <v>1.5</v>
      </c>
      <c r="F34" s="824" t="s">
        <v>591</v>
      </c>
      <c r="G34" s="825"/>
      <c r="H34" s="817"/>
      <c r="I34" s="817"/>
    </row>
    <row r="35" spans="1:9" s="826" customFormat="1" ht="19.5" customHeight="1">
      <c r="A35" s="3406" t="s">
        <v>186</v>
      </c>
      <c r="B35" s="821" t="s">
        <v>560</v>
      </c>
      <c r="C35" s="822" t="s">
        <v>592</v>
      </c>
      <c r="D35" s="823"/>
      <c r="E35" s="821">
        <v>1</v>
      </c>
      <c r="F35" s="824" t="s">
        <v>593</v>
      </c>
      <c r="G35" s="825"/>
      <c r="H35" s="817"/>
      <c r="I35" s="817"/>
    </row>
    <row r="36" spans="1:9" s="826" customFormat="1" ht="19.5" customHeight="1">
      <c r="A36" s="3406"/>
      <c r="B36" s="3406" t="s">
        <v>563</v>
      </c>
      <c r="C36" s="822" t="s">
        <v>594</v>
      </c>
      <c r="D36" s="823"/>
      <c r="E36" s="821">
        <v>1</v>
      </c>
      <c r="F36" s="824" t="s">
        <v>595</v>
      </c>
      <c r="G36" s="825"/>
      <c r="H36" s="817"/>
      <c r="I36" s="817"/>
    </row>
    <row r="37" spans="1:9" s="826" customFormat="1" ht="19.5" customHeight="1">
      <c r="A37" s="3406"/>
      <c r="B37" s="3406"/>
      <c r="C37" s="822" t="s">
        <v>596</v>
      </c>
      <c r="D37" s="823"/>
      <c r="E37" s="821">
        <v>1.5</v>
      </c>
      <c r="F37" s="824" t="s">
        <v>597</v>
      </c>
      <c r="G37" s="825"/>
      <c r="H37" s="817"/>
      <c r="I37" s="817"/>
    </row>
    <row r="38" spans="1:9" s="826" customFormat="1" ht="19.5" customHeight="1">
      <c r="A38" s="3406"/>
      <c r="B38" s="3406"/>
      <c r="C38" s="822" t="s">
        <v>598</v>
      </c>
      <c r="D38" s="823"/>
      <c r="E38" s="821">
        <v>1</v>
      </c>
      <c r="F38" s="824" t="s">
        <v>599</v>
      </c>
      <c r="G38" s="825"/>
      <c r="H38" s="817"/>
      <c r="I38" s="817"/>
    </row>
    <row r="39" spans="1:9" s="826" customFormat="1" ht="19.5" customHeight="1">
      <c r="A39" s="3406"/>
      <c r="B39" s="34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6" t="s">
        <v>614</v>
      </c>
      <c r="C61" s="757" t="s">
        <v>615</v>
      </c>
      <c r="D61" s="757" t="s">
        <v>616</v>
      </c>
      <c r="E61" s="834">
        <v>0.5</v>
      </c>
      <c r="F61" s="821">
        <v>80</v>
      </c>
    </row>
    <row r="62" spans="1:8" s="817" customFormat="1" ht="24">
      <c r="A62" s="821">
        <v>2</v>
      </c>
      <c r="B62" s="3406"/>
      <c r="C62" s="757" t="s">
        <v>617</v>
      </c>
      <c r="D62" s="757" t="s">
        <v>618</v>
      </c>
      <c r="E62" s="834">
        <v>0.5</v>
      </c>
      <c r="F62" s="821">
        <v>80</v>
      </c>
    </row>
    <row r="63" spans="1:8" s="817" customFormat="1" ht="36">
      <c r="A63" s="821">
        <v>3</v>
      </c>
      <c r="B63" s="3406"/>
      <c r="C63" s="757" t="s">
        <v>619</v>
      </c>
      <c r="D63" s="757" t="s">
        <v>620</v>
      </c>
      <c r="E63" s="834">
        <v>0.5</v>
      </c>
      <c r="F63" s="821">
        <v>80</v>
      </c>
    </row>
    <row r="64" spans="1:8" s="817" customFormat="1" ht="36">
      <c r="A64" s="821">
        <v>4</v>
      </c>
      <c r="B64" s="3406"/>
      <c r="C64" s="757" t="s">
        <v>621</v>
      </c>
      <c r="D64" s="757" t="s">
        <v>622</v>
      </c>
      <c r="E64" s="834">
        <v>0.4</v>
      </c>
      <c r="F64" s="821">
        <v>60</v>
      </c>
    </row>
    <row r="65" spans="1:6" s="817" customFormat="1" ht="36">
      <c r="A65" s="821">
        <v>5</v>
      </c>
      <c r="B65" s="3406"/>
      <c r="C65" s="757" t="s">
        <v>623</v>
      </c>
      <c r="D65" s="757" t="s">
        <v>624</v>
      </c>
      <c r="E65" s="834">
        <v>0.2</v>
      </c>
      <c r="F65" s="821">
        <v>30</v>
      </c>
    </row>
    <row r="66" spans="1:6" s="817" customFormat="1" ht="36">
      <c r="A66" s="821">
        <v>6</v>
      </c>
      <c r="B66" s="3406"/>
      <c r="C66" s="757" t="s">
        <v>625</v>
      </c>
      <c r="D66" s="757" t="s">
        <v>626</v>
      </c>
      <c r="E66" s="834">
        <v>0.3</v>
      </c>
      <c r="F66" s="821">
        <v>50</v>
      </c>
    </row>
    <row r="67" spans="1:6" s="817" customFormat="1" ht="36">
      <c r="A67" s="821">
        <v>7</v>
      </c>
      <c r="B67" s="3406"/>
      <c r="C67" s="757" t="s">
        <v>627</v>
      </c>
      <c r="D67" s="757" t="s">
        <v>628</v>
      </c>
      <c r="E67" s="834">
        <v>0.2</v>
      </c>
      <c r="F67" s="821">
        <v>30</v>
      </c>
    </row>
    <row r="68" spans="1:6" s="817" customFormat="1" ht="36">
      <c r="A68" s="821">
        <v>8</v>
      </c>
      <c r="B68" s="3406"/>
      <c r="C68" s="757" t="s">
        <v>629</v>
      </c>
      <c r="D68" s="757" t="s">
        <v>630</v>
      </c>
      <c r="E68" s="834">
        <v>0.2</v>
      </c>
      <c r="F68" s="821">
        <v>30</v>
      </c>
    </row>
    <row r="69" spans="1:6" s="817" customFormat="1" ht="36">
      <c r="A69" s="821">
        <v>9</v>
      </c>
      <c r="B69" s="3406"/>
      <c r="C69" s="757" t="s">
        <v>631</v>
      </c>
      <c r="D69" s="757" t="s">
        <v>632</v>
      </c>
      <c r="E69" s="834">
        <v>0.2</v>
      </c>
      <c r="F69" s="821">
        <v>30</v>
      </c>
    </row>
    <row r="70" spans="1:6" s="817" customFormat="1" ht="48">
      <c r="A70" s="821">
        <v>10</v>
      </c>
      <c r="B70" s="3406"/>
      <c r="C70" s="757" t="s">
        <v>633</v>
      </c>
      <c r="D70" s="757" t="s">
        <v>634</v>
      </c>
      <c r="E70" s="834">
        <v>0.2</v>
      </c>
      <c r="F70" s="821">
        <v>30</v>
      </c>
    </row>
    <row r="71" spans="1:6" s="817" customFormat="1" ht="48">
      <c r="A71" s="821">
        <v>11</v>
      </c>
      <c r="B71" s="3406"/>
      <c r="C71" s="757" t="s">
        <v>635</v>
      </c>
      <c r="D71" s="757" t="s">
        <v>636</v>
      </c>
      <c r="E71" s="834">
        <v>0.2</v>
      </c>
      <c r="F71" s="821">
        <v>30</v>
      </c>
    </row>
    <row r="72" spans="1:6" s="817" customFormat="1" ht="36">
      <c r="A72" s="821">
        <v>12</v>
      </c>
      <c r="B72" s="3406"/>
      <c r="C72" s="757" t="s">
        <v>637</v>
      </c>
      <c r="D72" s="757" t="s">
        <v>638</v>
      </c>
      <c r="E72" s="834">
        <v>0.5</v>
      </c>
      <c r="F72" s="821">
        <v>80</v>
      </c>
    </row>
    <row r="73" spans="1:6" s="817" customFormat="1" ht="24">
      <c r="A73" s="821">
        <v>13</v>
      </c>
      <c r="B73" s="3406"/>
      <c r="C73" s="757" t="s">
        <v>639</v>
      </c>
      <c r="D73" s="757" t="s">
        <v>640</v>
      </c>
      <c r="E73" s="834">
        <v>0.4</v>
      </c>
      <c r="F73" s="821">
        <v>60</v>
      </c>
    </row>
    <row r="74" spans="1:6" s="817" customFormat="1" ht="24">
      <c r="A74" s="821">
        <v>14</v>
      </c>
      <c r="B74" s="3406"/>
      <c r="C74" s="757" t="s">
        <v>641</v>
      </c>
      <c r="D74" s="757" t="s">
        <v>642</v>
      </c>
      <c r="E74" s="834">
        <v>0.2</v>
      </c>
      <c r="F74" s="821">
        <v>30</v>
      </c>
    </row>
    <row r="75" spans="1:6" s="817" customFormat="1" ht="24">
      <c r="A75" s="821">
        <v>15</v>
      </c>
      <c r="B75" s="3406"/>
      <c r="C75" s="757" t="s">
        <v>643</v>
      </c>
      <c r="D75" s="757" t="s">
        <v>644</v>
      </c>
      <c r="E75" s="834">
        <v>0.2</v>
      </c>
      <c r="F75" s="821">
        <v>30</v>
      </c>
    </row>
    <row r="76" spans="1:6" s="817" customFormat="1" ht="24">
      <c r="A76" s="821">
        <v>16</v>
      </c>
      <c r="B76" s="3406" t="s">
        <v>645</v>
      </c>
      <c r="C76" s="757" t="s">
        <v>646</v>
      </c>
      <c r="D76" s="757" t="s">
        <v>647</v>
      </c>
      <c r="E76" s="834">
        <v>0.5</v>
      </c>
      <c r="F76" s="821">
        <v>80</v>
      </c>
    </row>
    <row r="77" spans="1:6" s="817" customFormat="1" ht="24">
      <c r="A77" s="821">
        <v>17</v>
      </c>
      <c r="B77" s="3406"/>
      <c r="C77" s="757" t="s">
        <v>648</v>
      </c>
      <c r="D77" s="757" t="s">
        <v>649</v>
      </c>
      <c r="E77" s="834">
        <v>0.5</v>
      </c>
      <c r="F77" s="821">
        <v>80</v>
      </c>
    </row>
    <row r="78" spans="1:6" s="817" customFormat="1" ht="24">
      <c r="A78" s="821">
        <v>18</v>
      </c>
      <c r="B78" s="3406"/>
      <c r="C78" s="757" t="s">
        <v>650</v>
      </c>
      <c r="D78" s="757" t="s">
        <v>651</v>
      </c>
      <c r="E78" s="834">
        <v>0.2</v>
      </c>
      <c r="F78" s="821">
        <v>30</v>
      </c>
    </row>
    <row r="79" spans="1:6" s="817" customFormat="1" ht="24">
      <c r="A79" s="821">
        <v>19</v>
      </c>
      <c r="B79" s="3406"/>
      <c r="C79" s="757" t="s">
        <v>652</v>
      </c>
      <c r="D79" s="757" t="s">
        <v>653</v>
      </c>
      <c r="E79" s="834">
        <v>0.5</v>
      </c>
      <c r="F79" s="821">
        <v>80</v>
      </c>
    </row>
    <row r="80" spans="1:6" s="817" customFormat="1" ht="36">
      <c r="A80" s="821">
        <v>20</v>
      </c>
      <c r="B80" s="3406"/>
      <c r="C80" s="757" t="s">
        <v>654</v>
      </c>
      <c r="D80" s="757" t="s">
        <v>655</v>
      </c>
      <c r="E80" s="834">
        <v>0.2</v>
      </c>
      <c r="F80" s="821">
        <v>30</v>
      </c>
    </row>
    <row r="81" spans="1:6" s="817" customFormat="1" ht="36">
      <c r="A81" s="821">
        <v>21</v>
      </c>
      <c r="B81" s="3406"/>
      <c r="C81" s="757" t="s">
        <v>656</v>
      </c>
      <c r="D81" s="757" t="s">
        <v>657</v>
      </c>
      <c r="E81" s="834">
        <v>0.2</v>
      </c>
      <c r="F81" s="821">
        <v>30</v>
      </c>
    </row>
    <row r="82" spans="1:6" s="817" customFormat="1" ht="48">
      <c r="A82" s="821">
        <v>22</v>
      </c>
      <c r="B82" s="3406"/>
      <c r="C82" s="757" t="s">
        <v>658</v>
      </c>
      <c r="D82" s="757" t="s">
        <v>659</v>
      </c>
      <c r="E82" s="834">
        <v>0.2</v>
      </c>
      <c r="F82" s="821">
        <v>30</v>
      </c>
    </row>
    <row r="83" spans="1:6" s="817" customFormat="1" ht="48">
      <c r="A83" s="821">
        <v>23</v>
      </c>
      <c r="B83" s="3406"/>
      <c r="C83" s="757" t="s">
        <v>660</v>
      </c>
      <c r="D83" s="757" t="s">
        <v>661</v>
      </c>
      <c r="E83" s="834">
        <v>0.2</v>
      </c>
      <c r="F83" s="821">
        <v>30</v>
      </c>
    </row>
    <row r="84" spans="1:6" s="817" customFormat="1" ht="36">
      <c r="A84" s="821">
        <v>24</v>
      </c>
      <c r="B84" s="3406"/>
      <c r="C84" s="757" t="s">
        <v>662</v>
      </c>
      <c r="D84" s="757" t="s">
        <v>663</v>
      </c>
      <c r="E84" s="834">
        <v>0.2</v>
      </c>
      <c r="F84" s="821">
        <v>30</v>
      </c>
    </row>
    <row r="85" spans="1:6" s="817" customFormat="1" ht="36">
      <c r="A85" s="821">
        <v>25</v>
      </c>
      <c r="B85" s="3406"/>
      <c r="C85" s="757" t="s">
        <v>664</v>
      </c>
      <c r="D85" s="757" t="s">
        <v>665</v>
      </c>
      <c r="E85" s="834">
        <v>0.5</v>
      </c>
      <c r="F85" s="821">
        <v>80</v>
      </c>
    </row>
    <row r="86" spans="1:6" s="817" customFormat="1" ht="36">
      <c r="A86" s="821">
        <v>26</v>
      </c>
      <c r="B86" s="3406"/>
      <c r="C86" s="757" t="s">
        <v>666</v>
      </c>
      <c r="D86" s="757" t="s">
        <v>667</v>
      </c>
      <c r="E86" s="834">
        <v>0.2</v>
      </c>
      <c r="F86" s="821">
        <v>30</v>
      </c>
    </row>
    <row r="87" spans="1:6" s="817" customFormat="1" ht="36">
      <c r="A87" s="821">
        <v>27</v>
      </c>
      <c r="B87" s="3406"/>
      <c r="C87" s="757" t="s">
        <v>668</v>
      </c>
      <c r="D87" s="757" t="s">
        <v>669</v>
      </c>
      <c r="E87" s="834">
        <v>0.2</v>
      </c>
      <c r="F87" s="821">
        <v>30</v>
      </c>
    </row>
    <row r="88" spans="1:6" s="817" customFormat="1" ht="36">
      <c r="A88" s="821">
        <v>28</v>
      </c>
      <c r="B88" s="3406"/>
      <c r="C88" s="757" t="s">
        <v>670</v>
      </c>
      <c r="D88" s="757" t="s">
        <v>671</v>
      </c>
      <c r="E88" s="834">
        <v>0.2</v>
      </c>
      <c r="F88" s="821">
        <v>30</v>
      </c>
    </row>
    <row r="89" spans="1:6" s="817" customFormat="1" ht="24">
      <c r="A89" s="821">
        <v>29</v>
      </c>
      <c r="B89" s="3406"/>
      <c r="C89" s="757" t="s">
        <v>672</v>
      </c>
      <c r="D89" s="757" t="s">
        <v>673</v>
      </c>
      <c r="E89" s="834">
        <v>0.2</v>
      </c>
      <c r="F89" s="821">
        <v>30</v>
      </c>
    </row>
    <row r="90" spans="1:6" s="817" customFormat="1" ht="24">
      <c r="A90" s="821">
        <v>30</v>
      </c>
      <c r="B90" s="3406"/>
      <c r="C90" s="757" t="s">
        <v>674</v>
      </c>
      <c r="D90" s="757" t="s">
        <v>675</v>
      </c>
      <c r="E90" s="834">
        <v>0.2</v>
      </c>
      <c r="F90" s="821">
        <v>30</v>
      </c>
    </row>
    <row r="91" spans="1:6" s="817" customFormat="1" ht="36">
      <c r="A91" s="821">
        <v>31</v>
      </c>
      <c r="B91" s="3406"/>
      <c r="C91" s="757" t="s">
        <v>676</v>
      </c>
      <c r="D91" s="757" t="s">
        <v>677</v>
      </c>
      <c r="E91" s="834">
        <v>0.2</v>
      </c>
      <c r="F91" s="821">
        <v>30</v>
      </c>
    </row>
    <row r="92" spans="1:6" s="817" customFormat="1" ht="24">
      <c r="A92" s="821">
        <v>32</v>
      </c>
      <c r="B92" s="3406" t="s">
        <v>678</v>
      </c>
      <c r="C92" s="821" t="s">
        <v>679</v>
      </c>
      <c r="D92" s="757" t="s">
        <v>680</v>
      </c>
      <c r="E92" s="834">
        <v>0.2</v>
      </c>
      <c r="F92" s="821">
        <v>30</v>
      </c>
    </row>
    <row r="93" spans="1:6" s="817" customFormat="1" ht="36">
      <c r="A93" s="821">
        <v>33</v>
      </c>
      <c r="B93" s="3406"/>
      <c r="C93" s="821" t="s">
        <v>681</v>
      </c>
      <c r="D93" s="757" t="s">
        <v>682</v>
      </c>
      <c r="E93" s="834">
        <v>0.2</v>
      </c>
      <c r="F93" s="821">
        <v>30</v>
      </c>
    </row>
    <row r="94" spans="1:6" s="817" customFormat="1" ht="48">
      <c r="A94" s="821">
        <v>34</v>
      </c>
      <c r="B94" s="3406"/>
      <c r="C94" s="821" t="s">
        <v>683</v>
      </c>
      <c r="D94" s="757" t="s">
        <v>684</v>
      </c>
      <c r="E94" s="834">
        <v>0.2</v>
      </c>
      <c r="F94" s="821">
        <v>30</v>
      </c>
    </row>
    <row r="95" spans="1:6" s="817" customFormat="1" ht="36">
      <c r="A95" s="821">
        <v>35</v>
      </c>
      <c r="B95" s="3406"/>
      <c r="C95" s="821" t="s">
        <v>685</v>
      </c>
      <c r="D95" s="757" t="s">
        <v>686</v>
      </c>
      <c r="E95" s="834">
        <v>0.2</v>
      </c>
      <c r="F95" s="821">
        <v>30</v>
      </c>
    </row>
    <row r="96" spans="1:6" s="817" customFormat="1" ht="48">
      <c r="A96" s="821">
        <v>36</v>
      </c>
      <c r="B96" s="3406"/>
      <c r="C96" s="757" t="s">
        <v>687</v>
      </c>
      <c r="D96" s="757" t="s">
        <v>688</v>
      </c>
      <c r="E96" s="834">
        <v>0.2</v>
      </c>
      <c r="F96" s="821">
        <v>30</v>
      </c>
    </row>
    <row r="97" spans="1:6" s="817" customFormat="1" ht="36">
      <c r="A97" s="821">
        <v>37</v>
      </c>
      <c r="B97" s="3406"/>
      <c r="C97" s="821" t="s">
        <v>689</v>
      </c>
      <c r="D97" s="757" t="s">
        <v>690</v>
      </c>
      <c r="E97" s="834">
        <v>0.2</v>
      </c>
      <c r="F97" s="821">
        <v>30</v>
      </c>
    </row>
    <row r="98" spans="1:6" s="817" customFormat="1" ht="36">
      <c r="A98" s="821">
        <v>38</v>
      </c>
      <c r="B98" s="3406"/>
      <c r="C98" s="821" t="s">
        <v>691</v>
      </c>
      <c r="D98" s="757" t="s">
        <v>692</v>
      </c>
      <c r="E98" s="834">
        <v>0.2</v>
      </c>
      <c r="F98" s="821">
        <v>30</v>
      </c>
    </row>
    <row r="99" spans="1:6" s="817" customFormat="1" ht="36">
      <c r="A99" s="821">
        <v>39</v>
      </c>
      <c r="B99" s="3406" t="s">
        <v>693</v>
      </c>
      <c r="C99" s="821" t="s">
        <v>694</v>
      </c>
      <c r="D99" s="757" t="s">
        <v>695</v>
      </c>
      <c r="E99" s="834">
        <v>0.3</v>
      </c>
      <c r="F99" s="821">
        <v>50</v>
      </c>
    </row>
    <row r="100" spans="1:6" s="817" customFormat="1" ht="24">
      <c r="A100" s="821">
        <v>40</v>
      </c>
      <c r="B100" s="3406"/>
      <c r="C100" s="821" t="s">
        <v>696</v>
      </c>
      <c r="D100" s="757" t="s">
        <v>697</v>
      </c>
      <c r="E100" s="834">
        <v>0.2</v>
      </c>
      <c r="F100" s="821">
        <v>30</v>
      </c>
    </row>
    <row r="101" spans="1:6" s="817" customFormat="1" ht="36">
      <c r="A101" s="821">
        <v>41</v>
      </c>
      <c r="B101" s="340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6" t="s">
        <v>708</v>
      </c>
      <c r="C105" s="821" t="s">
        <v>709</v>
      </c>
      <c r="D105" s="757" t="s">
        <v>710</v>
      </c>
      <c r="E105" s="834">
        <v>0.2</v>
      </c>
      <c r="F105" s="821">
        <v>30</v>
      </c>
    </row>
    <row r="106" spans="1:6" s="817" customFormat="1" ht="36">
      <c r="A106" s="821">
        <v>46</v>
      </c>
      <c r="B106" s="3406"/>
      <c r="C106" s="821" t="s">
        <v>711</v>
      </c>
      <c r="D106" s="757" t="s">
        <v>712</v>
      </c>
      <c r="E106" s="834">
        <v>0.2</v>
      </c>
      <c r="F106" s="821">
        <v>30</v>
      </c>
    </row>
    <row r="107" spans="1:6" s="817" customFormat="1" ht="36">
      <c r="A107" s="821">
        <v>47</v>
      </c>
      <c r="B107" s="3406" t="s">
        <v>713</v>
      </c>
      <c r="C107" s="821" t="s">
        <v>714</v>
      </c>
      <c r="D107" s="757" t="s">
        <v>715</v>
      </c>
      <c r="E107" s="834">
        <v>0.3</v>
      </c>
      <c r="F107" s="821">
        <v>50</v>
      </c>
    </row>
    <row r="108" spans="1:6" s="817" customFormat="1" ht="36">
      <c r="A108" s="821">
        <v>48</v>
      </c>
      <c r="B108" s="340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6" t="s">
        <v>724</v>
      </c>
      <c r="C111" s="821" t="s">
        <v>725</v>
      </c>
      <c r="D111" s="757" t="s">
        <v>726</v>
      </c>
      <c r="E111" s="834">
        <v>0.2</v>
      </c>
      <c r="F111" s="821">
        <v>30</v>
      </c>
    </row>
    <row r="112" spans="1:6" s="817" customFormat="1" ht="24">
      <c r="A112" s="821">
        <v>52</v>
      </c>
      <c r="B112" s="3406"/>
      <c r="C112" s="821" t="s">
        <v>727</v>
      </c>
      <c r="D112" s="757" t="s">
        <v>728</v>
      </c>
      <c r="E112" s="834">
        <v>0.2</v>
      </c>
      <c r="F112" s="821">
        <v>30</v>
      </c>
    </row>
    <row r="113" spans="1:6" s="817" customFormat="1" ht="24">
      <c r="A113" s="821">
        <v>53</v>
      </c>
      <c r="B113" s="340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6" t="s">
        <v>737</v>
      </c>
      <c r="C116" s="821" t="s">
        <v>738</v>
      </c>
      <c r="D116" s="757" t="s">
        <v>739</v>
      </c>
      <c r="E116" s="834">
        <v>0.2</v>
      </c>
      <c r="F116" s="821">
        <v>30</v>
      </c>
    </row>
    <row r="117" spans="1:6" ht="36">
      <c r="A117" s="821">
        <v>57</v>
      </c>
      <c r="B117" s="340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1.1200000000000001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6421</v>
      </c>
      <c r="C2" s="2362" t="s">
        <v>2814</v>
      </c>
      <c r="D2" s="2362" t="s">
        <v>2815</v>
      </c>
      <c r="E2" s="2839">
        <f ca="1">SUMIF(E6:E13,"&lt;&gt;#ref!",E6:E13)</f>
        <v>9820.56</v>
      </c>
      <c r="F2" s="3025"/>
      <c r="G2" s="3025"/>
      <c r="H2" s="3025"/>
      <c r="I2" s="3025"/>
      <c r="J2" s="3025"/>
      <c r="K2" s="3025"/>
      <c r="L2" s="3025"/>
      <c r="M2" s="3025"/>
      <c r="N2" s="3025"/>
      <c r="O2" s="3025"/>
      <c r="P2" s="3025"/>
    </row>
    <row r="3" spans="1:16" ht="15.75">
      <c r="A3" s="2362" t="s">
        <v>2816</v>
      </c>
      <c r="B3" s="2829">
        <f ca="1">ROUND(B2*10000/E2,0)</f>
        <v>6538</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6421</v>
      </c>
      <c r="C6" s="2362" t="s">
        <v>2814</v>
      </c>
      <c r="D6" s="3025"/>
      <c r="E6" s="2839">
        <f ca="1">SUMIF(INDIRECT("'"&amp;A6&amp;"'"&amp;"!C:C"),"建筑面积",INDIRECT("'"&amp;A6&amp;"'"&amp;"!D:D"))</f>
        <v>9820.56</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679"/>
      <c r="B4" s="3090" t="s">
        <v>1595</v>
      </c>
      <c r="C4" s="3090"/>
      <c r="D4" s="3090"/>
      <c r="E4" s="1679"/>
    </row>
    <row r="5" spans="1:5" ht="16.5" thickTop="1">
      <c r="A5" s="1677"/>
      <c r="B5" s="3088" t="s">
        <v>1587</v>
      </c>
      <c r="C5" s="1680" t="s">
        <v>1588</v>
      </c>
      <c r="D5" s="959">
        <f ca="1">结果表!H101</f>
        <v>18844</v>
      </c>
      <c r="E5" s="1677"/>
    </row>
    <row r="6" spans="1:5" ht="15.75">
      <c r="A6" s="1677"/>
      <c r="B6" s="3088"/>
      <c r="C6" s="1680" t="s">
        <v>1589</v>
      </c>
      <c r="D6" s="959" t="str">
        <f ca="1">NUMBERSTRING(INT(D5*10000),2)&amp;"元整"</f>
        <v>壹亿捌仟捌佰肆拾肆万元整</v>
      </c>
      <c r="E6" s="1677"/>
    </row>
    <row r="7" spans="1:5" ht="15.75">
      <c r="A7" s="1677"/>
      <c r="B7" s="3093"/>
      <c r="C7" s="1681" t="s">
        <v>1590</v>
      </c>
      <c r="D7" s="960">
        <f ca="1">结果表!H102</f>
        <v>19188</v>
      </c>
      <c r="E7" s="1677"/>
    </row>
    <row r="8" spans="1:5" ht="15.75">
      <c r="A8" s="1677"/>
      <c r="B8" s="3094" t="str">
        <f>结果表!E103</f>
        <v>2.估价师知悉的法定优先受偿款</v>
      </c>
      <c r="C8" s="1682" t="s">
        <v>1591</v>
      </c>
      <c r="D8" s="960">
        <f>结果表!H103</f>
        <v>0</v>
      </c>
      <c r="E8" s="1677"/>
    </row>
    <row r="9" spans="1:5" ht="15.75">
      <c r="A9" s="1677"/>
      <c r="B9" s="3096"/>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87" t="str">
        <f>结果表!E107</f>
        <v>3.房地产抵押价值</v>
      </c>
      <c r="C13" s="1685" t="s">
        <v>1588</v>
      </c>
      <c r="D13" s="962">
        <f ca="1">结果表!H107</f>
        <v>18844</v>
      </c>
      <c r="E13" s="1677"/>
    </row>
    <row r="14" spans="1:5" ht="15.75">
      <c r="A14" s="1677"/>
      <c r="B14" s="3088"/>
      <c r="C14" s="1680" t="s">
        <v>1589</v>
      </c>
      <c r="D14" s="959" t="str">
        <f ca="1">NUMBERSTRING(INT(D13*10000),2)&amp;"元整"</f>
        <v>壹亿捌仟捌佰肆拾肆万元整</v>
      </c>
      <c r="E14" s="1677"/>
    </row>
    <row r="15" spans="1:5" ht="15">
      <c r="A15" s="1677"/>
      <c r="B15" s="3093"/>
      <c r="C15" s="1681" t="s">
        <v>1599</v>
      </c>
      <c r="D15" s="968">
        <f ca="1">结果表!H108</f>
        <v>19188</v>
      </c>
      <c r="E15" s="1677"/>
    </row>
    <row r="16" spans="1:5" ht="15">
      <c r="A16" s="1677"/>
      <c r="B16" s="3094" t="str">
        <f>结果表!E109</f>
        <v>——</v>
      </c>
      <c r="C16" s="1685" t="s">
        <v>1600</v>
      </c>
      <c r="D16" s="1686" t="str">
        <f>结果表!H109</f>
        <v>——</v>
      </c>
      <c r="E16" s="1677"/>
    </row>
    <row r="17" spans="1:5" ht="15.75">
      <c r="A17" s="1677"/>
      <c r="B17" s="3095"/>
      <c r="C17" s="1680" t="s">
        <v>1601</v>
      </c>
      <c r="D17" s="959" t="e">
        <f>NUMBERSTRING(INT(D16*10000),2)&amp;"元整"</f>
        <v>#VALUE!</v>
      </c>
      <c r="E17" s="1677"/>
    </row>
    <row r="18" spans="1:5" ht="15">
      <c r="A18" s="1677"/>
      <c r="B18" s="3096"/>
      <c r="C18" s="1681" t="s">
        <v>1590</v>
      </c>
      <c r="D18" s="968" t="str">
        <f>结果表!H110</f>
        <v>——</v>
      </c>
      <c r="E18" s="1677"/>
    </row>
    <row r="19" spans="1:5" ht="15.75">
      <c r="A19" s="1677"/>
      <c r="B19" s="3087" t="str">
        <f>结果表!E111</f>
        <v>——</v>
      </c>
      <c r="C19" s="1685" t="s">
        <v>1588</v>
      </c>
      <c r="D19" s="960" t="str">
        <f>结果表!H111</f>
        <v>——</v>
      </c>
      <c r="E19" s="1677"/>
    </row>
    <row r="20" spans="1:5" ht="15.75">
      <c r="A20" s="1677"/>
      <c r="B20" s="3088"/>
      <c r="C20" s="1680" t="s">
        <v>1601</v>
      </c>
      <c r="D20" s="959" t="e">
        <f>NUMBERSTRING(INT(D19*10000),2)&amp;"元整"</f>
        <v>#VALUE!</v>
      </c>
      <c r="E20" s="1677"/>
    </row>
    <row r="21" spans="1:5" ht="15.75" thickBot="1">
      <c r="A21" s="1677"/>
      <c r="B21" s="3089"/>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2853</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2854</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3057</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2870</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2868</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2867</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2866</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2864</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2862</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2865</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10">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2860</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10"/>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2859</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10"/>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2852</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17"/>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2850</v>
      </c>
      <c r="B17" s="2439">
        <v>439</v>
      </c>
      <c r="C17" s="2439">
        <v>327</v>
      </c>
      <c r="D17" s="2439">
        <f>C17</f>
        <v>327</v>
      </c>
      <c r="E17" s="2439">
        <v>627</v>
      </c>
      <c r="F17" s="2440">
        <v>283</v>
      </c>
      <c r="G17" s="3413">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2851</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10"/>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10"/>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17"/>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13">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10"/>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10"/>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11"/>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409">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10"/>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10"/>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11"/>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409">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10"/>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10"/>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11"/>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14">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15"/>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15"/>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16"/>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409">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10"/>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10"/>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11"/>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409">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10">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10">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11">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409">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10">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10">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11">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409">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10">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10">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11">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409">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10">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10">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11">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09">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10">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10">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11">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09">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10">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10">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11">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09">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10">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10">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11">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09">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10">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10">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11">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09">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10">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10">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11">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409">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10">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10">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11">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32776</v>
      </c>
      <c r="C2" s="2" t="s">
        <v>133</v>
      </c>
      <c r="D2" s="205"/>
      <c r="E2" s="205"/>
      <c r="F2" s="205"/>
      <c r="G2" s="205"/>
    </row>
    <row r="3" spans="1:7" s="206" customFormat="1" ht="18" customHeight="1" thickBot="1">
      <c r="A3" s="209" t="s">
        <v>85</v>
      </c>
      <c r="B3" s="210">
        <f ca="1">ROUND(B2*10000/'数据-汇总表'!E3,0)</f>
        <v>33375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196</v>
      </c>
      <c r="D10" s="954">
        <f>'数据-汇总表'!E6</f>
        <v>9820.56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196</v>
      </c>
      <c r="D19" s="958">
        <f>'数据-汇总表'!E3</f>
        <v>9820.56</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1515</v>
      </c>
      <c r="D22" s="241">
        <f ca="1">C26</f>
        <v>6.9999999999999999E-4</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1486</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4">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4244</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4244</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29265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2762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2455</v>
      </c>
      <c r="D34" s="223"/>
      <c r="E34" s="226"/>
      <c r="F34" s="263">
        <f>IF('数据-取费表'!B24=0,1,'数据-取费表'!N16)</f>
        <v>1</v>
      </c>
      <c r="G34" s="225" t="s">
        <v>116</v>
      </c>
    </row>
    <row r="35" spans="1:7" ht="13.5" customHeight="1">
      <c r="A35" s="888" t="s">
        <v>796</v>
      </c>
      <c r="B35" s="221" t="s">
        <v>60</v>
      </c>
      <c r="C35" s="226">
        <f>ROUND(C34*F35,0)</f>
        <v>74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196</v>
      </c>
      <c r="D37" s="223">
        <f>'数据-汇总表'!E3</f>
        <v>9820.56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55</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100</v>
      </c>
      <c r="D41" s="241">
        <f ca="1">C44</f>
        <v>6.9999999999999999E-4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98</v>
      </c>
      <c r="D42" s="244"/>
      <c r="E42" s="244"/>
      <c r="F42" s="245"/>
      <c r="G42" s="3332" t="s">
        <v>121</v>
      </c>
    </row>
    <row r="43" spans="1:7" ht="13.5" customHeight="1">
      <c r="A43" s="888" t="s">
        <v>792</v>
      </c>
      <c r="B43" s="221" t="s">
        <v>1032</v>
      </c>
      <c r="C43" s="244">
        <f ca="1">ROUND(IF('数据-取费表'!B22&lt;=1,C39*F22*'数据-取费表'!B21/2,C39*(POWER((1+F22),'数据-取费表'!B21/2)-1)),0)</f>
        <v>2</v>
      </c>
      <c r="D43" s="244"/>
      <c r="E43" s="244"/>
      <c r="F43" s="245"/>
      <c r="G43" s="3333"/>
    </row>
    <row r="44" spans="1:7" ht="13.5" customHeight="1">
      <c r="A44" s="888" t="s">
        <v>793</v>
      </c>
      <c r="B44" s="221" t="s">
        <v>1034</v>
      </c>
      <c r="C44" s="244">
        <f ca="1">ROUND(IF('数据-取费表'!B22&lt;=1,C40*F22*'数据-取费表'!B21/2,C40*(POWER((1+F22),'数据-取费表'!B21/2)-1)),4)</f>
        <v>6.9999999999999999E-4</v>
      </c>
      <c r="D44" s="244"/>
      <c r="E44" s="244"/>
      <c r="F44" s="245"/>
      <c r="G44" s="3334"/>
    </row>
    <row r="45" spans="1:7" s="220" customFormat="1" ht="13.5" customHeight="1">
      <c r="A45" s="885" t="s">
        <v>786</v>
      </c>
      <c r="B45" s="250" t="s">
        <v>112</v>
      </c>
      <c r="C45" s="251">
        <f>C46</f>
        <v>563</v>
      </c>
      <c r="D45" s="241">
        <f>C47</f>
        <v>4.0000000000000001E-3</v>
      </c>
      <c r="E45" s="242" t="s">
        <v>129</v>
      </c>
      <c r="F45" s="252"/>
      <c r="G45" s="253" t="s">
        <v>1040</v>
      </c>
    </row>
    <row r="46" spans="1:7" s="220" customFormat="1" ht="13.5" customHeight="1">
      <c r="A46" s="888" t="s">
        <v>794</v>
      </c>
      <c r="B46" s="254" t="s">
        <v>1033</v>
      </c>
      <c r="C46" s="255">
        <f>ROUND((C33+C39)*F27,0)</f>
        <v>563</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3775</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3511</v>
      </c>
      <c r="D51" s="238"/>
      <c r="E51" s="238"/>
      <c r="F51" s="270"/>
      <c r="G51" s="240" t="s">
        <v>64</v>
      </c>
    </row>
    <row r="52" spans="1:7" s="214" customFormat="1" ht="16.5" thickBot="1">
      <c r="A52" s="271" t="s">
        <v>65</v>
      </c>
      <c r="B52" s="272"/>
      <c r="C52" s="273">
        <f ca="1">C31+C51</f>
        <v>32776</v>
      </c>
      <c r="D52" s="272"/>
      <c r="E52" s="272"/>
      <c r="F52" s="272"/>
      <c r="G52" s="274"/>
    </row>
    <row r="55" spans="1:7" ht="15">
      <c r="B55" s="276" t="s">
        <v>66</v>
      </c>
      <c r="C55" s="277"/>
    </row>
    <row r="56" spans="1:7">
      <c r="B56" s="279" t="s">
        <v>67</v>
      </c>
      <c r="C56" s="280">
        <f ca="1">ROUND(C51/C52,3)</f>
        <v>0.107</v>
      </c>
    </row>
    <row r="57" spans="1:7">
      <c r="B57" s="279" t="s">
        <v>68</v>
      </c>
      <c r="C57" s="281">
        <f ca="1">1-C56</f>
        <v>0.89300000000000002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4" t="s">
        <v>156</v>
      </c>
      <c r="B1" s="3424"/>
      <c r="C1" s="3424"/>
      <c r="D1" s="3424"/>
      <c r="E1" s="3424"/>
      <c r="F1" s="342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5" t="s">
        <v>169</v>
      </c>
      <c r="B2" s="3425"/>
      <c r="C2" s="3425"/>
      <c r="D2" s="3425"/>
      <c r="E2" s="3425"/>
      <c r="F2" s="342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4" t="s">
        <v>839</v>
      </c>
      <c r="B1" s="342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44166</v>
      </c>
      <c r="D1" s="1471" t="s">
        <v>1268</v>
      </c>
      <c r="E1" s="1466">
        <f>'数据-取费表'!B22</f>
        <v>1.5</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G2" sqref="G2:N2"/>
    </sheetView>
  </sheetViews>
  <sheetFormatPr defaultRowHeight="13.5"/>
  <cols>
    <col min="1" max="1" width="8" customWidth="1"/>
    <col min="4" max="4" width="9.5" bestFit="1" customWidth="1"/>
    <col min="5" max="5" width="16.5" customWidth="1"/>
    <col min="6" max="6" width="15.75" customWidth="1"/>
    <col min="7" max="7" width="12.5" customWidth="1"/>
  </cols>
  <sheetData>
    <row r="1" spans="1:17">
      <c r="A1" s="3069" t="s">
        <v>3083</v>
      </c>
      <c r="B1" s="3069" t="s">
        <v>3084</v>
      </c>
      <c r="C1" s="3069" t="s">
        <v>3085</v>
      </c>
      <c r="D1" s="3069" t="s">
        <v>3199</v>
      </c>
      <c r="E1" s="3069" t="s">
        <v>3204</v>
      </c>
      <c r="F1" s="3069" t="s">
        <v>3205</v>
      </c>
      <c r="G1" s="3071">
        <v>1</v>
      </c>
      <c r="H1" s="3071">
        <v>2</v>
      </c>
      <c r="I1" s="3071">
        <v>3</v>
      </c>
      <c r="J1" s="3071">
        <v>4</v>
      </c>
      <c r="K1" s="3071">
        <v>5</v>
      </c>
      <c r="L1" s="3072" t="s">
        <v>3088</v>
      </c>
      <c r="M1" s="3072" t="s">
        <v>3087</v>
      </c>
      <c r="N1" s="3072" t="s">
        <v>3089</v>
      </c>
      <c r="O1" s="3045"/>
      <c r="Q1" s="3072" t="s">
        <v>3251</v>
      </c>
    </row>
    <row r="2" spans="1:17">
      <c r="A2" s="3070">
        <v>1</v>
      </c>
      <c r="B2" s="3070">
        <v>7418.57</v>
      </c>
      <c r="C2" s="3069" t="s">
        <v>3200</v>
      </c>
      <c r="D2" s="3069" t="s">
        <v>3201</v>
      </c>
      <c r="E2" s="3069">
        <f ca="1">结果表!G20</f>
        <v>22477</v>
      </c>
      <c r="F2" s="3069">
        <f ca="1">结果表!G19</f>
        <v>18844</v>
      </c>
      <c r="G2" s="3071">
        <v>1290.5999999999999</v>
      </c>
      <c r="H2" s="3071">
        <v>1178.23</v>
      </c>
      <c r="I2" s="3071">
        <v>1303.6199999999999</v>
      </c>
      <c r="J2" s="3071">
        <v>1303.6199999999999</v>
      </c>
      <c r="K2" s="3071">
        <v>894.12</v>
      </c>
      <c r="L2" s="3071">
        <v>126.69</v>
      </c>
      <c r="M2" s="3071">
        <v>1321.69</v>
      </c>
      <c r="N2" s="3071"/>
      <c r="O2">
        <f>SUM(G2:N2)</f>
        <v>7418.57</v>
      </c>
      <c r="P2">
        <f>B2-M2</f>
        <v>6096.8799999999992</v>
      </c>
      <c r="Q2">
        <f>P2+P3+P4</f>
        <v>16971.629999999997</v>
      </c>
    </row>
    <row r="3" spans="1:17">
      <c r="A3" s="3070">
        <v>2</v>
      </c>
      <c r="B3" s="3070">
        <f>SUM(G3:M3)</f>
        <v>4178.25</v>
      </c>
      <c r="C3" s="3069" t="s">
        <v>3086</v>
      </c>
      <c r="D3" s="3069" t="s">
        <v>3201</v>
      </c>
      <c r="E3" s="3069">
        <f>[3]结果表!$G$20</f>
        <v>28032</v>
      </c>
      <c r="F3" s="3069">
        <f>[3]结果表!$G$19</f>
        <v>11712</v>
      </c>
      <c r="G3" s="3071">
        <v>1099.33</v>
      </c>
      <c r="H3" s="3071">
        <v>796.24</v>
      </c>
      <c r="I3" s="3071">
        <v>796.24</v>
      </c>
      <c r="J3" s="3071"/>
      <c r="K3" s="3071"/>
      <c r="L3" s="3071">
        <v>149.19999999999999</v>
      </c>
      <c r="M3" s="3071">
        <v>1337.24</v>
      </c>
      <c r="N3" s="3071"/>
      <c r="O3">
        <f>SUM(G3:N3)</f>
        <v>4178.25</v>
      </c>
      <c r="P3">
        <f>B3-M3</f>
        <v>2841.01</v>
      </c>
      <c r="Q3">
        <f>Q2/N7</f>
        <v>1.4505604676903088</v>
      </c>
    </row>
    <row r="4" spans="1:17">
      <c r="A4" s="3070">
        <v>3</v>
      </c>
      <c r="B4" s="3070">
        <f>SUM(G4:M4)</f>
        <v>9820.56</v>
      </c>
      <c r="C4" s="3069" t="s">
        <v>3090</v>
      </c>
      <c r="D4" s="3069" t="s">
        <v>3201</v>
      </c>
      <c r="E4" s="3069">
        <f>[4]结果表!$G$20</f>
        <v>28040</v>
      </c>
      <c r="F4" s="3069">
        <f>[4]结果表!$G$19</f>
        <v>27537</v>
      </c>
      <c r="G4" s="3071">
        <v>1743.05</v>
      </c>
      <c r="H4" s="3071">
        <v>1618.65</v>
      </c>
      <c r="I4" s="3071">
        <v>1752.54</v>
      </c>
      <c r="J4" s="3071">
        <v>1752.54</v>
      </c>
      <c r="K4" s="3071">
        <v>1091.98</v>
      </c>
      <c r="L4" s="3071">
        <v>74.98</v>
      </c>
      <c r="M4" s="3071">
        <v>1786.82</v>
      </c>
      <c r="N4" s="3071"/>
      <c r="O4">
        <f>SUM(G4:N4)</f>
        <v>9820.56</v>
      </c>
      <c r="P4">
        <f>B4-M4</f>
        <v>8033.74</v>
      </c>
    </row>
    <row r="5" spans="1:17">
      <c r="A5" s="3070">
        <v>4</v>
      </c>
      <c r="B5" s="3070">
        <f>M5+N5-1843.35</f>
        <v>5430.02</v>
      </c>
      <c r="C5" s="3069" t="s">
        <v>3091</v>
      </c>
      <c r="D5" s="3069" t="s">
        <v>3202</v>
      </c>
      <c r="E5" s="3069" t="e">
        <f>#REF!</f>
        <v>#REF!</v>
      </c>
      <c r="F5" s="3069" t="e">
        <f>#REF!</f>
        <v>#REF!</v>
      </c>
      <c r="G5" s="3071">
        <v>29.35</v>
      </c>
      <c r="H5" s="3071"/>
      <c r="I5" s="3071"/>
      <c r="J5" s="3071"/>
      <c r="K5" s="3071"/>
      <c r="L5" s="3071"/>
      <c r="M5" s="3071">
        <v>166.75</v>
      </c>
      <c r="N5" s="3071">
        <v>7106.62</v>
      </c>
      <c r="O5">
        <f>SUM(G5:N5)</f>
        <v>7302.72</v>
      </c>
      <c r="P5">
        <f>B5</f>
        <v>5430.02</v>
      </c>
    </row>
    <row r="6" spans="1:17">
      <c r="A6" s="3069" t="s">
        <v>3203</v>
      </c>
      <c r="B6" s="3070">
        <f>SUM(B2:B5)</f>
        <v>26847.399999999998</v>
      </c>
      <c r="C6" s="3070"/>
      <c r="D6" s="3070"/>
      <c r="E6" s="3070"/>
      <c r="F6" s="3070" t="e">
        <f ca="1">SUM(F2:F5)</f>
        <v>#REF!</v>
      </c>
      <c r="G6" s="3072" t="s">
        <v>3207</v>
      </c>
      <c r="H6" s="3071"/>
      <c r="I6" s="3071"/>
      <c r="J6" s="3071"/>
      <c r="K6" s="3071"/>
      <c r="L6" s="3071"/>
      <c r="M6" s="3071"/>
      <c r="N6" s="3072" t="s">
        <v>3208</v>
      </c>
      <c r="O6">
        <f>O5+O4+O3+O2</f>
        <v>28720.1</v>
      </c>
    </row>
    <row r="7" spans="1:17">
      <c r="A7" s="3047"/>
      <c r="B7" s="3047"/>
      <c r="C7" s="3047"/>
      <c r="D7" s="3047"/>
      <c r="E7" s="3047"/>
      <c r="F7" s="3047"/>
      <c r="G7" s="3047"/>
      <c r="H7" s="3047"/>
      <c r="I7" s="3047"/>
      <c r="J7" s="3047"/>
      <c r="K7" s="3047"/>
      <c r="L7" s="3047"/>
      <c r="M7" s="3046" t="s">
        <v>3092</v>
      </c>
      <c r="N7" s="3047">
        <v>11700.05</v>
      </c>
    </row>
    <row r="8" spans="1:17">
      <c r="M8" s="3045" t="s">
        <v>3093</v>
      </c>
      <c r="N8">
        <f>ROUND(O4/O6*N7,2)</f>
        <v>4000.72</v>
      </c>
    </row>
    <row r="12" spans="1:17">
      <c r="A12" s="3045" t="s">
        <v>3210</v>
      </c>
    </row>
    <row r="13" spans="1:17">
      <c r="A13" s="3045" t="s">
        <v>3211</v>
      </c>
      <c r="B13" s="3045" t="s">
        <v>3212</v>
      </c>
      <c r="C13" s="3045" t="s">
        <v>3222</v>
      </c>
      <c r="D13" s="3045" t="s">
        <v>3213</v>
      </c>
      <c r="E13" s="3045" t="s">
        <v>3214</v>
      </c>
      <c r="F13" s="3045" t="s">
        <v>3215</v>
      </c>
      <c r="G13" s="3045" t="s">
        <v>3217</v>
      </c>
      <c r="H13" s="3045"/>
      <c r="I13" s="3045" t="s">
        <v>3220</v>
      </c>
      <c r="J13" s="3045" t="s">
        <v>3218</v>
      </c>
      <c r="N13">
        <f>360449.18/365/D14</f>
        <v>0.39999999999999997</v>
      </c>
      <c r="O13">
        <f>180224/365/D14</f>
        <v>0.19999934526137639</v>
      </c>
    </row>
    <row r="14" spans="1:17">
      <c r="A14" s="3428" t="s">
        <v>3231</v>
      </c>
      <c r="B14" s="3075" t="s">
        <v>3216</v>
      </c>
      <c r="C14" s="3075" t="s">
        <v>3225</v>
      </c>
      <c r="D14" s="3078">
        <v>2468.83</v>
      </c>
      <c r="E14" s="3076">
        <v>43101</v>
      </c>
      <c r="F14" s="3076">
        <v>46752</v>
      </c>
      <c r="G14">
        <v>2327104</v>
      </c>
      <c r="H14">
        <f>ROUND(G14/365/D14,2)</f>
        <v>2.58</v>
      </c>
      <c r="I14">
        <v>129016.19</v>
      </c>
      <c r="J14" s="3045" t="s">
        <v>3219</v>
      </c>
    </row>
    <row r="15" spans="1:17">
      <c r="A15" s="3428"/>
      <c r="B15" s="3075" t="s">
        <v>3221</v>
      </c>
      <c r="C15" s="3075" t="s">
        <v>3223</v>
      </c>
      <c r="D15">
        <f>853+1303.62</f>
        <v>2156.62</v>
      </c>
      <c r="E15" s="3077">
        <v>43739</v>
      </c>
      <c r="F15" s="3077">
        <v>48579</v>
      </c>
      <c r="G15">
        <f>307080+1267118.64</f>
        <v>1574198.64</v>
      </c>
      <c r="H15">
        <f t="shared" ref="H15" si="0">ROUND(G15/365/D15,2)</f>
        <v>2</v>
      </c>
      <c r="I15">
        <v>131183.22</v>
      </c>
      <c r="J15" s="3045" t="s">
        <v>3224</v>
      </c>
    </row>
    <row r="16" spans="1:17">
      <c r="A16" s="3428"/>
      <c r="B16" s="3075" t="s">
        <v>3226</v>
      </c>
      <c r="C16" s="3045" t="s">
        <v>3237</v>
      </c>
      <c r="D16">
        <v>1303.6199999999999</v>
      </c>
      <c r="E16" s="3077">
        <v>43064</v>
      </c>
      <c r="F16" s="3077">
        <v>48578</v>
      </c>
      <c r="H16">
        <f>ROUND(G16/365/D16,2)</f>
        <v>0</v>
      </c>
      <c r="J16" s="3045" t="s">
        <v>3239</v>
      </c>
    </row>
    <row r="17" spans="1:11">
      <c r="A17" s="3428"/>
      <c r="B17" s="3075" t="s">
        <v>3227</v>
      </c>
      <c r="C17" s="3045" t="s">
        <v>3237</v>
      </c>
      <c r="D17">
        <v>894.12</v>
      </c>
      <c r="G17">
        <f>130962*12</f>
        <v>1571544</v>
      </c>
      <c r="H17">
        <f>ROUND(G17/365/D17,2)</f>
        <v>4.82</v>
      </c>
      <c r="I17">
        <v>392886</v>
      </c>
      <c r="J17" s="3045" t="s">
        <v>3238</v>
      </c>
      <c r="K17" s="3045" t="s">
        <v>3240</v>
      </c>
    </row>
    <row r="18" spans="1:11">
      <c r="A18" s="3045" t="s">
        <v>3230</v>
      </c>
      <c r="B18" s="3075" t="s">
        <v>3232</v>
      </c>
      <c r="C18" s="3045" t="s">
        <v>3229</v>
      </c>
      <c r="D18">
        <v>2994.9</v>
      </c>
      <c r="E18" s="3077">
        <v>43160</v>
      </c>
      <c r="F18" s="3077">
        <v>44985</v>
      </c>
      <c r="G18">
        <v>3279415.5</v>
      </c>
      <c r="H18">
        <f>ROUND(G18/365/D18,2)</f>
        <v>3</v>
      </c>
      <c r="J18" s="3045" t="s">
        <v>3241</v>
      </c>
    </row>
    <row r="19" spans="1:11">
      <c r="A19" s="3045" t="s">
        <v>3233</v>
      </c>
      <c r="B19" s="3075" t="s">
        <v>3234</v>
      </c>
      <c r="C19" s="3045" t="s">
        <v>3228</v>
      </c>
      <c r="D19">
        <v>719</v>
      </c>
      <c r="E19" s="3077">
        <v>43070</v>
      </c>
      <c r="F19" s="3077">
        <v>48580</v>
      </c>
      <c r="G19">
        <v>258840</v>
      </c>
      <c r="H19">
        <f>ROUND(G19/365/D19,2)</f>
        <v>0.99</v>
      </c>
      <c r="I19">
        <v>21570</v>
      </c>
      <c r="J19" s="3045" t="s">
        <v>3242</v>
      </c>
    </row>
    <row r="20" spans="1:11">
      <c r="A20" s="3045" t="s">
        <v>3233</v>
      </c>
      <c r="B20" s="3075" t="s">
        <v>3236</v>
      </c>
      <c r="C20" s="3045" t="s">
        <v>3235</v>
      </c>
      <c r="D20">
        <v>7766</v>
      </c>
      <c r="E20" s="3077">
        <v>42948</v>
      </c>
      <c r="F20" s="3077">
        <v>48579</v>
      </c>
      <c r="G20">
        <v>7548552</v>
      </c>
      <c r="H20">
        <f>ROUND(G20/365/D20,2)</f>
        <v>2.66</v>
      </c>
      <c r="I20">
        <v>629046</v>
      </c>
      <c r="J20" s="3045" t="s">
        <v>3255</v>
      </c>
    </row>
    <row r="21" spans="1:11">
      <c r="B21" s="3074"/>
    </row>
  </sheetData>
  <mergeCells count="1">
    <mergeCell ref="A14:A17"/>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opLeftCell="A70" workbookViewId="0">
      <selection activeCell="M116" sqref="M116"/>
    </sheetView>
  </sheetViews>
  <sheetFormatPr defaultRowHeight="13.5"/>
  <cols>
    <col min="1" max="16384" width="9" style="3059"/>
  </cols>
  <sheetData>
    <row r="1" spans="1:16">
      <c r="A1" s="3068" t="s">
        <v>3196</v>
      </c>
      <c r="P1" s="3068" t="s">
        <v>3197</v>
      </c>
    </row>
    <row r="53" spans="16:16">
      <c r="P53" s="3068" t="s">
        <v>3198</v>
      </c>
    </row>
  </sheetData>
  <phoneticPr fontId="14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9"/>
      <c r="B3" s="3099"/>
      <c r="C3" s="3099"/>
      <c r="D3" s="963" t="s">
        <v>1603</v>
      </c>
      <c r="E3" s="963" t="s">
        <v>1609</v>
      </c>
      <c r="F3" s="963" t="s">
        <v>1603</v>
      </c>
      <c r="G3" s="963" t="s">
        <v>1604</v>
      </c>
      <c r="H3" s="963" t="s">
        <v>1603</v>
      </c>
      <c r="I3" s="963" t="s">
        <v>1604</v>
      </c>
    </row>
    <row r="4" spans="1:9" ht="15">
      <c r="A4" s="1691" t="str">
        <f>项目基本情况!S2</f>
        <v>北京市房地产</v>
      </c>
      <c r="B4" s="963">
        <f>项目基本情况!C17</f>
        <v>9820.56</v>
      </c>
      <c r="C4" s="963">
        <f>项目基本情况!C18</f>
        <v>4000.72</v>
      </c>
      <c r="D4" s="963">
        <f ca="1">结果表!D118</f>
        <v>11570</v>
      </c>
      <c r="E4" s="963">
        <f ca="1">结果表!E118</f>
        <v>11781</v>
      </c>
      <c r="F4" s="963">
        <f ca="1">结果表!F118</f>
        <v>7274</v>
      </c>
      <c r="G4" s="963">
        <f ca="1">结果表!G118</f>
        <v>7407</v>
      </c>
      <c r="H4" s="963">
        <f ca="1">结果表!H118</f>
        <v>18844</v>
      </c>
      <c r="I4" s="963">
        <f ca="1">结果表!I118</f>
        <v>19188</v>
      </c>
    </row>
    <row r="5" spans="1:9" ht="30" customHeight="1">
      <c r="A5" s="3099" t="s">
        <v>1605</v>
      </c>
      <c r="B5" s="3099"/>
      <c r="C5" s="3099"/>
      <c r="D5" s="3100" t="str">
        <f ca="1">结果表!D119</f>
        <v>壹亿壹仟伍佰柒拾万元整</v>
      </c>
      <c r="E5" s="3100"/>
      <c r="F5" s="3100" t="str">
        <f ca="1">结果表!F119</f>
        <v>柒仟贰佰柒拾肆万元整</v>
      </c>
      <c r="G5" s="3100"/>
      <c r="H5" s="3100" t="str">
        <f ca="1">结果表!H119</f>
        <v>壹亿捌仟捌佰肆拾肆万元整</v>
      </c>
      <c r="I5" s="3100"/>
    </row>
    <row r="6" spans="1:9" ht="15.75">
      <c r="A6" s="3101" t="str">
        <f>结果表!A120</f>
        <v>估价师知悉的法定优先受偿款</v>
      </c>
      <c r="B6" s="3101"/>
      <c r="C6" s="3101"/>
      <c r="D6" s="3101">
        <f>结果表!D120</f>
        <v>0</v>
      </c>
      <c r="E6" s="3101"/>
      <c r="F6" s="3101"/>
      <c r="G6" s="3101"/>
      <c r="H6" s="3101"/>
      <c r="I6" s="3101"/>
    </row>
    <row r="7" spans="1:9" ht="15">
      <c r="A7" s="3099" t="s">
        <v>1605</v>
      </c>
      <c r="B7" s="3099"/>
      <c r="C7" s="3099"/>
      <c r="D7" s="3102" t="str">
        <f>结果表!D121</f>
        <v>零元整</v>
      </c>
      <c r="E7" s="3103"/>
      <c r="F7" s="3103"/>
      <c r="G7" s="3103"/>
      <c r="H7" s="3103"/>
      <c r="I7" s="3104"/>
    </row>
    <row r="8" spans="1:9" ht="15.75">
      <c r="A8" s="3101" t="str">
        <f>结果表!A122</f>
        <v>房地产抵押价值</v>
      </c>
      <c r="B8" s="3101"/>
      <c r="C8" s="3101"/>
      <c r="D8" s="3101">
        <f ca="1">结果表!D122</f>
        <v>18844</v>
      </c>
      <c r="E8" s="3101"/>
      <c r="F8" s="3101"/>
      <c r="G8" s="3101"/>
      <c r="H8" s="3101"/>
      <c r="I8" s="3101"/>
    </row>
    <row r="9" spans="1:9" ht="15">
      <c r="A9" s="3099" t="s">
        <v>1605</v>
      </c>
      <c r="B9" s="3099"/>
      <c r="C9" s="3099"/>
      <c r="D9" s="3100" t="str">
        <f ca="1">结果表!D123</f>
        <v>壹亿捌仟捌佰肆拾肆万元整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1605</v>
      </c>
      <c r="B11" s="3099"/>
      <c r="C11" s="3099"/>
      <c r="D11" s="3100" t="e">
        <f>结果表!D125</f>
        <v>#VALUE!</v>
      </c>
      <c r="E11" s="3100"/>
      <c r="F11" s="3100"/>
      <c r="G11" s="3100"/>
      <c r="H11" s="3100"/>
      <c r="I11" s="3100"/>
    </row>
    <row r="12" spans="1:9" ht="15.75">
      <c r="A12" s="3101" t="str">
        <f>结果表!A126</f>
        <v/>
      </c>
      <c r="B12" s="3101"/>
      <c r="C12" s="3101"/>
      <c r="D12" s="3101" t="str">
        <f>结果表!D126</f>
        <v>——</v>
      </c>
      <c r="E12" s="3101"/>
      <c r="F12" s="3101"/>
      <c r="G12" s="3101"/>
      <c r="H12" s="3101"/>
      <c r="I12" s="3101"/>
    </row>
    <row r="13" spans="1:9" ht="15.75" thickBot="1">
      <c r="A13" s="3105" t="s">
        <v>1605</v>
      </c>
      <c r="B13" s="3105"/>
      <c r="C13" s="3105"/>
      <c r="D13" s="3106" t="e">
        <f>结果表!D127</f>
        <v>#VALUE!</v>
      </c>
      <c r="E13" s="3106"/>
      <c r="F13" s="3106"/>
      <c r="G13" s="3106"/>
      <c r="H13" s="3106"/>
      <c r="I13" s="3106"/>
    </row>
    <row r="14" spans="1:9" ht="15" thickTop="1">
      <c r="A14" s="3107" t="s">
        <v>1610</v>
      </c>
      <c r="B14" s="3107"/>
      <c r="C14" s="3107"/>
      <c r="D14" s="3107"/>
      <c r="E14" s="3107"/>
      <c r="F14" s="3107"/>
      <c r="G14" s="3107"/>
      <c r="H14" s="3107"/>
      <c r="I14" s="3107"/>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8" t="s">
        <v>1627</v>
      </c>
      <c r="B1" s="3108"/>
      <c r="C1" s="3108"/>
      <c r="D1" s="3108"/>
    </row>
    <row r="2" spans="1:4" ht="18">
      <c r="A2" s="3109" t="s">
        <v>1611</v>
      </c>
      <c r="B2" s="3109"/>
      <c r="C2" s="3109"/>
      <c r="D2" s="3109"/>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9" t="s">
        <v>1617</v>
      </c>
      <c r="B6" s="3109"/>
      <c r="C6" s="3109"/>
      <c r="D6" s="3109"/>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10"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11" t="str">
        <f>IF(项目基本情况!B8="抵押","4.本次评估估价师所知悉的法定优先受偿款情况说明如下：","——")</f>
        <v>4.本次评估估价师所知悉的法定优先受偿款情况说明如下：</v>
      </c>
      <c r="B14" s="3112"/>
      <c r="C14" s="3112"/>
      <c r="D14" s="3112"/>
    </row>
    <row r="15" spans="1:4" ht="42" customHeight="1">
      <c r="A15" s="31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4" t="s">
        <v>1621</v>
      </c>
      <c r="B16" s="3114"/>
      <c r="C16" s="3114"/>
      <c r="D16" s="3114"/>
    </row>
    <row r="17" spans="1:4" ht="144" customHeight="1">
      <c r="A17" s="3114" t="s">
        <v>1622</v>
      </c>
      <c r="B17" s="3114"/>
      <c r="C17" s="3114"/>
      <c r="D17" s="3114"/>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5"/>
      <c r="C21" s="3115"/>
      <c r="D21" s="3115"/>
    </row>
    <row r="22" spans="1:4" ht="18.75" customHeight="1">
      <c r="A22" s="3116" t="s">
        <v>1623</v>
      </c>
      <c r="B22" s="3116"/>
      <c r="C22" s="3116"/>
      <c r="D22" s="3116"/>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3">
        <v>42551</v>
      </c>
      <c r="D31" s="31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2" t="s">
        <v>1634</v>
      </c>
      <c r="B15" s="3117" t="s">
        <v>136</v>
      </c>
      <c r="C15" s="3118"/>
    </row>
    <row r="16" spans="1:7" ht="13.5">
      <c r="A16" s="3123"/>
      <c r="B16" s="3117" t="s">
        <v>69</v>
      </c>
      <c r="C16" s="3118"/>
    </row>
    <row r="17" spans="1:3" ht="13.5">
      <c r="A17" s="3123"/>
      <c r="B17" s="3120" t="s">
        <v>1635</v>
      </c>
      <c r="C17" s="1718" t="s">
        <v>1634</v>
      </c>
    </row>
    <row r="18" spans="1:3" ht="13.5">
      <c r="A18" s="3123"/>
      <c r="B18" s="3120"/>
      <c r="C18" s="1718" t="s">
        <v>1636</v>
      </c>
    </row>
    <row r="19" spans="1:3" ht="13.5">
      <c r="A19" s="3123"/>
      <c r="B19" s="3120"/>
      <c r="C19" s="1718" t="s">
        <v>1637</v>
      </c>
    </row>
    <row r="20" spans="1:3" ht="13.5">
      <c r="A20" s="3124"/>
      <c r="B20" s="3119" t="s">
        <v>1638</v>
      </c>
      <c r="C20" s="3118"/>
    </row>
    <row r="21" spans="1:3" ht="13.5">
      <c r="A21" s="1719" t="s">
        <v>1639</v>
      </c>
      <c r="B21" s="1720"/>
      <c r="C21" s="1721"/>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8" t="s">
        <v>1645</v>
      </c>
    </row>
    <row r="26" spans="1:3" ht="13.5">
      <c r="A26" s="3121"/>
      <c r="B26" s="3120"/>
      <c r="C26" s="1718" t="s">
        <v>1646</v>
      </c>
    </row>
    <row r="27" spans="1:3" ht="13.5">
      <c r="A27" s="3121"/>
      <c r="B27" s="3120"/>
      <c r="C27" s="1718" t="s">
        <v>1647</v>
      </c>
    </row>
    <row r="28" spans="1:3" ht="13.5">
      <c r="A28" s="3121"/>
      <c r="B28" s="3120"/>
      <c r="C28" s="1718" t="s">
        <v>1648</v>
      </c>
    </row>
    <row r="29" spans="1:3" ht="13.5">
      <c r="A29" s="3121"/>
      <c r="B29" s="3120"/>
      <c r="C29" s="1718" t="s">
        <v>1649</v>
      </c>
    </row>
    <row r="30" spans="1:3" ht="13.5">
      <c r="A30" s="3121"/>
      <c r="B30" s="3120"/>
      <c r="C30" s="1718" t="s">
        <v>1650</v>
      </c>
    </row>
    <row r="31" spans="1:3" ht="13.5">
      <c r="A31" s="3121"/>
      <c r="B31" s="3120"/>
      <c r="C31" s="1718" t="s">
        <v>1651</v>
      </c>
    </row>
    <row r="32" spans="1:3" ht="13.5">
      <c r="A32" s="3121"/>
      <c r="B32" s="3120"/>
      <c r="C32" s="1718" t="s">
        <v>1652</v>
      </c>
    </row>
    <row r="33" spans="1:3" ht="13.5">
      <c r="A33" s="3121"/>
      <c r="B33" s="3120"/>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2879</v>
      </c>
      <c r="B2" s="2563">
        <f ca="1">TODAY()</f>
        <v>44168</v>
      </c>
      <c r="C2" s="2564" t="s">
        <v>2880</v>
      </c>
      <c r="D2" s="2564"/>
      <c r="E2" s="2564"/>
      <c r="F2" s="2560"/>
      <c r="G2" s="2560"/>
      <c r="H2" s="2560"/>
    </row>
    <row r="3" spans="1:8" ht="24" customHeight="1">
      <c r="A3" s="2565" t="s">
        <v>2881</v>
      </c>
      <c r="B3" s="2566" t="s">
        <v>2882</v>
      </c>
      <c r="C3" s="2566" t="s">
        <v>2883</v>
      </c>
      <c r="D3" s="2567" t="s">
        <v>2884</v>
      </c>
      <c r="E3" s="2568" t="s">
        <v>2885</v>
      </c>
      <c r="F3" s="1473" t="s">
        <v>2886</v>
      </c>
      <c r="G3" s="2566" t="s">
        <v>2883</v>
      </c>
      <c r="H3" s="2567" t="s">
        <v>2887</v>
      </c>
    </row>
    <row r="4" spans="1:8" ht="24" customHeight="1">
      <c r="A4" s="1473" t="s">
        <v>2888</v>
      </c>
      <c r="B4" s="1473">
        <f ca="1">IF(C4&lt;B2,"已过期",1119970066)</f>
        <v>1119970066</v>
      </c>
      <c r="C4" s="2569">
        <v>44876</v>
      </c>
      <c r="D4" s="2570" t="str">
        <f ca="1">A4&amp;"（注册号："&amp;B4&amp;"）"</f>
        <v>梁津（注册号：1119970066）</v>
      </c>
      <c r="E4" s="2571" t="s">
        <v>2888</v>
      </c>
      <c r="F4" s="1473">
        <f ca="1">IF(G4&lt;B2,"已过期",96010014)</f>
        <v>96010014</v>
      </c>
      <c r="G4" s="2572">
        <v>47118</v>
      </c>
      <c r="H4" s="2573" t="str">
        <f ca="1">E4&amp;"（注册号："&amp;F4&amp;"）"</f>
        <v>梁津（注册号：96010014）</v>
      </c>
    </row>
    <row r="5" spans="1:8" ht="24" customHeight="1">
      <c r="A5" s="1473" t="s">
        <v>2889</v>
      </c>
      <c r="B5" s="1473">
        <f ca="1">IF(C5&lt;B2,"已过期",1119970111)</f>
        <v>1119970111</v>
      </c>
      <c r="C5" s="2569">
        <v>44876</v>
      </c>
      <c r="D5" s="2570" t="str">
        <f t="shared" ref="D5:D15" ca="1" si="0">A5&amp;"（注册号："&amp;B5&amp;"）"</f>
        <v>叶凌（注册号：1119970111）</v>
      </c>
      <c r="E5" s="2571" t="s">
        <v>2889</v>
      </c>
      <c r="F5" s="1473">
        <f ca="1">IF(G5&lt;B2,"已过期",94010078)</f>
        <v>94010078</v>
      </c>
      <c r="G5" s="2572">
        <v>46387</v>
      </c>
      <c r="H5" s="2573" t="str">
        <f t="shared" ref="H5:H16" ca="1" si="1">E5&amp;"（注册号："&amp;F5&amp;"）"</f>
        <v>叶凌（注册号：94010078）</v>
      </c>
    </row>
    <row r="6" spans="1:8" ht="24" customHeight="1">
      <c r="A6" s="1473" t="s">
        <v>2890</v>
      </c>
      <c r="B6" s="1473">
        <f ca="1">IF(C6&lt;B2,"已过期",1120050019)</f>
        <v>1120050019</v>
      </c>
      <c r="C6" s="2569">
        <v>44395</v>
      </c>
      <c r="D6" s="2570" t="str">
        <f t="shared" ca="1" si="0"/>
        <v>王鹏（注册号：1120050019）</v>
      </c>
      <c r="E6" s="2571" t="s">
        <v>2890</v>
      </c>
      <c r="F6" s="1473">
        <f ca="1">IF(G6&lt;B2,"已过期",2002110030)</f>
        <v>2002110030</v>
      </c>
      <c r="G6" s="2572">
        <v>46387</v>
      </c>
      <c r="H6" s="2573" t="str">
        <f t="shared" ca="1" si="1"/>
        <v>王鹏（注册号：2002110030）</v>
      </c>
    </row>
    <row r="7" spans="1:8" ht="24" customHeight="1">
      <c r="A7" s="1473" t="s">
        <v>2891</v>
      </c>
      <c r="B7" s="1473">
        <f ca="1">IF(C7&lt;B2,"已过期",1120000080)</f>
        <v>1120000080</v>
      </c>
      <c r="C7" s="2569">
        <v>44876</v>
      </c>
      <c r="D7" s="2570" t="str">
        <f t="shared" ca="1" si="0"/>
        <v>欧红伟（注册号：1120000080）</v>
      </c>
      <c r="E7" s="2571" t="s">
        <v>2891</v>
      </c>
      <c r="F7" s="1473">
        <f ca="1">IF(G7&lt;B2,"已过期",2000110082)</f>
        <v>2000110082</v>
      </c>
      <c r="G7" s="2572">
        <v>46387</v>
      </c>
      <c r="H7" s="2573" t="str">
        <f t="shared" ca="1" si="1"/>
        <v>欧红伟（注册号：2000110082）</v>
      </c>
    </row>
    <row r="8" spans="1:8" ht="24" customHeight="1">
      <c r="A8" s="1473" t="s">
        <v>2892</v>
      </c>
      <c r="B8" s="1473">
        <f ca="1">IF(C8&lt;B2,"已过期",1419970001)</f>
        <v>1419970001</v>
      </c>
      <c r="C8" s="2569">
        <v>44899</v>
      </c>
      <c r="D8" s="2570" t="str">
        <f t="shared" ca="1" si="0"/>
        <v>吴薇（注册号：1419970001）</v>
      </c>
      <c r="E8" s="2571" t="s">
        <v>2892</v>
      </c>
      <c r="F8" s="1473">
        <f ca="1">IF(G8&lt;B2,"已过期",2002110125)</f>
        <v>2002110125</v>
      </c>
      <c r="G8" s="2572">
        <v>47118</v>
      </c>
      <c r="H8" s="2573" t="str">
        <f t="shared" ca="1" si="1"/>
        <v>吴薇（注册号：2002110125）</v>
      </c>
    </row>
    <row r="9" spans="1:8" ht="24" customHeight="1">
      <c r="A9" s="1473" t="s">
        <v>2893</v>
      </c>
      <c r="B9" s="1473">
        <f ca="1">IF(C9&lt;B2,"已过期",1120060040)</f>
        <v>1120060040</v>
      </c>
      <c r="C9" s="2574">
        <v>44554</v>
      </c>
      <c r="D9" s="2570" t="str">
        <f t="shared" ca="1" si="0"/>
        <v>陈颖（注册号：1120060040）</v>
      </c>
      <c r="E9" s="2571" t="s">
        <v>2893</v>
      </c>
      <c r="F9" s="1473">
        <f ca="1">IF(G9&lt;B2,"已过期",2004110096)</f>
        <v>2004110096</v>
      </c>
      <c r="G9" s="2572">
        <v>47118</v>
      </c>
      <c r="H9" s="2573" t="str">
        <f t="shared" ca="1" si="1"/>
        <v>陈颖（注册号：2004110096）</v>
      </c>
    </row>
    <row r="10" spans="1:8" ht="24" customHeight="1">
      <c r="A10" s="1473" t="s">
        <v>2894</v>
      </c>
      <c r="B10" s="1473">
        <f ca="1">IF(C10&lt;B2,"已过期",1120100036)</f>
        <v>1120100036</v>
      </c>
      <c r="C10" s="2574">
        <v>44675</v>
      </c>
      <c r="D10" s="2570" t="str">
        <f t="shared" ca="1" si="0"/>
        <v>崔锴（注册号：1120100036）</v>
      </c>
      <c r="E10" s="2571" t="s">
        <v>2894</v>
      </c>
      <c r="F10" s="1473">
        <f ca="1">IF(G10&lt;B2,"已过期",2010110070)</f>
        <v>2010110070</v>
      </c>
      <c r="G10" s="2572">
        <v>47907</v>
      </c>
      <c r="H10" s="2573" t="str">
        <f t="shared" ca="1" si="1"/>
        <v>崔锴（注册号：2010110070）</v>
      </c>
    </row>
    <row r="11" spans="1:8" ht="24" customHeight="1">
      <c r="A11" s="1473" t="s">
        <v>2895</v>
      </c>
      <c r="B11" s="1473">
        <f ca="1">IF(C11&lt;B2,"已过期",1120070131)</f>
        <v>1120070131</v>
      </c>
      <c r="C11" s="2569">
        <v>44849</v>
      </c>
      <c r="D11" s="2570" t="str">
        <f t="shared" ca="1" si="0"/>
        <v>郑燚（注册号：1120070131）</v>
      </c>
      <c r="E11" s="2571" t="s">
        <v>2895</v>
      </c>
      <c r="F11" s="1473">
        <f ca="1">IF(G11&lt;B2,"已过期",2014110011)</f>
        <v>2014110011</v>
      </c>
      <c r="G11" s="2572">
        <v>49302</v>
      </c>
      <c r="H11" s="2573" t="str">
        <f t="shared" ca="1" si="1"/>
        <v>郑燚（注册号：2014110011）</v>
      </c>
    </row>
    <row r="12" spans="1:8" ht="24" customHeight="1">
      <c r="A12" s="1473" t="s">
        <v>2896</v>
      </c>
      <c r="B12" s="1473">
        <f ca="1">IF(C12&lt;B2,"已过期",1120040230)</f>
        <v>1120040230</v>
      </c>
      <c r="C12" s="2574">
        <v>44864</v>
      </c>
      <c r="D12" s="2570" t="str">
        <f t="shared" ca="1" si="0"/>
        <v>苏海（注册号：1120040230）</v>
      </c>
      <c r="E12" s="2571" t="s">
        <v>2896</v>
      </c>
      <c r="F12" s="1473">
        <f ca="1">IF(G12&lt;B2,"已过期",98030020)</f>
        <v>98030020</v>
      </c>
      <c r="G12" s="2572">
        <v>47118</v>
      </c>
      <c r="H12" s="2573" t="str">
        <f t="shared" ca="1" si="1"/>
        <v>苏海（注册号：98030020）</v>
      </c>
    </row>
    <row r="13" spans="1:8" ht="24" customHeight="1">
      <c r="A13" s="1473" t="s">
        <v>2897</v>
      </c>
      <c r="B13" s="1473">
        <f ca="1">IF(C13&lt;B2,"已过期",1120020033)</f>
        <v>1120020033</v>
      </c>
      <c r="C13" s="2569">
        <v>44339</v>
      </c>
      <c r="D13" s="2570" t="str">
        <f t="shared" ca="1" si="0"/>
        <v>刘敬东（注册号：1120020033）</v>
      </c>
      <c r="E13" s="2571" t="s">
        <v>2897</v>
      </c>
      <c r="F13" s="1473">
        <f ca="1">IF(G13&lt;B2,"已过期",2000110137)</f>
        <v>2000110137</v>
      </c>
      <c r="G13" s="2572">
        <v>46387</v>
      </c>
      <c r="H13" s="2573" t="str">
        <f t="shared" ca="1" si="1"/>
        <v>刘敬东（注册号：2000110137）</v>
      </c>
    </row>
    <row r="14" spans="1:8" ht="24" customHeight="1">
      <c r="A14" s="1473" t="s">
        <v>2898</v>
      </c>
      <c r="B14" s="1473">
        <f ca="1">IF(C14&lt;B2,"已过期",1119980106)</f>
        <v>1119980106</v>
      </c>
      <c r="C14" s="2574">
        <v>44969</v>
      </c>
      <c r="D14" s="2570" t="str">
        <f t="shared" ca="1" si="0"/>
        <v>刘俊财（注册号：1119980106）</v>
      </c>
      <c r="E14" s="2571" t="s">
        <v>2898</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2899</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5" t="s">
        <v>2900</v>
      </c>
      <c r="B17" s="3125"/>
      <c r="C17" s="3125"/>
      <c r="D17" s="3125"/>
      <c r="E17" s="3125"/>
      <c r="F17" s="3125"/>
      <c r="G17" s="3125"/>
      <c r="H17" s="3125"/>
    </row>
    <row r="18" spans="1:8" ht="24" customHeight="1">
      <c r="A18" s="3126" t="s">
        <v>2901</v>
      </c>
      <c r="B18" s="3126"/>
      <c r="C18" s="3126"/>
      <c r="D18" s="2567"/>
      <c r="E18" s="3127" t="s">
        <v>2902</v>
      </c>
      <c r="F18" s="3126"/>
      <c r="G18" s="3126"/>
    </row>
    <row r="19" spans="1:8" s="2578" customFormat="1" ht="24" customHeight="1">
      <c r="A19" s="2577" t="s">
        <v>2903</v>
      </c>
      <c r="B19" s="2566" t="s">
        <v>2904</v>
      </c>
      <c r="C19" s="2566" t="s">
        <v>2883</v>
      </c>
      <c r="D19" s="2567"/>
      <c r="E19" s="2571" t="s">
        <v>2903</v>
      </c>
      <c r="F19" s="2566" t="s">
        <v>2904</v>
      </c>
      <c r="G19" s="2566" t="s">
        <v>2883</v>
      </c>
    </row>
    <row r="20" spans="1:8" s="2578" customFormat="1" ht="24" customHeight="1">
      <c r="A20" s="2579" t="s">
        <v>2905</v>
      </c>
      <c r="B20" s="2579" t="s">
        <v>2906</v>
      </c>
      <c r="C20" s="2572">
        <v>44820</v>
      </c>
      <c r="D20" s="2580"/>
      <c r="E20" s="2581" t="s">
        <v>2907</v>
      </c>
      <c r="F20" s="2579" t="s">
        <v>2908</v>
      </c>
      <c r="G20" s="2582">
        <v>44377</v>
      </c>
    </row>
    <row r="21" spans="1:8" s="2578" customFormat="1" ht="24" customHeight="1">
      <c r="A21" s="2579"/>
      <c r="B21" s="2579"/>
      <c r="C21" s="2583"/>
      <c r="D21" s="2584"/>
      <c r="E21" s="2581" t="s">
        <v>2909</v>
      </c>
      <c r="F21" s="2585" t="s">
        <v>2910</v>
      </c>
      <c r="G21" s="2586">
        <v>44012</v>
      </c>
    </row>
    <row r="22" spans="1:8" ht="24" customHeight="1">
      <c r="C22" s="2587"/>
      <c r="D22" s="2587"/>
      <c r="E22" s="2588"/>
      <c r="F22" s="2589"/>
      <c r="G22" s="2590" t="s">
        <v>2911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收益法</vt:lpstr>
      <vt:lpstr>成本法</vt:lpstr>
      <vt:lpstr>成本法 (元)</vt:lpstr>
      <vt:lpstr>假设开发法</vt:lpstr>
      <vt:lpstr>收益法 (元)</vt:lpstr>
      <vt:lpstr>收益法（汇总）</vt:lpstr>
      <vt:lpstr>酒店收入计算</vt:lpstr>
      <vt:lpstr>比较法-住宅</vt:lpstr>
      <vt:lpstr>比较法-商业</vt:lpstr>
      <vt:lpstr>基准地价修正</vt:lpstr>
      <vt:lpstr>土地比较法-住宅、综合</vt:lpstr>
      <vt:lpstr>土地案例</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面积指标</vt:lpstr>
      <vt:lpstr>中指成交数据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2020-12-03T08:14:42Z</dcterms:modified>
</cp:coreProperties>
</file>