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4光华路\F01-3203\"/>
    </mc:Choice>
  </mc:AlternateContent>
  <xr:revisionPtr revIDLastSave="0" documentId="13_ncr:1_{3A1A64FD-C8AC-4562-B293-5F01892B0208}" xr6:coauthVersionLast="45" xr6:coauthVersionMax="45" xr10:uidLastSave="{00000000-0000-0000-0000-000000000000}"/>
  <bookViews>
    <workbookView xWindow="0" yWindow="0" windowWidth="16590" windowHeight="129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59" i="21" l="1"/>
  <c r="R59" i="21"/>
  <c r="Q59" i="21"/>
  <c r="P59" i="21"/>
  <c r="O59" i="21"/>
  <c r="N59" i="21"/>
  <c r="M59" i="21"/>
  <c r="L59" i="21"/>
  <c r="K59" i="21"/>
  <c r="J59" i="21"/>
  <c r="I59" i="21"/>
  <c r="H59" i="21"/>
  <c r="T17" i="81"/>
  <c r="T18" i="81"/>
  <c r="T19" i="81"/>
  <c r="T20" i="81"/>
  <c r="S17" i="81"/>
  <c r="S18" i="81"/>
  <c r="S19" i="81"/>
  <c r="S20" i="81"/>
  <c r="S21" i="81"/>
  <c r="T21" i="81" s="1"/>
  <c r="S22" i="81"/>
  <c r="T22" i="81"/>
  <c r="T23" i="81"/>
  <c r="S23" i="81"/>
  <c r="B14" i="74" l="1"/>
  <c r="U9" i="81" l="1"/>
  <c r="U8" i="81"/>
  <c r="U7" i="81"/>
  <c r="R6" i="81"/>
  <c r="P58" i="21"/>
  <c r="Q58" i="21"/>
  <c r="R58" i="21" s="1"/>
  <c r="S58" i="21" s="1"/>
  <c r="T58" i="21" s="1"/>
  <c r="U58" i="21" s="1"/>
  <c r="I7" i="21"/>
  <c r="G7" i="21"/>
  <c r="E7" i="21"/>
  <c r="D3" i="4"/>
  <c r="R5" i="81"/>
  <c r="R4" i="81"/>
  <c r="I28" i="21"/>
  <c r="G28" i="21"/>
  <c r="E28" i="21"/>
  <c r="E33" i="21"/>
  <c r="G33" i="21"/>
  <c r="I33" i="21"/>
  <c r="I47" i="21"/>
  <c r="G47" i="21"/>
  <c r="E47" i="21"/>
  <c r="D33" i="43" l="1"/>
  <c r="D14" i="9"/>
  <c r="C33" i="21" l="1"/>
  <c r="R3" i="81"/>
  <c r="N22" i="1"/>
  <c r="N6" i="1" s="1"/>
  <c r="M21" i="1"/>
  <c r="F19" i="6"/>
  <c r="I5" i="21"/>
  <c r="G5" i="21"/>
  <c r="E5" i="21"/>
  <c r="Y6" i="1" l="1"/>
  <c r="C37"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37" i="21" l="1"/>
  <c r="E37" i="21"/>
  <c r="G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J26" i="21"/>
  <c r="W26" i="21" s="1"/>
  <c r="F26" i="21"/>
  <c r="S26" i="21" s="1"/>
  <c r="S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1" i="39"/>
  <c r="H11" i="39"/>
  <c r="S40"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U26"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1" i="21"/>
  <c r="AB39"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A26" i="21"/>
  <c r="AB14" i="21"/>
  <c r="AB46" i="21"/>
  <c r="AB31" i="21"/>
  <c r="U31" i="21"/>
  <c r="S35" i="21"/>
  <c r="J37" i="21"/>
  <c r="W37" i="21" s="1"/>
  <c r="H15" i="21"/>
  <c r="U15" i="21" s="1"/>
  <c r="J17" i="21"/>
  <c r="AC17" i="21" s="1"/>
  <c r="AC14" i="21"/>
  <c r="W30" i="21"/>
  <c r="S46" i="21"/>
  <c r="H45" i="21"/>
  <c r="U45" i="21"/>
  <c r="F29" i="21"/>
  <c r="S29" i="21"/>
  <c r="F13" i="21"/>
  <c r="AA13" i="21" s="1"/>
  <c r="H32" i="21"/>
  <c r="AB32" i="21" s="1"/>
  <c r="H9" i="21"/>
  <c r="J9" i="21"/>
  <c r="J32" i="21"/>
  <c r="W32" i="21" s="1"/>
  <c r="F32" i="21"/>
  <c r="AA32" i="21" s="1"/>
  <c r="AA31" i="21"/>
  <c r="U17" i="21"/>
  <c r="W29" i="21"/>
  <c r="S9" i="21"/>
  <c r="AA9" i="21"/>
  <c r="K141" i="21"/>
  <c r="K144" i="21"/>
  <c r="K143" i="21"/>
  <c r="AB25" i="21"/>
  <c r="AB44" i="21"/>
  <c r="AA30" i="21"/>
  <c r="W13" i="21"/>
  <c r="AC45" i="21"/>
  <c r="F10" i="21"/>
  <c r="AA10" i="21" s="1"/>
  <c r="K145" i="21"/>
  <c r="W25" i="21"/>
  <c r="AA29" i="21"/>
  <c r="W31" i="21"/>
  <c r="S1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AB9" i="21"/>
  <c r="U9"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D16" i="53"/>
  <c r="B34" i="72" s="1"/>
  <c r="H112" i="9"/>
  <c r="D21" i="53"/>
  <c r="B39" i="72" s="1"/>
  <c r="H111" i="9"/>
  <c r="D126" i="9" s="1"/>
  <c r="D19" i="53"/>
  <c r="B38" i="72" s="1"/>
  <c r="AD3" i="71"/>
  <c r="J1" i="73"/>
  <c r="H69"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B8" i="76"/>
  <c r="F6" i="73"/>
  <c r="M26" i="15"/>
  <c r="F6" i="15"/>
  <c r="F8" i="67"/>
  <c r="M29" i="15"/>
  <c r="F3" i="73"/>
  <c r="F40" i="67"/>
  <c r="E2" i="68"/>
  <c r="B9" i="76"/>
  <c r="E7" i="76"/>
  <c r="F13" i="67"/>
  <c r="M6" i="15"/>
  <c r="L48" i="67"/>
  <c r="F16" i="67"/>
  <c r="F36" i="15"/>
  <c r="F7" i="15"/>
  <c r="F36" i="67"/>
  <c r="M23" i="67"/>
  <c r="F4" i="73"/>
  <c r="M23" i="15"/>
  <c r="M8" i="67"/>
  <c r="M9" i="67"/>
  <c r="B12" i="76"/>
  <c r="F5" i="73"/>
  <c r="L47" i="15"/>
  <c r="M24" i="67"/>
  <c r="F40" i="15"/>
  <c r="C76" i="67"/>
  <c r="E10" i="76"/>
  <c r="F42" i="15"/>
  <c r="E2" i="69"/>
  <c r="F26" i="67"/>
  <c r="L48" i="15"/>
  <c r="M22" i="15"/>
  <c r="F9" i="15"/>
  <c r="F42" i="67"/>
  <c r="F43" i="15"/>
  <c r="F7" i="73"/>
  <c r="F8" i="15"/>
  <c r="B11" i="76"/>
  <c r="E11" i="76"/>
  <c r="M28" i="67"/>
  <c r="M9" i="15"/>
  <c r="AO13" i="1"/>
  <c r="E13" i="76"/>
  <c r="D34" i="9"/>
  <c r="M6" i="67"/>
  <c r="L47" i="67"/>
  <c r="F38" i="15"/>
  <c r="M28" i="15"/>
  <c r="F9" i="67"/>
  <c r="J15" i="15"/>
  <c r="E8" i="76"/>
  <c r="M24" i="15"/>
  <c r="M29" i="67"/>
  <c r="M22" i="67"/>
  <c r="D35" i="9"/>
  <c r="E12" i="76"/>
  <c r="F37" i="67"/>
  <c r="F6" i="67"/>
  <c r="M8" i="15"/>
  <c r="B7" i="76"/>
  <c r="E9" i="76"/>
  <c r="C76" i="15"/>
  <c r="J15" i="67"/>
  <c r="F38" i="67"/>
  <c r="F20" i="31"/>
  <c r="F13" i="15"/>
  <c r="B10" i="76"/>
  <c r="F16" i="15"/>
  <c r="B13" i="76"/>
  <c r="M26" i="67"/>
  <c r="F26" i="15"/>
  <c r="F7" i="67"/>
  <c r="F37" i="15"/>
  <c r="F43" i="67"/>
  <c r="C27" i="39" l="1"/>
  <c r="B76" i="43"/>
  <c r="C15" i="39"/>
  <c r="AC35" i="21"/>
  <c r="U35" i="21"/>
  <c r="S37" i="21"/>
  <c r="AA36" i="21"/>
  <c r="S40" i="21"/>
  <c r="U40" i="21"/>
  <c r="AC40" i="21"/>
  <c r="S39" i="21"/>
  <c r="AC38" i="21"/>
  <c r="AB38" i="21"/>
  <c r="U34" i="21"/>
  <c r="U32"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122" i="3"/>
  <c r="E453"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7" i="73"/>
  <c r="D4" i="73"/>
  <c r="D6" i="73"/>
  <c r="D3" i="73"/>
  <c r="C16" i="15"/>
  <c r="C16" i="67"/>
  <c r="AB12" i="21" l="1"/>
  <c r="U12" i="21"/>
  <c r="F7" i="36"/>
  <c r="J7" i="37"/>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G38" i="43" l="1"/>
  <c r="I38" i="43" s="1"/>
  <c r="E37" i="43"/>
  <c r="C30" i="43" s="1"/>
  <c r="B2" i="43" s="1"/>
  <c r="B3"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E48" i="21"/>
  <c r="F7" i="35"/>
  <c r="F35" i="15"/>
  <c r="F35" i="67"/>
  <c r="M21" i="67"/>
  <c r="M21" i="15"/>
  <c r="U37" i="21" l="1"/>
  <c r="AB37" i="21"/>
  <c r="T48" i="21"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G42" i="35"/>
  <c r="H42" i="35" s="1"/>
  <c r="G43" i="35"/>
  <c r="H43" i="35" s="1"/>
  <c r="I53" i="21"/>
  <c r="J53" i="21" s="1"/>
  <c r="K65" i="40"/>
  <c r="L63" i="40"/>
  <c r="I42" i="35"/>
  <c r="J42" i="35" s="1"/>
  <c r="G48" i="21" l="1"/>
  <c r="R49" i="2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21" l="1"/>
  <c r="C49" i="21"/>
  <c r="G52" i="21"/>
  <c r="H52" i="21" s="1"/>
  <c r="G53" i="21"/>
  <c r="H53" i="21" s="1"/>
  <c r="E53" i="21"/>
  <c r="F53" i="21" s="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L57" i="67" l="1"/>
  <c r="L60" i="67" s="1"/>
  <c r="L46" i="67" s="1"/>
  <c r="Q67" i="67"/>
  <c r="D102" i="9"/>
  <c r="D21" i="9"/>
  <c r="B3" i="21"/>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C19" i="9"/>
  <c r="D2" i="34"/>
  <c r="D20" i="9"/>
  <c r="D2" i="36"/>
  <c r="D2" i="35"/>
  <c r="Q66" i="67" l="1"/>
  <c r="Q75" i="67" s="1"/>
  <c r="Q57" i="67"/>
  <c r="Q62" i="67" s="1"/>
  <c r="D103" i="9"/>
  <c r="D22" i="9"/>
  <c r="C102" i="9"/>
  <c r="G19" i="9"/>
  <c r="G21" i="9" s="1"/>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9" i="1"/>
  <c r="AO11" i="1"/>
  <c r="AO6" i="1"/>
  <c r="AO10" i="1"/>
  <c r="AO8" i="1"/>
  <c r="AO7" i="1"/>
  <c r="AO12" i="1"/>
  <c r="G20" i="9" l="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23"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B5" i="74" l="1"/>
  <c r="D5" i="74" l="1"/>
  <c r="F14" i="74"/>
  <c r="C86" i="9"/>
  <c r="C93" i="9"/>
  <c r="B32" i="72"/>
  <c r="D14" i="53"/>
  <c r="H5" i="52"/>
  <c r="H119" i="9"/>
  <c r="M55" i="9"/>
  <c r="D59" i="9"/>
  <c r="D9" i="52"/>
  <c r="D123" i="9"/>
  <c r="E97" i="9"/>
  <c r="E96" i="9"/>
  <c r="C96" i="9"/>
  <c r="B48" i="72"/>
  <c r="E4" i="52"/>
  <c r="B47" i="72"/>
  <c r="D4" i="52"/>
  <c r="C5" i="74"/>
  <c r="N60" i="9"/>
  <c r="N59" i="9"/>
  <c r="N61" i="9"/>
  <c r="E118" i="9"/>
  <c r="D118" i="9"/>
  <c r="D119" i="9"/>
  <c r="D5" i="52"/>
  <c r="B49" i="72"/>
  <c r="I4" i="52"/>
  <c r="C105" i="9"/>
  <c r="D122" i="9"/>
  <c r="D8" i="52"/>
  <c r="B20" i="72"/>
  <c r="B31" i="72"/>
  <c r="D15" i="53"/>
  <c r="D52" i="9"/>
  <c r="D53" i="9"/>
  <c r="C104" i="9"/>
  <c r="H4" i="52"/>
  <c r="D13" i="53"/>
  <c r="B30" i="72"/>
  <c r="H107" i="9"/>
  <c r="H108" i="9"/>
  <c r="C6" i="74"/>
  <c r="F119" i="9"/>
  <c r="F5" i="52"/>
  <c r="B53" i="72"/>
  <c r="C85" i="9"/>
  <c r="C95" i="9"/>
  <c r="C97" i="9"/>
  <c r="D58" i="9"/>
  <c r="D56" i="9"/>
  <c r="M54" i="9"/>
  <c r="G4" i="52"/>
  <c r="B52" i="72"/>
  <c r="H102" i="9"/>
  <c r="D7" i="53"/>
  <c r="B21" i="72"/>
  <c r="C80" i="9"/>
  <c r="E80" i="9"/>
  <c r="E81" i="9"/>
  <c r="C72" i="9"/>
  <c r="C79" i="9"/>
  <c r="C81" i="9"/>
  <c r="C64" i="9"/>
  <c r="C63" i="9"/>
  <c r="C67" i="9"/>
  <c r="C68" i="9"/>
  <c r="D54" i="9"/>
  <c r="P57" i="9"/>
  <c r="D55" i="9"/>
  <c r="M53" i="9"/>
  <c r="N57" i="9"/>
  <c r="N58" i="9"/>
  <c r="M48" i="9"/>
  <c r="D5" i="53"/>
  <c r="D6" i="53"/>
  <c r="B22" i="72"/>
  <c r="G118" i="9"/>
  <c r="F118" i="9"/>
  <c r="F4" i="52"/>
  <c r="B51" i="72"/>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<sst xmlns="http://schemas.openxmlformats.org/spreadsheetml/2006/main" count="8207" uniqueCount="3539">
  <si>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</si>
  <si>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</si>
  <si>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</si>
  <si>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</si>
  <si>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</si>
  <si>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</si>
  <si>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</si>
  <si>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</si>
  <si>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</si>
  <si>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</si>
  <si>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</si>
  <si>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</si>
  <si>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</si>
  <si>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</si>
  <si>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</si>
  <si>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</si>
  <si>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</si>
  <si>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</si>
  <si>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</si>
  <si>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</si>
  <si>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</si>
  <si>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</si>
  <si>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</si>
  <si>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</si>
  <si>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</si>
  <si>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</si>
  <si>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</si>
  <si>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</si>
  <si>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</si>
  <si>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</si>
  <si>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</si>
  <si>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</si>
  <si>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</si>
  <si>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</si>
  <si>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</si>
  <si>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</si>
  <si>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</si>
  <si>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</si>
  <si>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</si>
  <si>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</si>
  <si>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</si>
  <si>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</si>
  <si>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</si>
  <si>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</si>
  <si>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</si>
  <si>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</si>
  <si>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</si>
  <si>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</si>
  <si>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</si>
  <si>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</si>
  <si>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</si>
  <si>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</si>
  <si>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</si>
  <si>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</si>
  <si>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</si>
  <si>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</si>
  <si>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</si>
  <si>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</si>
  <si>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</si>
  <si>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</si>
  <si>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</si>
  <si>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</si>
  <si>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</si>
  <si>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</si>
  <si>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</si>
  <si>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</si>
  <si>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</si>
  <si>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</si>
  <si>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</si>
  <si>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</si>
  <si>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</si>
  <si>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</si>
  <si>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</si>
  <si>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</si>
  <si>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</si>
  <si>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</si>
  <si>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</si>
  <si>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</si>
  <si>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</si>
  <si>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</si>
  <si>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</si>
  <si>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</si>
  <si>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</si>
  <si>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</si>
  <si>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</si>
  <si>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</si>
  <si>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</si>
  <si>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</si>
  <si>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</si>
  <si>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</si>
  <si>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</si>
  <si>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</si>
  <si>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</si>
  <si>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</si>
  <si>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</si>
  <si>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</si>
  <si>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</si>
  <si>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</si>
  <si>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</si>
  <si>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</si>
  <si>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</si>
  <si>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</si>
  <si>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</si>
  <si>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</si>
  <si>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</si>
  <si>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</si>
  <si>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</si>
  <si>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</si>
  <si>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</si>
  <si>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</si>
  <si>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</si>
  <si>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</si>
  <si>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</si>
  <si>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</si>
  <si>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</si>
  <si>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</si>
  <si>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</si>
  <si>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</si>
  <si>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</si>
  <si>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</si>
  <si>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</si>
  <si>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</si>
  <si>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</si>
  <si>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</si>
  <si>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</si>
  <si>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</si>
  <si>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</si>
  <si>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</si>
  <si>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</si>
  <si>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</si>
  <si>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</si>
  <si>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</si>
  <si>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</si>
  <si>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</si>
  <si>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</si>
  <si>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</si>
  <si>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</si>
  <si>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</si>
  <si>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</si>
  <si>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</si>
  <si>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</si>
  <si>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</si>
  <si>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</si>
  <si>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</si>
  <si>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</si>
  <si>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</si>
  <si>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</si>
  <si>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</si>
  <si>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</si>
  <si>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</si>
  <si>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</si>
  <si>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</si>
  <si>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</si>
  <si>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</si>
  <si>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</si>
  <si>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</si>
  <si>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</si>
  <si>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</si>
  <si>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</si>
  <si>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</si>
  <si>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</si>
  <si>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</si>
  <si>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</si>
  <si>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</si>
  <si>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</si>
  <si>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</si>
  <si>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</si>
  <si>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</si>
  <si>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</si>
  <si>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</si>
  <si>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</si>
  <si>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</si>
  <si>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</si>
  <si>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</si>
  <si>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</si>
  <si>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</si>
  <si>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</si>
  <si>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</si>
  <si>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</si>
  <si>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</si>
  <si>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</si>
  <si>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</si>
  <si>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</si>
  <si>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</si>
  <si>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</si>
  <si>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</si>
  <si>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</si>
  <si>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</si>
  <si>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</si>
  <si>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</si>
  <si>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</si>
  <si>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</si>
  <si>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</si>
  <si>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</si>
  <si>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</si>
  <si>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</si>
  <si>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</si>
  <si>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</si>
  <si>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</si>
  <si>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</si>
  <si>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</si>
  <si>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</si>
  <si>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</si>
  <si>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</si>
  <si>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</si>
  <si>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</si>
  <si>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</si>
  <si>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</si>
  <si>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</si>
  <si>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</si>
  <si>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</si>
  <si>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</si>
  <si>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</si>
  <si>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</si>
  <si>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</si>
  <si>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</si>
  <si>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</si>
  <si>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</si>
  <si>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</si>
  <si>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</si>
  <si>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</si>
  <si>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</si>
  <si>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</si>
  <si>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</si>
  <si>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</si>
  <si>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</si>
  <si>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</si>
  <si>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</si>
  <si>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</si>
  <si>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</si>
  <si>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</si>
  <si>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</si>
  <si>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</si>
  <si>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</si>
  <si>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</si>
  <si>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</si>
  <si>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</si>
  <si>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</si>
  <si>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</si>
  <si>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</si>
  <si>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</si>
  <si>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</si>
  <si>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</si>
  <si>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</si>
  <si>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</si>
  <si>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</si>
  <si>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</si>
  <si>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</si>
  <si>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</si>
  <si>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</si>
  <si>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</si>
  <si>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</si>
  <si>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</si>
  <si>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</si>
  <si>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</si>
  <si>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</si>
  <si>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</si>
  <si>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</si>
  <si>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</si>
  <si>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</si>
  <si>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</si>
  <si>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</si>
  <si>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</si>
  <si>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</si>
  <si>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</si>
  <si>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</si>
  <si>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</si>
  <si>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</si>
  <si>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</si>
  <si>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</si>
  <si>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</si>
  <si>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</si>
  <si>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</si>
  <si>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</si>
  <si>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</si>
  <si>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</si>
  <si>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</si>
  <si>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</si>
  <si>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</si>
  <si>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</si>
  <si>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</si>
  <si>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</si>
  <si>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</si>
  <si>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</si>
  <si>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</si>
  <si>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</si>
  <si>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</si>
  <si>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</si>
  <si>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</si>
  <si>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</si>
  <si>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</si>
  <si>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</si>
  <si>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</si>
  <si>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</si>
  <si>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</si>
  <si>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</si>
  <si>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</si>
  <si>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</si>
  <si>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</si>
  <si>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</si>
  <si>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</si>
  <si>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</si>
  <si>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</si>
  <si>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</si>
  <si>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</si>
  <si>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</si>
  <si>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</si>
  <si>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</si>
  <si>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</si>
  <si>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</si>
  <si>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</si>
  <si>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</si>
  <si>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</si>
  <si>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</si>
  <si>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</si>
  <si>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</si>
  <si>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</si>
  <si>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</si>
  <si>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</si>
  <si>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</si>
  <si>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</si>
  <si>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</si>
  <si>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</si>
  <si>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</si>
  <si>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</si>
  <si>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</si>
  <si>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</si>
  <si>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</si>
  <si>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</si>
  <si>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</si>
  <si>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</si>
  <si>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</si>
  <si>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</si>
  <si>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</si>
  <si>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</si>
  <si>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</si>
  <si>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</si>
  <si>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</si>
  <si>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</si>
  <si>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</si>
  <si>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</si>
  <si>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</si>
  <si>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</si>
  <si>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</si>
  <si>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</si>
  <si>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</si>
  <si>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</si>
  <si>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</si>
  <si>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</si>
  <si>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</si>
  <si>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</si>
  <si>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</si>
  <si>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</si>
  <si>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</si>
  <si>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</si>
  <si>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</si>
  <si>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</si>
  <si>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</si>
  <si>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</si>
  <si>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</si>
  <si>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</si>
  <si>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</si>
  <si>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</si>
  <si>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</si>
  <si>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</si>
  <si>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</si>
  <si>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</si>
  <si>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</si>
  <si>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</si>
  <si>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</si>
  <si>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</si>
  <si>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</si>
  <si>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</si>
  <si>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</si>
  <si>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</si>
  <si>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</si>
  <si>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</si>
  <si>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</si>
  <si>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</si>
  <si>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</si>
  <si>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</si>
  <si>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</si>
  <si>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</si>
  <si>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</si>
  <si>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</si>
  <si>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</si>
  <si>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</si>
  <si>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</si>
  <si>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</si>
  <si>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</si>
  <si>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</si>
  <si>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</si>
  <si>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</si>
  <si>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</si>
  <si>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</si>
  <si>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</si>
  <si>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</si>
  <si>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</si>
  <si>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</si>
  <si>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</si>
  <si>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</si>
  <si>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</si>
  <si>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</si>
  <si>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</si>
  <si>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</si>
  <si>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</si>
  <si>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</si>
  <si>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</si>
  <si>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</si>
  <si>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</si>
  <si>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</si>
  <si>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</si>
  <si>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</si>
  <si>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</si>
  <si>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</si>
  <si>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</si>
  <si>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</si>
  <si>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</si>
  <si>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</si>
  <si>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</si>
  <si>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</si>
  <si>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</si>
  <si>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</si>
  <si>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</si>
  <si>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</si>
  <si>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</si>
  <si>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</si>
  <si>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</si>
  <si>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</si>
  <si>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</si>
  <si>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</si>
  <si>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</si>
  <si>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</si>
  <si>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</si>
  <si>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</si>
  <si>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</si>
  <si>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</si>
  <si>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</si>
  <si>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</si>
  <si>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</si>
  <si>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</si>
  <si>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</si>
  <si>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</si>
  <si>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</si>
  <si>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</si>
  <si>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</si>
  <si>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</si>
  <si>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</si>
  <si>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</si>
  <si>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</si>
  <si>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</si>
  <si>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</si>
  <si>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</si>
  <si>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</si>
  <si>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</si>
  <si>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</si>
  <si>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</si>
  <si>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</si>
  <si>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</si>
  <si>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</si>
  <si>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</si>
  <si>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</si>
  <si>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</si>
  <si>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</si>
  <si>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</si>
  <si>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</si>
  <si>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</si>
  <si>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</si>
  <si>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</si>
  <si>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</si>
  <si>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</si>
  <si>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</si>
  <si>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</si>
  <si>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</si>
  <si>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</si>
  <si>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</si>
  <si>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</si>
  <si>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</si>
  <si>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</si>
  <si>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</si>
  <si>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</si>
  <si>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</si>
  <si>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</si>
  <si>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</si>
  <si>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</si>
  <si>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</si>
  <si>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</si>
  <si>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</si>
  <si>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</si>
  <si>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</si>
  <si>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</si>
  <si>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</si>
  <si>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</si>
  <si>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</si>
  <si>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</si>
  <si>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</si>
  <si>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</si>
  <si>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</si>
  <si>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</si>
  <si>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</si>
  <si>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</si>
  <si>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</si>
  <si>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</si>
  <si>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</si>
  <si>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</si>
  <si>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</si>
  <si>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</si>
  <si>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</si>
  <si>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</si>
  <si>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</si>
  <si>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</si>
  <si>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</si>
  <si>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</si>
  <si>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</si>
  <si>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</si>
  <si>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</si>
  <si>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</si>
  <si>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</si>
  <si>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</si>
  <si>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</si>
  <si>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</si>
  <si>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</si>
  <si>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</si>
  <si>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</si>
  <si>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</si>
  <si>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</si>
  <si>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</si>
  <si>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</si>
  <si>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</si>
  <si>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</si>
  <si>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</si>
  <si>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</si>
  <si>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</si>
  <si>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</si>
  <si>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</si>
  <si>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</si>
  <si>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</si>
  <si>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</si>
  <si>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</si>
  <si>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</si>
  <si>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</si>
  <si>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</si>
  <si>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</si>
  <si>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</si>
  <si>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</si>
  <si>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</si>
  <si>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</si>
  <si>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</si>
  <si>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</si>
  <si>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</si>
  <si>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</si>
  <si>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</si>
  <si>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</si>
  <si>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</si>
  <si>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</si>
  <si>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</si>
  <si>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</si>
  <si>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</si>
  <si>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</si>
  <si>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</si>
  <si>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</si>
  <si>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</si>
  <si>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</si>
  <si>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</si>
  <si>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</si>
  <si>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</si>
  <si>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</si>
  <si>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</si>
  <si>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</si>
  <si>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</si>
  <si>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</si>
  <si>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</si>
  <si>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</si>
  <si>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</si>
  <si>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</si>
  <si>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</si>
  <si>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</si>
  <si>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</si>
  <si>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</si>
  <si>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</si>
  <si>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</si>
  <si>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</si>
  <si>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</si>
  <si>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</si>
  <si>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</si>
  <si>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</si>
  <si>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</si>
  <si>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</si>
  <si>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</si>
  <si>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</si>
  <si>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</si>
  <si>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</si>
  <si>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</si>
  <si>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</si>
  <si>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</si>
  <si>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</si>
  <si>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</si>
  <si>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</si>
  <si>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</si>
  <si>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</si>
  <si>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</si>
  <si>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</si>
  <si>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</si>
  <si>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</si>
  <si>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</si>
  <si>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</si>
  <si>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</si>
  <si>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</si>
  <si>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</si>
  <si>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</si>
  <si>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</si>
  <si>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</si>
  <si>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</si>
  <si>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</si>
  <si>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</si>
  <si>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</si>
  <si>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</si>
  <si>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</si>
  <si>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</si>
  <si>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</si>
  <si>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</si>
  <si>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</si>
  <si>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</si>
  <si>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</si>
  <si>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</si>
  <si>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</si>
  <si>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</si>
  <si>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</si>
  <si>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</si>
  <si>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</si>
  <si>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</si>
  <si>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</si>
  <si>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</si>
  <si>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</si>
  <si>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</si>
  <si>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</si>
  <si>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</si>
  <si>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</si>
  <si>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</si>
  <si>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</si>
  <si>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</si>
  <si>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</si>
  <si>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</si>
  <si>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</si>
  <si>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</si>
  <si>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</si>
  <si>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</si>
  <si>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</si>
  <si>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</si>
  <si>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</si>
  <si>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</si>
  <si>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</si>
  <si>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</si>
  <si>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</si>
  <si>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</si>
  <si>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</si>
  <si>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</si>
  <si>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</si>
  <si>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</si>
  <si>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</si>
  <si>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</si>
  <si>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</si>
  <si>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</si>
  <si>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</si>
  <si>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</si>
  <si>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</si>
  <si>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</si>
  <si>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</si>
  <si>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</si>
  <si>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</si>
  <si>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</si>
  <si>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</si>
  <si>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</si>
  <si>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</si>
  <si>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</si>
  <si>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</si>
  <si>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</si>
  <si>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</si>
  <si>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</si>
  <si>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</si>
  <si>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</si>
  <si>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</si>
  <si>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</si>
  <si>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</si>
  <si>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</si>
  <si>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</si>
  <si>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</si>
  <si>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</si>
  <si>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</si>
  <si>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</si>
  <si>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</si>
  <si>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</si>
  <si>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</si>
  <si>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</si>
  <si>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</si>
  <si>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</si>
  <si>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</si>
  <si>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</si>
  <si>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</si>
  <si>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</si>
  <si>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</si>
  <si>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</si>
  <si>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</si>
  <si>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</si>
  <si>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</si>
  <si>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</si>
  <si>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</si>
  <si>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</si>
  <si>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</si>
  <si>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</si>
  <si>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</si>
  <si>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</si>
  <si>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</si>
  <si>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</si>
  <si>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</si>
  <si>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</si>
  <si>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</si>
  <si>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</si>
  <si>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</si>
  <si>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</si>
  <si>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</si>
  <si>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</si>
  <si>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</si>
  <si>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</si>
  <si>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</si>
  <si>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</si>
  <si>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</si>
  <si>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</si>
  <si>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</si>
  <si>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</si>
  <si>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</si>
  <si>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</si>
  <si>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</si>
  <si>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</si>
  <si>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</si>
  <si>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</si>
  <si>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</si>
  <si>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</si>
  <si>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</si>
  <si>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</si>
  <si>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</si>
  <si>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</si>
  <si>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</si>
  <si>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</si>
  <si>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</si>
  <si>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</si>
  <si>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</si>
  <si>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</si>
  <si>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</si>
  <si>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</si>
  <si>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</si>
  <si>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</si>
  <si>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</si>
  <si>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</si>
  <si>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</si>
  <si>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</si>
  <si>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</si>
  <si>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</si>
  <si>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</si>
  <si>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</si>
  <si>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</si>
  <si>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</si>
  <si>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</si>
  <si>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</si>
  <si>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</si>
  <si>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</si>
  <si>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</si>
  <si>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</si>
  <si>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</si>
  <si>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</si>
  <si>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</si>
  <si>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</si>
  <si>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</si>
  <si>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</si>
  <si>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</si>
  <si>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</si>
  <si>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</si>
  <si>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</si>
  <si>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</si>
  <si>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</si>
  <si>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</si>
  <si>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</si>
  <si>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</si>
  <si>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</si>
  <si>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</si>
  <si>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</si>
  <si>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</si>
  <si>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</si>
  <si>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</si>
  <si>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</si>
  <si>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</si>
  <si>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</si>
  <si>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</si>
  <si>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</si>
  <si>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</si>
  <si>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</si>
  <si>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</si>
  <si>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</si>
  <si>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</si>
  <si>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</si>
  <si>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</si>
  <si>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</si>
  <si>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</si>
  <si>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</si>
  <si>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</si>
  <si>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</si>
  <si>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</si>
  <si>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</si>
  <si>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</si>
  <si>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</si>
  <si>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</si>
  <si>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</si>
  <si>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</si>
  <si>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</si>
  <si>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</si>
  <si>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</si>
  <si>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</si>
  <si>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</si>
  <si>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</si>
  <si>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</si>
  <si>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</si>
  <si>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</si>
  <si>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</si>
  <si>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</si>
  <si>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</si>
  <si>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</si>
  <si>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</si>
  <si>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</si>
  <si>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</si>
  <si>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</si>
  <si>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</si>
  <si>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</si>
  <si>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</si>
  <si>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</si>
  <si>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</si>
  <si>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</si>
  <si>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</si>
  <si>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</si>
  <si>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</si>
  <si>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</si>
  <si>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</si>
  <si>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</si>
  <si>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</si>
  <si>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</si>
  <si>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</si>
  <si>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</si>
  <si>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</si>
  <si>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</si>
  <si>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</si>
  <si>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</si>
  <si>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</si>
  <si>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</si>
  <si>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</si>
  <si>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</si>
  <si>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</si>
  <si>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</si>
  <si>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</si>
  <si>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</si>
  <si>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</si>
  <si>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</si>
  <si>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</si>
  <si>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</si>
  <si>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</si>
  <si>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</si>
  <si>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</si>
  <si>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</si>
  <si>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</si>
  <si>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</si>
  <si>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</si>
  <si>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</si>
  <si>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</si>
  <si>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</si>
  <si>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</si>
  <si>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</si>
  <si>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</si>
  <si>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</si>
  <si>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</si>
  <si>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</si>
  <si>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</si>
  <si>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</si>
  <si>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</si>
  <si>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</si>
  <si>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</si>
  <si>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</si>
  <si>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</si>
  <si>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</si>
  <si>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</si>
  <si>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</si>
  <si>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</si>
  <si>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</si>
  <si>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</si>
  <si>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</si>
  <si>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</si>
  <si>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</si>
  <si>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</si>
  <si>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</si>
  <si>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</si>
  <si>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</si>
  <si>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</si>
  <si>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</si>
  <si>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</si>
  <si>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</si>
  <si>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</si>
  <si>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</si>
  <si>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</si>
  <si>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</si>
  <si>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</si>
  <si>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</si>
  <si>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</si>
  <si>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</si>
  <si>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</si>
  <si>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</si>
  <si>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</si>
  <si>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</si>
  <si>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</si>
  <si>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</si>
  <si>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</si>
  <si>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</si>
  <si>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</si>
  <si>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</si>
  <si>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</si>
  <si>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</si>
  <si>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</si>
  <si>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</si>
  <si>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</si>
  <si>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</si>
  <si>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</si>
  <si>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</si>
  <si>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</si>
  <si>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</si>
  <si>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</si>
  <si>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</si>
  <si>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</si>
  <si>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</si>
  <si>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</si>
  <si>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</si>
  <si>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</si>
  <si>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</si>
  <si>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</si>
  <si>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</si>
  <si>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</si>
  <si>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</si>
  <si>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</si>
  <si>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</si>
  <si>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</si>
  <si>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</si>
  <si>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</si>
  <si>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</si>
  <si>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</si>
  <si>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</si>
  <si>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</si>
  <si>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</si>
  <si>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</si>
  <si>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</si>
  <si>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</si>
  <si>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</si>
  <si>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</si>
  <si>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</si>
  <si>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</si>
  <si>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</si>
  <si>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</si>
  <si>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</si>
  <si>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</si>
  <si>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</si>
  <si>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</si>
  <si>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</si>
  <si>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</si>
  <si>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</si>
  <si>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</si>
  <si>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</si>
  <si>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</si>
  <si>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</si>
  <si>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</si>
  <si>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</si>
  <si>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</si>
  <si>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</si>
  <si>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</si>
  <si>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</si>
  <si>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</si>
  <si>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</si>
  <si>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</si>
  <si>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</si>
  <si>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</si>
  <si>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</si>
  <si>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</si>
  <si>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</si>
  <si>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</si>
  <si>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</si>
  <si>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</si>
  <si>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</si>
  <si>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</si>
  <si>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</si>
  <si>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</si>
  <si>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</si>
  <si>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</si>
  <si>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</si>
  <si>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</si>
  <si>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</si>
  <si>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</si>
  <si>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</si>
  <si>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</si>
  <si>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</si>
  <si>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</si>
  <si>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</si>
  <si>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</si>
  <si>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</si>
  <si>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</si>
  <si>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</si>
  <si>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</si>
  <si>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</si>
  <si>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</si>
  <si>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</si>
  <si>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</si>
  <si>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</si>
  <si>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</si>
  <si>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</si>
  <si>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</si>
  <si>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</si>
  <si>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</si>
  <si>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</si>
  <si>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</si>
  <si>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</si>
  <si>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</si>
  <si>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</si>
  <si>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</si>
  <si>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</si>
  <si>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</si>
  <si>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</si>
  <si>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</si>
  <si>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</si>
  <si>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</si>
  <si>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</si>
  <si>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</si>
  <si>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</si>
  <si>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</si>
  <si>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</si>
  <si>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</si>
  <si>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</si>
  <si>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</si>
  <si>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</si>
  <si>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</si>
  <si>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</si>
  <si>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</si>
  <si>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</si>
  <si>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</si>
  <si>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</si>
  <si>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</si>
  <si>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</si>
  <si>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</si>
  <si>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</si>
  <si>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</si>
  <si>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</si>
  <si>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</si>
  <si>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</si>
  <si>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</si>
  <si>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</si>
  <si>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</si>
  <si>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</si>
  <si>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</si>
  <si>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</si>
  <si>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</si>
  <si>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</si>
  <si>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</si>
  <si>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</si>
  <si>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</si>
  <si>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</si>
  <si>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</si>
  <si>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</si>
  <si>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</si>
  <si>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</si>
  <si>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</si>
  <si>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</si>
  <si>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</si>
  <si>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</si>
  <si>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</si>
  <si>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</si>
  <si>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</si>
  <si>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</si>
  <si>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</si>
  <si>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</si>
  <si>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</si>
  <si>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</si>
  <si>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</si>
  <si>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</si>
  <si>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</si>
  <si>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</si>
  <si>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</si>
  <si>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</si>
  <si>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</si>
  <si>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</si>
  <si>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</si>
  <si>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</si>
  <si>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</si>
  <si>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</si>
  <si>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</si>
  <si>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</si>
  <si>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</si>
  <si>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</si>
  <si>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</si>
  <si>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</si>
  <si>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</si>
  <si>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</si>
  <si>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</si>
  <si>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</si>
  <si>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</si>
  <si>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</si>
  <si>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</si>
  <si>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</si>
  <si>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</si>
  <si>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</si>
  <si>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</si>
  <si>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</si>
  <si>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</si>
  <si>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</si>
  <si>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</si>
  <si>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</si>
  <si>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</si>
  <si>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</si>
  <si>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</si>
  <si>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</si>
  <si>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</si>
  <si>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</si>
  <si>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</si>
  <si>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</si>
  <si>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</si>
  <si>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</si>
  <si>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</si>
  <si>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</si>
  <si>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</si>
  <si>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</si>
  <si>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</si>
  <si>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</si>
  <si>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</si>
  <si>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</si>
  <si>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</si>
  <si>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</si>
  <si>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</si>
  <si>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</si>
  <si>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</si>
  <si>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</si>
  <si>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</si>
  <si>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</si>
  <si>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</si>
  <si>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</si>
  <si>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</si>
  <si>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</si>
  <si>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</si>
  <si>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</si>
  <si>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</si>
  <si>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</si>
  <si>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</si>
  <si>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</si>
  <si>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</si>
  <si>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</si>
  <si>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</si>
  <si>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</si>
  <si>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</si>
  <si>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</si>
  <si>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</si>
  <si>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</si>
  <si>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</si>
  <si>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</si>
  <si>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</si>
  <si>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</si>
  <si>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</si>
  <si>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</si>
  <si>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</si>
  <si>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</si>
  <si>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</si>
  <si>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</si>
  <si>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</si>
  <si>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</si>
  <si>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</si>
  <si>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</si>
  <si>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</si>
  <si>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</si>
  <si>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</si>
  <si>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</si>
  <si>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</si>
  <si>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</si>
  <si>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</si>
  <si>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</si>
  <si>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</si>
  <si>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</si>
  <si>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</si>
  <si>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</si>
  <si>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</si>
  <si>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</si>
  <si>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</si>
  <si>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</si>
  <si>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</si>
  <si>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</si>
  <si>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</si>
  <si>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</si>
  <si>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</si>
  <si>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</si>
  <si>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</si>
  <si>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</si>
  <si>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</si>
  <si>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</si>
  <si>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</si>
  <si>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</si>
  <si>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</si>
  <si>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</si>
  <si>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</si>
  <si>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</si>
  <si>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</si>
  <si>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</si>
  <si>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</si>
  <si>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</si>
  <si>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</si>
  <si>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</si>
  <si>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</si>
  <si>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</si>
  <si>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</si>
  <si>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</si>
  <si>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</si>
  <si>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</si>
  <si>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</si>
  <si>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</si>
  <si>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</si>
  <si>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</si>
  <si>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</si>
  <si>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</si>
  <si>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</si>
  <si>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</si>
  <si>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</si>
  <si>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</si>
  <si>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</si>
  <si>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</si>
  <si>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</si>
  <si>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</si>
  <si>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</si>
  <si>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</si>
  <si>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</si>
  <si>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</si>
  <si>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</si>
  <si>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</si>
  <si>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</si>
  <si>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</si>
  <si>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</si>
  <si>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</si>
  <si>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</si>
  <si>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</si>
  <si>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</si>
  <si>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</si>
  <si>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</si>
  <si>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</si>
  <si>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</si>
  <si>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</si>
  <si>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</si>
  <si>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</si>
  <si>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</si>
  <si>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</si>
  <si>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</si>
  <si>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</si>
  <si>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</si>
  <si>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</si>
  <si>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</si>
  <si>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</si>
  <si>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</si>
  <si>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</si>
  <si>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</si>
  <si>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</si>
  <si>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</si>
  <si>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</si>
  <si>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</si>
  <si>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</si>
  <si>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</si>
  <si>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</si>
  <si>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</si>
  <si>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</si>
  <si>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</si>
  <si>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</si>
  <si>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</si>
  <si>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</si>
  <si>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</si>
  <si>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</si>
  <si>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</si>
  <si>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</si>
  <si>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</si>
  <si>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</si>
  <si>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</si>
  <si>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</si>
  <si>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</si>
  <si>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</si>
  <si>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</si>
  <si>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</si>
  <si>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</si>
  <si>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</si>
  <si>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</si>
  <si>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</si>
  <si>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</si>
  <si>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</si>
  <si>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</si>
  <si>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</si>
  <si>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</si>
  <si>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</si>
  <si>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</si>
  <si>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</si>
  <si>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</si>
  <si>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</si>
  <si>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</si>
  <si>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</si>
  <si>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</si>
  <si>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</si>
  <si>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</si>
  <si>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</si>
  <si>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</si>
  <si>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</si>
  <si>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</si>
  <si>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</si>
  <si>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</si>
  <si>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</si>
  <si>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</si>
  <si>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</si>
  <si>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</si>
  <si>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</si>
  <si>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</si>
  <si>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</si>
  <si>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</si>
  <si>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</si>
  <si>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</si>
  <si>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</si>
  <si>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</si>
  <si>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</si>
  <si>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</si>
  <si>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</si>
  <si>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</si>
  <si>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</si>
  <si>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</si>
  <si>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</si>
  <si>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</si>
  <si>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</si>
  <si>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</si>
  <si>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</si>
  <si>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</si>
  <si>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</si>
  <si>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</si>
  <si>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</si>
  <si>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</si>
  <si>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</si>
  <si>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</si>
  <si>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</si>
  <si>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</si>
  <si>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</si>
  <si>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</si>
  <si>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</si>
  <si>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</si>
  <si>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</si>
  <si>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</si>
  <si>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</si>
  <si>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</si>
  <si>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</si>
  <si>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</si>
  <si>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</si>
  <si>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</si>
  <si>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</si>
  <si>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</si>
  <si>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</si>
  <si>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</si>
  <si>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</si>
  <si>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</si>
  <si>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</si>
  <si>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</si>
  <si>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</si>
  <si>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</si>
  <si>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</si>
  <si>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</si>
  <si>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</si>
  <si>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</si>
  <si>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</si>
  <si>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</si>
  <si>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</si>
  <si>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</si>
  <si>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</si>
  <si>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</si>
  <si>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</si>
  <si>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</si>
  <si>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</si>
  <si>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</si>
  <si>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</si>
  <si>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</si>
  <si>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</si>
  <si>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</si>
  <si>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</si>
  <si>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</si>
  <si>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</si>
  <si>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</si>
  <si>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</si>
  <si>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</si>
  <si>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</si>
  <si>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</si>
  <si>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</si>
  <si>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</si>
  <si>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</si>
  <si>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</si>
  <si>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</si>
  <si>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</si>
  <si>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</si>
  <si>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</si>
  <si>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</si>
  <si>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</si>
  <si>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</si>
  <si>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</si>
  <si>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</si>
  <si>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</si>
  <si>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</si>
  <si>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</si>
  <si>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</si>
  <si>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</si>
  <si>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</si>
  <si>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</si>
  <si>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</si>
  <si>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</si>
  <si>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</si>
  <si>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</si>
  <si>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</si>
  <si>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</si>
  <si>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</si>
  <si>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</si>
  <si>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</si>
  <si>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</si>
  <si>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</si>
  <si>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</si>
  <si>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</si>
  <si>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</si>
  <si>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</si>
  <si>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</si>
  <si>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</si>
  <si>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</si>
  <si>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</si>
  <si>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</si>
  <si>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</si>
  <si>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</si>
  <si>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</si>
  <si>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</si>
  <si>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</si>
  <si>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</si>
  <si>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</si>
  <si>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</si>
  <si>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</si>
  <si>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</si>
  <si>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</si>
  <si>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</si>
  <si>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</si>
  <si>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</si>
  <si>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</si>
  <si>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</si>
  <si>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</si>
  <si>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</si>
  <si>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</si>
  <si>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</si>
  <si>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</si>
  <si>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</si>
  <si>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</si>
  <si>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</si>
  <si>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</si>
  <si>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</si>
  <si>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</si>
  <si>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</si>
  <si>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</si>
  <si>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</si>
  <si>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</si>
  <si>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</si>
  <si>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</si>
  <si>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</si>
  <si>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</si>
  <si>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</si>
  <si>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</si>
  <si>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</si>
  <si>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</si>
  <si>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</si>
  <si>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</si>
  <si>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</si>
  <si>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</si>
  <si>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</si>
  <si>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</si>
  <si>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</si>
  <si>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</si>
  <si>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</si>
  <si>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</si>
  <si>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</si>
  <si>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</si>
  <si>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</si>
  <si>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</si>
  <si>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</si>
  <si>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</si>
  <si>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</si>
  <si>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</si>
  <si>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</si>
  <si>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</si>
  <si>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</si>
  <si>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</si>
  <si>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</si>
  <si>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</si>
  <si>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</si>
  <si>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</si>
  <si>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</si>
  <si>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</si>
  <si>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</si>
  <si>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</si>
  <si>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</si>
  <si>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</si>
  <si>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</si>
  <si>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</si>
  <si>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</si>
  <si>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</si>
  <si>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</si>
  <si>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</si>
  <si>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</si>
  <si>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</si>
  <si>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</si>
  <si>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</si>
  <si>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</si>
  <si>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</si>
  <si>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</si>
  <si>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</si>
  <si>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</si>
  <si>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</si>
  <si>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</si>
  <si>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</si>
  <si>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</si>
  <si>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</si>
  <si>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</si>
  <si>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</si>
  <si>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</si>
  <si>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</si>
  <si>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</si>
  <si>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</si>
  <si>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</si>
  <si>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</si>
  <si>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</si>
  <si>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</si>
  <si>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</si>
  <si>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</si>
  <si>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</si>
  <si>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</si>
  <si>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</si>
  <si>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</si>
  <si>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</si>
  <si>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</si>
  <si>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</si>
  <si>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</si>
  <si>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</si>
  <si>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</si>
  <si>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</si>
  <si>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</si>
  <si>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</si>
  <si>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</si>
  <si>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</si>
  <si>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</si>
  <si>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</si>
  <si>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</si>
  <si>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</si>
  <si>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</si>
  <si>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</si>
  <si>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</si>
  <si>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</si>
  <si>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</si>
  <si>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</si>
  <si>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</si>
  <si>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</si>
  <si>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</si>
  <si>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</si>
  <si>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</si>
  <si>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</si>
  <si>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</si>
  <si>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</si>
  <si>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</si>
  <si>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</si>
  <si>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</si>
  <si>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</si>
  <si>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</si>
  <si>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</si>
  <si>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</si>
  <si>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</si>
  <si>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</si>
  <si>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</si>
  <si>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</si>
  <si>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</si>
  <si>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</si>
  <si>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</si>
  <si>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</si>
  <si>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</si>
  <si>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</si>
  <si>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</si>
  <si>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</si>
  <si>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</si>
  <si>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</si>
  <si>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</si>
  <si>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</si>
  <si>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</si>
  <si>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</si>
  <si>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</si>
  <si>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</si>
  <si>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</si>
  <si>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</si>
  <si>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</si>
  <si>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</si>
  <si>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</si>
  <si>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</si>
  <si>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</si>
  <si>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</si>
  <si>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</si>
  <si>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</si>
  <si>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</si>
  <si>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</si>
  <si>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</si>
  <si>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</si>
  <si>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</si>
  <si>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</si>
  <si>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</si>
  <si>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</si>
  <si>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</si>
  <si>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</si>
  <si>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</si>
  <si>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</si>
  <si>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</si>
  <si>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</si>
  <si>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</si>
  <si>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</si>
  <si>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</si>
  <si>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</si>
  <si>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</si>
  <si>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</si>
  <si>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</si>
  <si>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</si>
  <si>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</si>
  <si>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</si>
  <si>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</si>
  <si>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</si>
  <si>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</si>
  <si>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</si>
  <si>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</si>
  <si>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</si>
  <si>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</si>
  <si>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</si>
  <si>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</si>
  <si>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</si>
  <si>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</si>
  <si>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</si>
  <si>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</si>
  <si>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</si>
  <si>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</si>
  <si>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</si>
  <si>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</si>
  <si>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</si>
  <si>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</si>
  <si>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</si>
  <si>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</si>
  <si>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</si>
  <si>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</si>
  <si>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</si>
  <si>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</si>
  <si>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</si>
  <si>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</si>
  <si>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</si>
  <si>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</si>
  <si>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</si>
  <si>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</si>
  <si>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</si>
  <si>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</si>
  <si>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</si>
  <si>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</si>
  <si>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</si>
  <si>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</si>
  <si>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</si>
  <si>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</si>
  <si>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</si>
  <si>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</si>
  <si>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</si>
  <si>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</si>
  <si>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</si>
  <si>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</si>
  <si>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</si>
  <si>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</si>
  <si>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</si>
  <si>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</si>
  <si>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</si>
  <si>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</si>
  <si>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</si>
  <si>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</si>
  <si>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</si>
  <si>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</si>
  <si>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</si>
  <si>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</si>
  <si>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</si>
  <si>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</si>
  <si>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</si>
  <si>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</si>
  <si>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</si>
  <si>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</si>
  <si>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</si>
  <si>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</si>
  <si>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</si>
  <si>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</si>
  <si>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</si>
  <si>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</si>
  <si>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</si>
  <si>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</si>
  <si>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</si>
  <si>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</si>
  <si>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</si>
  <si>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</si>
  <si>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</si>
  <si>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</si>
  <si>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</si>
  <si>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</si>
  <si>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</si>
  <si>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</si>
  <si>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</si>
  <si>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</si>
  <si>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</si>
  <si>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</si>
  <si>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</si>
  <si>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</si>
  <si>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</si>
  <si>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</si>
  <si>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</si>
  <si>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</si>
  <si>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</si>
  <si>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</si>
  <si>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</si>
  <si>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</si>
  <si>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</si>
  <si>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</si>
  <si>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</si>
  <si>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</si>
  <si>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</si>
  <si>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</si>
  <si>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</si>
  <si>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</si>
  <si>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</si>
  <si>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</si>
  <si>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</si>
  <si>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</si>
  <si>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</si>
  <si>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</si>
  <si>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</si>
  <si>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</si>
  <si>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</si>
  <si>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</si>
  <si>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</si>
  <si>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</si>
  <si>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</si>
  <si>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</si>
  <si>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</si>
  <si>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</si>
  <si>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</si>
  <si>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</si>
  <si>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</si>
  <si>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</si>
  <si>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</si>
  <si>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</si>
  <si>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</si>
  <si>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</si>
  <si>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</si>
  <si>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</si>
  <si>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</si>
  <si>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</si>
  <si>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</si>
  <si>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</si>
  <si>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</si>
  <si>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</si>
  <si>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</si>
  <si>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</si>
  <si>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</si>
  <si>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</si>
  <si>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</si>
  <si>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</si>
  <si>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</si>
  <si>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</si>
  <si>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</si>
  <si>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</si>
  <si>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</si>
  <si>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</si>
  <si>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</si>
  <si>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</si>
  <si>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</si>
  <si>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</si>
  <si>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</si>
  <si>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</si>
  <si>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</si>
  <si>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</si>
  <si>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</si>
  <si>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</si>
  <si>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</si>
  <si>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</si>
  <si>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</si>
  <si>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</si>
  <si>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</si>
  <si>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</si>
  <si>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</si>
  <si>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</si>
  <si>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</si>
  <si>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</si>
  <si>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</si>
  <si>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</si>
  <si>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</si>
  <si>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</si>
  <si>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</si>
  <si>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</si>
  <si>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</si>
  <si>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</si>
  <si>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</si>
  <si>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</si>
  <si>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</si>
  <si>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</si>
  <si>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</si>
  <si>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</si>
  <si>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</si>
  <si>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</si>
  <si>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</si>
  <si>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</si>
  <si>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</si>
  <si>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</si>
  <si>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</si>
  <si>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</si>
  <si>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</si>
  <si>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</si>
  <si>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</si>
  <si>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</si>
  <si>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</si>
  <si>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</si>
  <si>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</si>
  <si>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</si>
  <si>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</si>
  <si>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</si>
  <si>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</si>
  <si>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</si>
  <si>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</si>
  <si>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</si>
  <si>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</si>
  <si>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</si>
  <si>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</si>
  <si>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</si>
  <si>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</si>
  <si>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</si>
  <si>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</si>
  <si>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</si>
  <si>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</si>
  <si>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</si>
  <si>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</si>
  <si>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</si>
  <si>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</si>
  <si>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</si>
  <si>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</si>
  <si>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</si>
  <si>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</si>
  <si>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</si>
  <si>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</si>
  <si>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</si>
  <si>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</si>
  <si>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</si>
  <si>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</si>
  <si>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</si>
  <si>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</si>
  <si>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</si>
  <si>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</si>
  <si>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</si>
  <si>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</si>
  <si>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</si>
  <si>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</si>
  <si>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</si>
  <si>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</si>
  <si>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</si>
  <si>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</si>
  <si>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</si>
  <si>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</si>
  <si>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</si>
  <si>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</si>
  <si>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</si>
  <si>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</si>
  <si>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</si>
  <si>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</si>
  <si>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</si>
  <si>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</si>
  <si>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</si>
  <si>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</si>
  <si>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</si>
  <si>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</si>
  <si>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</si>
  <si>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</si>
  <si>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</si>
  <si>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</si>
  <si>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</si>
  <si>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</si>
  <si>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</si>
  <si>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</si>
  <si>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</si>
  <si>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</si>
  <si>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</si>
  <si>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</si>
  <si>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</si>
  <si>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</si>
  <si>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</si>
  <si>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</si>
  <si>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</si>
  <si>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</si>
  <si>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</si>
  <si>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</si>
  <si>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</si>
  <si>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</si>
  <si>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</si>
  <si>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</si>
  <si>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</si>
  <si>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</si>
  <si>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</si>
  <si>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</si>
  <si>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</si>
  <si>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</si>
  <si>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</si>
  <si>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</si>
  <si>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</si>
  <si>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</si>
  <si>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</si>
  <si>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</si>
  <si>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</si>
  <si>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</si>
  <si>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</si>
  <si>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</si>
  <si>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</si>
  <si>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</si>
  <si>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</si>
  <si>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</si>
  <si>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</si>
  <si>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</si>
  <si>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</si>
  <si>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</si>
  <si>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</si>
  <si>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</si>
  <si>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</si>
  <si>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</si>
  <si>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</si>
  <si>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</si>
  <si>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</si>
  <si>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</si>
  <si>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</si>
  <si>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</si>
  <si>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</si>
  <si>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</si>
  <si>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</si>
  <si>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</si>
  <si>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</si>
  <si>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</si>
  <si>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</si>
  <si>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</si>
  <si>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</si>
  <si>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</si>
  <si>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</si>
  <si>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</si>
  <si>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</si>
  <si>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</si>
  <si>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</si>
  <si>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</si>
  <si>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</si>
  <si>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</si>
  <si>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</si>
  <si>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</si>
  <si>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</si>
  <si>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</si>
  <si>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</si>
  <si>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</si>
  <si>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</si>
  <si>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</si>
  <si>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</si>
  <si>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</si>
  <si>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</si>
  <si>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</si>
  <si>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</si>
  <si>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</si>
  <si>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</si>
  <si>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</si>
  <si>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</si>
  <si>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</si>
  <si>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</si>
  <si>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</si>
  <si>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</si>
  <si>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</si>
  <si>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</si>
  <si>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</si>
  <si>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</si>
  <si>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</si>
  <si>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</si>
  <si>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</si>
  <si>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</si>
  <si>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</si>
  <si>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</si>
  <si>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</si>
  <si>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</si>
  <si>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</si>
  <si>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</si>
  <si>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</si>
  <si>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</si>
  <si>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</si>
  <si>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</si>
  <si>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</si>
  <si>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</si>
  <si>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</si>
  <si>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</si>
  <si>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</si>
  <si>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</si>
  <si>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</si>
  <si>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</si>
  <si>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</si>
  <si>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</si>
  <si>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</si>
  <si>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</si>
  <si>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</si>
  <si>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</si>
  <si>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</si>
  <si>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</si>
  <si>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</si>
  <si>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</si>
  <si>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</si>
  <si>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</si>
  <si>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</si>
  <si>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</si>
  <si>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</si>
  <si>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</si>
  <si>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</si>
  <si>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</si>
  <si>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</si>
  <si>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</si>
  <si>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</si>
  <si>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</si>
  <si>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</si>
  <si>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</si>
  <si>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</si>
  <si>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</si>
  <si>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</si>
  <si>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</si>
  <si>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</si>
  <si>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</si>
  <si>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</si>
  <si>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</si>
  <si>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</si>
  <si>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</si>
  <si>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</si>
  <si>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</si>
  <si>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</si>
  <si>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</si>
  <si>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</si>
  <si>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</si>
  <si>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</si>
  <si>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</si>
  <si>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</si>
  <si>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</si>
  <si>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</si>
  <si>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</si>
  <si>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</si>
  <si>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</si>
  <si>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</si>
  <si>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</si>
  <si>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</si>
  <si>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</si>
  <si>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</si>
  <si>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</si>
  <si>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</si>
  <si>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</si>
  <si>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</si>
  <si>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</si>
  <si>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</si>
  <si>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</si>
  <si>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</si>
  <si>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</si>
  <si>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</si>
  <si>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</si>
  <si>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</si>
  <si>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</si>
  <si>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</si>
  <si>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</si>
  <si>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</si>
  <si>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</si>
  <si>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</si>
  <si>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</si>
  <si>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</si>
  <si>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</si>
  <si>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</si>
  <si>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</si>
  <si>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</si>
  <si>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</si>
  <si>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</si>
  <si>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</si>
  <si>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</si>
  <si>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</si>
  <si>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</si>
  <si>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</si>
  <si>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</si>
  <si>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</si>
  <si>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</si>
  <si>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</si>
  <si>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</si>
  <si>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</si>
  <si>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</si>
  <si>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</si>
  <si>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</si>
  <si>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</si>
  <si>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</si>
  <si>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</si>
  <si>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</si>
  <si>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</si>
  <si>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</si>
  <si>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</si>
  <si>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</si>
  <si>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</si>
  <si>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</si>
  <si>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</si>
  <si>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</si>
  <si>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</si>
  <si>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</si>
  <si>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</si>
  <si>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</si>
  <si>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</si>
  <si>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</si>
  <si>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</si>
  <si>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</si>
  <si>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</si>
  <si>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</si>
  <si>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</si>
  <si>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</si>
  <si>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</si>
  <si>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</si>
  <si>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</si>
  <si>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</si>
  <si>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</si>
  <si>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</si>
  <si>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</si>
  <si>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</si>
  <si>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</si>
  <si>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</si>
  <si>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</si>
  <si>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</si>
  <si>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</si>
  <si>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</si>
  <si>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</si>
  <si>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</si>
  <si>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</si>
  <si>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</si>
  <si>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</si>
  <si>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</si>
  <si>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</si>
  <si>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</si>
  <si>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</si>
  <si>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</si>
  <si>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</si>
  <si>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</si>
  <si>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</si>
  <si>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</si>
  <si>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</si>
  <si>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</si>
  <si>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</si>
  <si>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</si>
  <si>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</si>
  <si>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</si>
  <si>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</si>
  <si>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</si>
  <si>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</si>
  <si>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</si>
  <si>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</si>
  <si>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</si>
  <si>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</si>
  <si>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</si>
  <si>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</si>
  <si>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</si>
  <si>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</si>
  <si>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</si>
  <si>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</si>
  <si>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</si>
  <si>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</si>
  <si>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</si>
  <si>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</si>
  <si>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</si>
  <si>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</si>
  <si>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</si>
  <si>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</si>
  <si>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</si>
  <si>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</si>
  <si>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</si>
  <si>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</si>
  <si>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</si>
  <si>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</si>
  <si>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</si>
  <si>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</si>
  <si>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</si>
  <si>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</si>
  <si>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</si>
  <si>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</si>
  <si>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</si>
  <si>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</si>
  <si>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</si>
  <si>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</si>
  <si>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</si>
  <si>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</si>
  <si>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</si>
  <si>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</si>
  <si>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</si>
  <si>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</si>
  <si>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</si>
  <si>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</si>
  <si>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</si>
  <si>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</si>
  <si>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</si>
  <si>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</si>
  <si>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</si>
  <si>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</si>
  <si>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</si>
  <si>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</si>
  <si>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</si>
  <si>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</si>
  <si>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</si>
  <si>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</si>
  <si>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</si>
  <si>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</si>
  <si>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</si>
  <si>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</si>
  <si>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</si>
  <si>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</si>
  <si>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</si>
  <si>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</si>
  <si>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</si>
  <si>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</si>
  <si>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</si>
  <si>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</si>
  <si>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</si>
  <si>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</si>
  <si>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</si>
  <si>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</si>
  <si>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</si>
  <si>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</si>
  <si>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</si>
  <si>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</si>
  <si>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</si>
  <si>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</si>
  <si>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</si>
  <si>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</si>
  <si>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</si>
  <si>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</si>
  <si>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</si>
  <si>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</si>
  <si>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</si>
  <si>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</si>
  <si>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</si>
  <si>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</si>
  <si>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</si>
  <si>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</si>
  <si>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</si>
  <si>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</si>
  <si>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</si>
  <si>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</si>
  <si>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</si>
  <si>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</si>
  <si>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</si>
  <si>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</si>
  <si>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</si>
  <si>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</si>
  <si>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</si>
  <si>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</si>
  <si>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</si>
  <si>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</si>
  <si>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</si>
  <si>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</si>
  <si>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</si>
  <si>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</si>
  <si>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</si>
  <si>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</si>
  <si>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</si>
  <si>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</si>
  <si>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</si>
  <si>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</si>
  <si>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</si>
  <si>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</si>
  <si>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</si>
  <si>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</si>
  <si>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</si>
  <si>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</si>
  <si>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</si>
  <si>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</si>
  <si>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</si>
  <si>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</si>
  <si>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</si>
  <si>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</si>
  <si>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</si>
  <si>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</si>
  <si>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</si>
  <si>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</si>
  <si>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</si>
  <si>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</si>
  <si>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</si>
  <si>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</si>
  <si>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</si>
  <si>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</si>
  <si>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</si>
  <si>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</si>
  <si>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</si>
  <si>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</si>
  <si>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</si>
  <si>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</si>
  <si>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</si>
  <si>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</si>
  <si>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</si>
  <si>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</si>
  <si>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</si>
  <si>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</si>
  <si>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</si>
  <si>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</si>
  <si>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</si>
  <si>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</si>
  <si>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</si>
  <si>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</si>
  <si>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</si>
  <si>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</si>
  <si>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</si>
  <si>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</si>
  <si>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</si>
  <si>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</si>
  <si>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</si>
  <si>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</si>
  <si>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</si>
  <si>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</si>
  <si>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</si>
  <si>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</si>
  <si>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</si>
  <si>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</si>
  <si>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</si>
  <si>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</si>
  <si>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</si>
  <si>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</si>
  <si>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</si>
  <si>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</si>
  <si>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</si>
  <si>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</si>
  <si>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</si>
  <si>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</si>
  <si>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</si>
  <si>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</si>
  <si>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</si>
  <si>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</si>
  <si>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</si>
  <si>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</si>
  <si>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</si>
  <si>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</si>
  <si>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</si>
  <si>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</si>
  <si>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</si>
  <si>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</si>
  <si>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</si>
  <si>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</si>
  <si>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</si>
  <si>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</si>
  <si>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</si>
  <si>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</si>
  <si>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</si>
  <si>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</si>
  <si>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</si>
  <si>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</si>
  <si>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</si>
  <si>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</si>
  <si>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</si>
  <si>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</si>
  <si>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</si>
  <si>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</si>
  <si>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</si>
  <si>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</si>
  <si>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</si>
  <si>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</si>
  <si>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</si>
  <si>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</si>
  <si>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</si>
  <si>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</si>
  <si>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</si>
  <si>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</si>
  <si>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</si>
  <si>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</si>
  <si>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</si>
  <si>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</si>
  <si>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</si>
  <si>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</si>
  <si>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</si>
  <si>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</si>
  <si>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</si>
  <si>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</si>
  <si>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</si>
  <si>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</si>
  <si>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</si>
  <si>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</si>
  <si>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</si>
  <si>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</si>
  <si>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</si>
  <si>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</si>
  <si>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</si>
  <si>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</si>
  <si>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</si>
  <si>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</si>
  <si>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</si>
  <si>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</si>
  <si>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</si>
  <si>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</si>
  <si>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</si>
  <si>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</si>
  <si>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</si>
  <si>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</si>
  <si>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</si>
  <si>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</si>
  <si>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</si>
  <si>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</si>
  <si>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</si>
  <si>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</si>
  <si>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</si>
  <si>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</si>
  <si>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</si>
  <si>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</si>
  <si>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</si>
  <si>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</si>
  <si>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</si>
  <si>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</si>
  <si>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</si>
  <si>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</si>
  <si>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</si>
  <si>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</si>
  <si>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</si>
  <si>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</si>
  <si>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</si>
  <si>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</si>
  <si>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</si>
  <si>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</si>
  <si>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</si>
  <si>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</si>
  <si>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</si>
  <si>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</si>
  <si>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</si>
  <si>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</si>
  <si>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</si>
  <si>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</si>
  <si>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</si>
  <si>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</si>
  <si>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</si>
  <si>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</si>
  <si>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</si>
  <si>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</si>
  <si>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</si>
  <si>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</si>
  <si>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</si>
  <si>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</si>
  <si>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</si>
  <si>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</si>
  <si>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</si>
  <si>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</si>
  <si>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</si>
  <si>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</si>
  <si>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</si>
  <si>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</si>
  <si>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</si>
  <si>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</si>
  <si>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</si>
  <si>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</si>
  <si>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</si>
  <si>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</si>
  <si>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</si>
  <si>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</si>
  <si>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</si>
  <si>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</si>
  <si>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</si>
  <si>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</si>
  <si>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</si>
  <si>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</si>
  <si>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</si>
  <si>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</si>
  <si>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</si>
  <si>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</si>
  <si>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</si>
  <si>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</si>
  <si>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</si>
  <si>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</si>
  <si>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</si>
  <si>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</si>
  <si>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</si>
  <si>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</si>
  <si>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</si>
  <si>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</si>
  <si>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</si>
  <si>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</si>
  <si>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</si>
  <si>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</si>
  <si>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</si>
  <si>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</si>
  <si>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</si>
  <si>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</si>
  <si>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</si>
  <si>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</si>
  <si>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</si>
  <si>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</si>
  <si>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</si>
  <si>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</si>
  <si>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</si>
  <si>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</si>
  <si>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</si>
  <si>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</si>
  <si>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</si>
  <si>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</si>
  <si>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</si>
  <si>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</si>
  <si>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</si>
  <si>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</si>
  <si>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</si>
  <si>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</si>
  <si>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</si>
  <si>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</si>
  <si>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</si>
  <si>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</si>
  <si>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</si>
  <si>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</si>
  <si>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</si>
  <si>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</si>
  <si>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</si>
  <si>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</si>
  <si>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</si>
  <si>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</si>
  <si>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</si>
  <si>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</si>
  <si>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</si>
  <si>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</si>
  <si>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</si>
  <si>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</si>
  <si>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</si>
  <si>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</si>
  <si>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</si>
  <si>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</si>
  <si>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</si>
  <si>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</si>
  <si>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</si>
  <si>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</si>
  <si>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</si>
  <si>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</si>
  <si>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</si>
  <si>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</si>
  <si>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</si>
  <si>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</si>
  <si>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</si>
  <si>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</si>
  <si>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</si>
  <si>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</si>
  <si>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</si>
  <si>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</si>
  <si>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</si>
  <si>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</si>
  <si>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</si>
  <si>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</si>
  <si>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</si>
  <si>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</si>
  <si>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</si>
  <si>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</si>
  <si>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</si>
  <si>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</si>
  <si>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</si>
  <si>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</si>
  <si>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</si>
  <si>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</si>
  <si>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</si>
  <si>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</si>
  <si>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</si>
  <si>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</si>
  <si>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</si>
  <si>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</si>
  <si>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</si>
  <si>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</si>
  <si>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</si>
  <si>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</si>
  <si>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</si>
  <si>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</si>
  <si>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</si>
  <si>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</si>
  <si>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</si>
  <si>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</si>
  <si>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</si>
  <si>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</si>
  <si>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</si>
  <si>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</si>
  <si>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</si>
  <si>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</si>
  <si>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</si>
  <si>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</si>
  <si>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</si>
  <si>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</si>
  <si>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</si>
  <si>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</si>
  <si>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</si>
  <si>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</si>
  <si>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</si>
  <si>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</si>
  <si>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</si>
  <si>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</si>
  <si>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</si>
  <si>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</si>
  <si>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</si>
  <si>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</si>
  <si>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</si>
  <si>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</si>
  <si>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</si>
  <si>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</si>
  <si>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</si>
  <si>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</si>
  <si>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</si>
  <si>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</si>
  <si>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</si>
  <si>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</si>
  <si>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</si>
  <si>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</si>
  <si>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</si>
  <si>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</si>
  <si>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</si>
  <si>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</si>
  <si>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</si>
  <si>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</si>
  <si>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</si>
  <si>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</si>
  <si>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</si>
  <si>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</si>
  <si>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</si>
  <si>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</si>
  <si>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</si>
  <si>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</si>
  <si>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</si>
  <si>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</si>
  <si>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</si>
  <si>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</si>
  <si>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</si>
  <si>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</si>
  <si>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</si>
  <si>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</si>
  <si>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</si>
  <si>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</si>
  <si>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</si>
  <si>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</si>
  <si>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</si>
  <si>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</si>
  <si>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</si>
  <si>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</si>
  <si>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</si>
  <si>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</si>
  <si>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</si>
  <si>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</si>
  <si>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</si>
  <si>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</si>
  <si>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</si>
  <si>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</si>
  <si>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</si>
  <si>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</si>
  <si>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</si>
  <si>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</si>
  <si>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</si>
  <si>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</si>
  <si>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</si>
  <si>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</si>
  <si>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</si>
  <si>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</si>
  <si>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</si>
  <si>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</si>
  <si>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</si>
  <si>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</si>
  <si>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</si>
  <si>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</si>
  <si>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</si>
  <si>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</si>
  <si>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</si>
  <si>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</si>
  <si>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</si>
  <si>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</si>
  <si>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</si>
  <si>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</si>
  <si>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</si>
  <si>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</si>
  <si>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</si>
  <si>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</si>
  <si>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</si>
  <si>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</si>
  <si>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</si>
  <si>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</si>
  <si>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</si>
  <si>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</si>
  <si>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</si>
  <si>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</si>
  <si>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</si>
  <si>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</si>
  <si>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</si>
  <si>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</si>
  <si>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</si>
  <si>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</si>
  <si>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</si>
  <si>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</si>
  <si>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</si>
  <si>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</si>
  <si>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</si>
  <si>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</si>
  <si>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</si>
  <si>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</si>
  <si>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</si>
  <si>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</si>
  <si>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</si>
  <si>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</si>
  <si>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</si>
  <si>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</si>
  <si>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</si>
  <si>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</si>
  <si>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</si>
  <si>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</si>
  <si>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</si>
  <si>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</si>
  <si>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</si>
  <si>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</si>
  <si>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</si>
  <si>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</si>
  <si>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</si>
  <si>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</si>
  <si>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</si>
  <si>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</si>
  <si>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</si>
  <si>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</si>
  <si>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</si>
  <si>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</si>
  <si>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</si>
  <si>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</si>
  <si>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</si>
  <si>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</si>
  <si>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</si>
  <si>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</si>
  <si>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</si>
  <si>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</si>
  <si>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</si>
  <si>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</si>
  <si>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</si>
  <si>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</si>
  <si>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</si>
  <si>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</si>
  <si>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</si>
  <si>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</si>
  <si>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</si>
  <si>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</si>
  <si>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</si>
  <si>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</si>
  <si>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</si>
  <si>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</si>
  <si>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</si>
  <si>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</si>
  <si>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</si>
  <si>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</si>
  <si>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</si>
  <si>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</si>
  <si>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</si>
  <si>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</si>
  <si>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</si>
  <si>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</si>
  <si>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</si>
  <si>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</si>
  <si>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</si>
  <si>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</si>
  <si>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</si>
  <si>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</si>
  <si>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</si>
  <si>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</si>
  <si>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</si>
  <si>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</si>
  <si>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</si>
  <si>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</si>
  <si>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</si>
  <si>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</si>
  <si>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</si>
  <si>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</si>
  <si>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</si>
  <si>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</si>
  <si>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</si>
  <si>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</si>
  <si>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</si>
  <si>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</si>
  <si>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</si>
  <si>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</si>
  <si>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</si>
  <si>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</si>
  <si>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</si>
  <si>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</si>
  <si>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</si>
  <si>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</si>
  <si>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</si>
  <si>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</si>
  <si>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</si>
  <si>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</si>
  <si>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</si>
  <si>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</si>
  <si>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</si>
  <si>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</si>
  <si>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</si>
  <si>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</si>
  <si>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</si>
  <si>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</si>
  <si>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</si>
  <si>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</si>
  <si>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</si>
  <si>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</si>
  <si>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</si>
  <si>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</si>
  <si>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</si>
  <si>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</si>
  <si>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</si>
  <si>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</si>
  <si>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</si>
  <si>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</si>
  <si>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</si>
  <si>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</si>
  <si>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</si>
  <si>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</si>
  <si>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</si>
  <si>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</si>
  <si>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</si>
  <si>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</si>
  <si>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</si>
  <si>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</si>
  <si>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</si>
  <si>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</si>
  <si>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</si>
  <si>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</si>
  <si>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</si>
  <si>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</si>
  <si>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</si>
  <si>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</si>
  <si>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</si>
  <si>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</si>
  <si>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</si>
  <si>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</si>
  <si>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</si>
  <si>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</si>
  <si>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</si>
  <si>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</si>
  <si>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</si>
  <si>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</si>
  <si>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</si>
  <si>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</si>
  <si>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</si>
  <si>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</si>
  <si>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</si>
  <si>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</si>
  <si>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</si>
  <si>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</si>
  <si>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</si>
  <si>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</si>
  <si>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</si>
  <si>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</si>
  <si>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</si>
  <si>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</si>
  <si>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</si>
  <si>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</si>
  <si>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</si>
  <si>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</si>
  <si>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</si>
  <si>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</si>
  <si>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</si>
  <si>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</si>
  <si>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</si>
  <si>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</si>
  <si>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</si>
  <si>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</si>
  <si>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</si>
  <si>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</si>
  <si>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</si>
  <si>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</si>
  <si>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</si>
  <si>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</si>
  <si>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</si>
  <si>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</si>
  <si>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</si>
  <si>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</si>
  <si>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</si>
  <si>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</si>
  <si>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</si>
  <si>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</si>
  <si>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</si>
  <si>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</si>
  <si>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</si>
  <si>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</si>
  <si>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</si>
  <si>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</si>
  <si>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</si>
  <si>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</si>
  <si>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</si>
  <si>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</si>
  <si>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</si>
  <si>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</si>
  <si>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</si>
  <si>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</si>
  <si>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</si>
  <si>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</si>
  <si>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</si>
  <si>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</si>
  <si>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</si>
  <si>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</si>
  <si>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</si>
  <si>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</si>
  <si>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</si>
  <si>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</si>
  <si>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</si>
  <si>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</si>
  <si>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</si>
  <si>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</si>
  <si>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</si>
  <si>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</si>
  <si>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</si>
  <si>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</si>
  <si>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</si>
  <si>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</si>
  <si>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</si>
  <si>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</si>
  <si>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</si>
  <si>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</si>
  <si>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</si>
  <si>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</si>
  <si>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</si>
  <si>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</si>
  <si>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</si>
  <si>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</si>
  <si>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</si>
  <si>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</si>
  <si>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</si>
  <si>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</si>
  <si>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</si>
  <si>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</si>
  <si>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</si>
  <si>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</si>
  <si>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</si>
  <si>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</si>
  <si>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</si>
  <si>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</si>
  <si>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</si>
  <si>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</si>
  <si>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</si>
  <si>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</si>
  <si>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</si>
  <si>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</si>
  <si>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</si>
  <si>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</si>
  <si>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</si>
  <si>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</si>
  <si>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</si>
  <si>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</si>
  <si>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</si>
  <si>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</si>
  <si>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</si>
  <si>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</si>
  <si>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</si>
  <si>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</si>
  <si>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</si>
  <si>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</si>
  <si>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</si>
  <si>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</si>
  <si>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</si>
  <si>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</si>
  <si>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</si>
  <si>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</si>
  <si>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</si>
  <si>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</si>
  <si>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</si>
  <si>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</si>
  <si>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</si>
  <si>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</si>
  <si>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</si>
  <si>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</si>
  <si>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</si>
  <si>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</si>
  <si>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</si>
  <si>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</si>
  <si>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</si>
  <si>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</si>
  <si>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</si>
  <si>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</si>
  <si>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</si>
  <si>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</si>
  <si>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</si>
  <si>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</si>
  <si>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</si>
  <si>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</si>
  <si>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</si>
  <si>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</si>
  <si>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</si>
  <si>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</si>
  <si>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</si>
  <si>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</si>
  <si>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</si>
  <si>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</si>
  <si>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</si>
  <si>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</si>
  <si>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</si>
  <si>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</si>
  <si>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</si>
  <si>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</si>
  <si>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</si>
  <si>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</si>
  <si>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</si>
  <si>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</si>
  <si>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</si>
  <si>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</si>
  <si>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</si>
  <si>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</si>
  <si>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</si>
  <si>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</si>
  <si>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</si>
  <si>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</si>
  <si>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</si>
  <si>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</si>
  <si>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</si>
  <si>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</si>
  <si>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</si>
  <si>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</si>
  <si>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</si>
  <si>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</si>
  <si>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</si>
  <si>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</si>
  <si>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</si>
  <si>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</si>
  <si>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</si>
  <si>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</si>
  <si>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</si>
  <si>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</si>
  <si>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</si>
  <si>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</si>
  <si>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</si>
  <si>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</si>
  <si>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</si>
  <si>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</si>
  <si>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</si>
  <si>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</si>
  <si>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</si>
  <si>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</si>
  <si>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</si>
  <si>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</si>
  <si>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</si>
  <si>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</si>
  <si>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</si>
  <si>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</si>
  <si>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</si>
  <si>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</si>
  <si>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</si>
  <si>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</si>
  <si>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</si>
  <si>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</si>
  <si>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</si>
  <si>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</si>
  <si>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</si>
  <si>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</si>
  <si>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</si>
  <si>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</si>
  <si>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</si>
  <si>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</si>
  <si>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</si>
  <si>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</si>
  <si>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</si>
  <si>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</si>
  <si>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</si>
  <si>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</si>
  <si>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</si>
  <si>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</si>
  <si>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</si>
  <si>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</si>
  <si>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</si>
  <si>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</si>
  <si>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</si>
  <si>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</si>
  <si>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</si>
  <si>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</si>
  <si>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</si>
  <si>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</si>
  <si>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</si>
  <si>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</si>
  <si>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</si>
  <si>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</si>
  <si>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</si>
  <si>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</si>
  <si>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</si>
  <si>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</si>
  <si>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</si>
  <si>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</si>
  <si>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</si>
  <si>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</si>
  <si>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</si>
  <si>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</si>
  <si>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</si>
  <si>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</si>
  <si>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</si>
  <si>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</si>
  <si>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</si>
  <si>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</si>
  <si>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</si>
  <si>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</si>
  <si>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</si>
  <si>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</si>
  <si>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</si>
  <si>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</si>
  <si>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</si>
  <si>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</si>
  <si>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</si>
  <si>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</si>
  <si>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</si>
  <si>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</si>
  <si>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</si>
  <si>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</si>
  <si>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</si>
  <si>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</si>
  <si>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</si>
  <si>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</si>
  <si>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</si>
  <si>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</si>
  <si>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</si>
  <si>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</si>
  <si>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</si>
  <si>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</si>
  <si>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</si>
  <si>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</si>
  <si>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</si>
  <si>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</si>
  <si>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</si>
  <si>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</si>
  <si>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</si>
  <si>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</si>
  <si>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</si>
  <si>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</si>
  <si>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</si>
  <si>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</si>
  <si>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</si>
  <si>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</si>
  <si>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</si>
  <si>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</si>
  <si>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</si>
  <si>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</si>
  <si>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</si>
  <si>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</si>
  <si>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</si>
  <si>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</si>
  <si>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</si>
  <si>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</si>
  <si>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</si>
  <si>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</si>
  <si>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</si>
  <si>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</si>
  <si>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</si>
  <si>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</si>
  <si>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</si>
  <si>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</si>
  <si>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</si>
  <si>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</si>
  <si>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</si>
  <si>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</si>
  <si>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</si>
  <si>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</si>
  <si>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</si>
  <si>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</si>
  <si>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</si>
  <si>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</si>
  <si>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</si>
  <si>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</si>
  <si>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</si>
  <si>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</si>
  <si>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</si>
  <si>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</si>
  <si>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</si>
  <si>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</si>
  <si>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</si>
  <si>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</si>
  <si>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</si>
  <si>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</si>
  <si>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</si>
  <si>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</si>
  <si>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</si>
  <si>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</si>
  <si>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</si>
  <si>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</si>
  <si>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</si>
  <si>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</si>
  <si>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</si>
  <si>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</si>
  <si>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</si>
  <si>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</si>
  <si>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</si>
  <si>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</si>
  <si>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</si>
  <si>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</si>
  <si>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</si>
  <si>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</si>
  <si>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</si>
  <si>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</si>
  <si>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</si>
  <si>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</si>
  <si>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</si>
  <si>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</si>
  <si>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</si>
  <si>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</si>
  <si>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</si>
  <si>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</si>
  <si>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</si>
  <si>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</si>
  <si>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</si>
  <si>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</si>
  <si>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</si>
  <si>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</si>
  <si>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</si>
  <si>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</si>
  <si>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</si>
  <si>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</si>
  <si>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</si>
  <si>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</si>
  <si>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</si>
  <si>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</si>
  <si>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</si>
  <si>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</si>
  <si>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</si>
  <si>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</si>
  <si>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</si>
  <si>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</si>
  <si>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</si>
  <si>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</si>
  <si>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</si>
  <si>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</si>
  <si>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</si>
  <si>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</si>
  <si>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</si>
  <si>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</si>
  <si>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</si>
  <si>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</si>
  <si>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</si>
  <si>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</si>
  <si>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</si>
  <si>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</si>
  <si>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</si>
  <si>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</si>
  <si>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</si>
  <si>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</si>
  <si>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</si>
  <si>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</si>
  <si>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</si>
  <si>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</si>
  <si>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</si>
  <si>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</si>
  <si>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</si>
  <si>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</si>
  <si>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</si>
  <si>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</si>
  <si>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</si>
  <si>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</si>
  <si>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</si>
  <si>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</si>
  <si>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</si>
  <si>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</si>
  <si>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</si>
  <si>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</si>
  <si>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</si>
  <si>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</si>
  <si>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</si>
  <si>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</si>
  <si>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</si>
  <si>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</si>
  <si>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</si>
  <si>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</si>
  <si>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</si>
  <si>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</si>
  <si>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</si>
  <si>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</si>
  <si>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</si>
  <si>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</si>
  <si>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</si>
  <si>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</si>
  <si>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</si>
  <si>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</si>
  <si>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</si>
  <si>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</si>
  <si>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</si>
  <si>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</si>
  <si>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</si>
  <si>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</si>
  <si>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</si>
  <si>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</si>
  <si>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</si>
  <si>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</si>
  <si>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</si>
  <si>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</si>
  <si>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</si>
  <si>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</si>
  <si>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</si>
  <si>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</si>
  <si>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</si>
  <si>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</si>
  <si>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</si>
  <si>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</si>
  <si>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</si>
  <si>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</si>
  <si>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</si>
  <si>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</si>
  <si>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</si>
  <si>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</si>
  <si>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</si>
  <si>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</si>
  <si>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</si>
  <si>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</si>
  <si>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</si>
  <si>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</si>
  <si>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</si>
  <si>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</si>
  <si>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</si>
  <si>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</si>
  <si>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</si>
  <si>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</si>
  <si>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</si>
  <si>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</si>
  <si>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</si>
  <si>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</si>
  <si>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</si>
  <si>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</si>
  <si>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</si>
  <si>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</si>
  <si>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</si>
  <si>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</si>
  <si>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</si>
  <si>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</si>
  <si>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</si>
  <si>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</si>
  <si>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</si>
  <si>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</si>
  <si>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</si>
  <si>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</si>
  <si>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</si>
  <si>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</si>
  <si>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</si>
  <si>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</si>
  <si>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</si>
  <si>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</si>
  <si>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</si>
  <si>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</si>
  <si>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</si>
  <si>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</si>
  <si>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</si>
  <si>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</si>
  <si>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</si>
  <si>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</si>
  <si>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</si>
  <si>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</si>
  <si>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</si>
  <si>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</si>
  <si>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</si>
  <si>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</si>
  <si>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</si>
  <si>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</si>
  <si>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</si>
  <si>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</si>
  <si>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</si>
  <si>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</si>
  <si>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</si>
  <si>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</si>
  <si>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</si>
  <si>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</si>
  <si>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</si>
  <si>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</si>
  <si>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</si>
  <si>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</si>
  <si>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</si>
  <si>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</si>
  <si>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</si>
  <si>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</si>
  <si>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</si>
  <si>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</si>
  <si>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</si>
  <si>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</si>
  <si>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</si>
  <si>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</si>
  <si>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</si>
  <si>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</si>
  <si>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</si>
  <si>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</si>
  <si>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</si>
  <si>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</si>
  <si>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</si>
  <si>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</si>
  <si>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</si>
  <si>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光华路2号院5号楼19层2210</t>
  </si>
  <si>
    <t>阳光100</t>
  </si>
  <si>
    <t>商品房</t>
  </si>
  <si>
    <t>公寓</t>
  </si>
  <si>
    <t>32（-03）</t>
  </si>
  <si>
    <t>光华路2号院1号楼25层2910</t>
  </si>
  <si>
    <t>34（-03）</t>
  </si>
  <si>
    <t>光华路2号院5号楼6层706</t>
  </si>
  <si>
    <t>光华路2号院1号楼21层2503</t>
  </si>
  <si>
    <t>光华路2号院5号楼19层2209</t>
  </si>
  <si>
    <t>光华路2号院2号楼21层2507</t>
  </si>
  <si>
    <t>34（-3）</t>
  </si>
  <si>
    <t>京朝国用（2014出）第11749号</t>
  </si>
  <si>
    <t>光华路2号院3号楼18层2107</t>
  </si>
  <si>
    <t>普通住宅</t>
  </si>
  <si>
    <t>光华路2号4号楼0603</t>
  </si>
  <si>
    <t>阳光100国际公寓</t>
  </si>
  <si>
    <t>住宅</t>
  </si>
  <si>
    <t>11（0）</t>
  </si>
  <si>
    <t>京市朝私国用（2008出）第7002617号</t>
  </si>
  <si>
    <t>光华路2号院1号楼31层3602</t>
  </si>
  <si>
    <t>光华路2号1号楼28至30层3205</t>
  </si>
  <si>
    <t>28-30</t>
  </si>
  <si>
    <t>光华路2号5号楼0609</t>
  </si>
  <si>
    <t>32（-3）</t>
  </si>
  <si>
    <t>京市朝私国用（2007出）第0001291号</t>
  </si>
  <si>
    <t>光华路2号院3号楼16层1909</t>
  </si>
  <si>
    <t>京市朝私国用（2009出）第8000790号</t>
  </si>
  <si>
    <t>光华路2号1号楼14层1704</t>
  </si>
  <si>
    <t>光华路2号院3号楼29至30层3308</t>
  </si>
  <si>
    <t>29-30</t>
  </si>
  <si>
    <t>光华路2号院2号楼7层802</t>
  </si>
  <si>
    <t>光华路2号院3号楼110</t>
  </si>
  <si>
    <t>京市朝私国用（2004出）字第3210030号</t>
  </si>
  <si>
    <t>光华路2号院1号楼22层2602</t>
  </si>
  <si>
    <t>光华路2号院5号楼2707</t>
  </si>
  <si>
    <t>京市朝私国用（2006出）第3210366号</t>
  </si>
  <si>
    <t>光华路2号3号楼602</t>
  </si>
  <si>
    <t>京市朝私国用（2008出）第7002264号</t>
  </si>
  <si>
    <t>光华路2号院1号楼14层1709号</t>
  </si>
  <si>
    <t>京市朝私国用（2006出）第2780446号</t>
  </si>
  <si>
    <t>光华路2号院3号楼5层603</t>
  </si>
  <si>
    <t>光华路2号院5号楼2层203号</t>
  </si>
  <si>
    <t>光华路2号院2号楼7层808号</t>
  </si>
  <si>
    <t>光华路2号院2号楼13层1609号</t>
  </si>
  <si>
    <t>光华路2号院2号楼25层2907号</t>
  </si>
  <si>
    <t>光华路2号院5号楼16层1908号</t>
  </si>
  <si>
    <t>光华路2号院3号楼3208号</t>
  </si>
  <si>
    <t>京市朝私国用（2005出）第3210240号</t>
  </si>
  <si>
    <t>光华路2号院2号楼9层1001号</t>
  </si>
  <si>
    <t>光华路2号院5号楼19层2205号</t>
  </si>
  <si>
    <t>光华路2号院5号楼26层3003号</t>
  </si>
  <si>
    <t>32(-03）</t>
  </si>
  <si>
    <t>光华路2号2号楼5层608号</t>
  </si>
  <si>
    <t>京朝私国用（2010出）第0604012号</t>
  </si>
  <si>
    <t>光华路2号5号楼1710号</t>
  </si>
  <si>
    <t>京市朝私国用（2006出）第3210323号</t>
  </si>
  <si>
    <t>光华路2号1号楼3304号</t>
  </si>
  <si>
    <t>京市朝私国用（2003出）字第2780048号</t>
  </si>
  <si>
    <t>光华路2号院2号楼29至30层3303号</t>
  </si>
  <si>
    <t>京朝国用（2015出）第12276号</t>
  </si>
  <si>
    <t>光华路2号院1号楼1107号</t>
  </si>
  <si>
    <t>光华路2号院5号楼6层701号</t>
  </si>
  <si>
    <t>光华路2号院2号楼1至2层108号</t>
  </si>
  <si>
    <t>光华路2号院3号楼27层3107号</t>
  </si>
  <si>
    <t>光华路2号院5号楼3层305号</t>
  </si>
  <si>
    <t>京朝国用（2014出）第12384号</t>
  </si>
  <si>
    <t>光华路2号院2号楼19层2204号</t>
  </si>
  <si>
    <t>光华路2号院5号楼8层910号</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</si>
  <si>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</si>
  <si>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</si>
  <si>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</si>
  <si>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</si>
  <si>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</si>
  <si>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</si>
  <si>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</si>
  <si>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</si>
  <si>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</si>
  <si>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</si>
  <si>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1-2</t>
    <phoneticPr fontId="134" type="noConversion"/>
  </si>
  <si>
    <t>阳光100</t>
    <phoneticPr fontId="3" type="noConversion"/>
  </si>
  <si>
    <t>是</t>
  </si>
  <si>
    <t>地上</t>
  </si>
  <si>
    <t>平层住宅</t>
  </si>
  <si>
    <t>住宅</t>
    <phoneticPr fontId="7" type="noConversion"/>
  </si>
  <si>
    <t>成新度</t>
  </si>
  <si>
    <t>利息：取LPR加浮动点数</t>
  </si>
  <si>
    <t>朝向</t>
    <phoneticPr fontId="134" type="noConversion"/>
  </si>
  <si>
    <t>装修</t>
    <phoneticPr fontId="134" type="noConversion"/>
  </si>
  <si>
    <t>高楼层</t>
    <phoneticPr fontId="24" type="noConversion"/>
  </si>
  <si>
    <t>中楼层</t>
    <phoneticPr fontId="24" type="noConversion"/>
  </si>
  <si>
    <t>低楼层</t>
    <phoneticPr fontId="24" type="noConversion"/>
  </si>
  <si>
    <t>楼层</t>
    <phoneticPr fontId="24" type="noConversion"/>
  </si>
  <si>
    <t>东</t>
    <phoneticPr fontId="134" type="noConversion"/>
  </si>
  <si>
    <t>普通装修</t>
    <phoneticPr fontId="134" type="noConversion"/>
  </si>
  <si>
    <t>东南</t>
    <phoneticPr fontId="134" type="noConversion"/>
  </si>
  <si>
    <t>西</t>
    <phoneticPr fontId="134" type="noConversion"/>
  </si>
  <si>
    <t>北</t>
    <phoneticPr fontId="134" type="noConversion"/>
  </si>
  <si>
    <t>西南</t>
    <phoneticPr fontId="134" type="noConversion"/>
  </si>
  <si>
    <t>简单装修</t>
    <phoneticPr fontId="134" type="noConversion"/>
  </si>
  <si>
    <t>西北</t>
    <phoneticPr fontId="134" type="noConversion"/>
  </si>
  <si>
    <t>东北</t>
    <phoneticPr fontId="134" type="noConversion"/>
  </si>
  <si>
    <t>正在装修</t>
    <phoneticPr fontId="13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</si>
  <si>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</si>
  <si>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</si>
  <si>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</si>
  <si>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</si>
  <si>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</si>
  <si>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</si>
  <si>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</si>
  <si>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</si>
  <si>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</si>
  <si>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</si>
  <si>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</si>
  <si>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</si>
  <si>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</si>
  <si>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</si>
  <si>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</si>
  <si>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</si>
  <si>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</si>
  <si>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</si>
  <si>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光华路2号3号楼20层2303</t>
    <phoneticPr fontId="134" type="noConversion"/>
  </si>
  <si>
    <t>北</t>
    <phoneticPr fontId="134" type="noConversion"/>
  </si>
  <si>
    <t>普通装修</t>
  </si>
  <si>
    <t>普通装修</t>
    <phoneticPr fontId="134" type="noConversion"/>
  </si>
  <si>
    <t>朝向</t>
    <phoneticPr fontId="24" type="noConversion"/>
  </si>
  <si>
    <t>北</t>
    <phoneticPr fontId="24" type="noConversion"/>
  </si>
  <si>
    <t>https://sf-item.taobao.com/sf_item/634347944344.htm?spm=a2129.25287131.puimod-pc-search-list_9018433170.1&amp;pmid=4825333044_1694425164369&amp;pmtk=20140647.0.0.0.27064540.puimod-zc-focus-2021_2860107850.category-1-1&amp;path=27064540%2C25287131&amp;scm=20140647.julang.pm.sem&amp;track_id=02606512-aaf0-4c67-b058-9f8f5bcd5a8e</t>
  </si>
  <si>
    <t>朝阳区光华路阳光100小区2号2号楼1至2层107室住宅</t>
  </si>
  <si>
    <t>https://sf-item.taobao.com/sf_item/664613306072.htm?spm=a2129.25287131.puimod-pc-search-list_9018433170.5&amp;pmid=4825333044_1694425164369&amp;pmtk=20140647.0.0.0.27064540.puimod-zc-focus-2021_2860107850.category-1-1&amp;path=27064540%2C25287131&amp;scm=20140647.julang.pm.sem&amp;track_id=02606512-aaf0-4c67-b058-9f8f5bcd5a8e</t>
  </si>
  <si>
    <t>成交</t>
    <phoneticPr fontId="134" type="noConversion"/>
  </si>
  <si>
    <t>朝阳区光华路2号院3号楼29至30层3309</t>
  </si>
  <si>
    <t>https://sf-item.taobao.com/sf_item/678103093644.htm?spm=a2129.25287131.puimod-pc-search-list_9018433170.3&amp;pmid=4825333044_1694425164369&amp;pmtk=20140647.0.0.0.27064540.puimod-zc-focus-2021_2860107850.category-1-1&amp;path=27064540%2C25287131&amp;scm=20140647.julang.pm.sem&amp;track_id=02606512-aaf0-4c67-b058-9f8f5bcd5a8e</t>
  </si>
  <si>
    <t>朝阳区光华路2号院3号楼5层601</t>
    <phoneticPr fontId="134" type="noConversion"/>
  </si>
  <si>
    <t>链家成交</t>
    <phoneticPr fontId="134" type="noConversion"/>
  </si>
  <si>
    <t>复式</t>
    <phoneticPr fontId="134" type="noConversion"/>
  </si>
  <si>
    <t>链家挂牌</t>
    <phoneticPr fontId="134" type="noConversion"/>
  </si>
  <si>
    <t>顶层开间</t>
    <phoneticPr fontId="134" type="noConversion"/>
  </si>
  <si>
    <t>东北</t>
    <phoneticPr fontId="134" type="noConversion"/>
  </si>
  <si>
    <t>精装</t>
    <phoneticPr fontId="134" type="noConversion"/>
  </si>
  <si>
    <t>中楼层</t>
    <phoneticPr fontId="134" type="noConversion"/>
  </si>
  <si>
    <t>南</t>
    <phoneticPr fontId="134" type="noConversion"/>
  </si>
  <si>
    <t>七通</t>
  </si>
  <si>
    <t>塔楼</t>
  </si>
  <si>
    <t>塔楼</t>
    <phoneticPr fontId="24" type="noConversion"/>
  </si>
  <si>
    <t>钢混</t>
    <phoneticPr fontId="24" type="noConversion"/>
  </si>
  <si>
    <t>物业公司管理</t>
  </si>
  <si>
    <t>物业公司管理</t>
    <phoneticPr fontId="24" type="noConversion"/>
  </si>
  <si>
    <t>七通</t>
    <phoneticPr fontId="24" type="noConversion"/>
  </si>
  <si>
    <t>六通</t>
  </si>
  <si>
    <t>六通</t>
    <phoneticPr fontId="24" type="noConversion"/>
  </si>
  <si>
    <t>开间</t>
  </si>
  <si>
    <t>开间</t>
    <phoneticPr fontId="24" type="noConversion"/>
  </si>
  <si>
    <t>精装修</t>
    <phoneticPr fontId="134" type="noConversion"/>
  </si>
  <si>
    <t>周边有金地国际花园、蓝堡国际公寓、温特莱中心等住宅项目，居住社区成熟度较好。</t>
    <phoneticPr fontId="40" type="noConversion"/>
  </si>
  <si>
    <t>周边有31路、138路、421路、486路、985路等多条公交线路，距离地铁1、14号线大望路站约600米，交通较便捷。</t>
    <phoneticPr fontId="40" type="noConversion"/>
  </si>
  <si>
    <t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t>
    <phoneticPr fontId="40" type="noConversion"/>
  </si>
  <si>
    <t>估价对象周边有通惠河、庆丰公园、团结湖公园等自然环境；有中央广播电视总台、首经贸大学等人文环境，综合评价自然人文环境较好。</t>
    <phoneticPr fontId="40" type="noConversion"/>
  </si>
  <si>
    <t>精装修</t>
  </si>
  <si>
    <t>精装修</t>
    <phoneticPr fontId="24" type="noConversion"/>
  </si>
  <si>
    <t>普通装修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</si>
</sst>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2"/>
      <color rgb="FF333333"/>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95" fillId="0" borderId="0" xfId="0" applyFont="1">
      <alignment vertical="center"/>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95" fillId="22" borderId="0" xfId="0" applyFont="1" applyFill="1" applyAlignment="1">
      <alignment horizontal="center" vertical="center" wrapText="1"/>
    </xf>
    <xf numFmtId="31" fontId="95" fillId="22" borderId="0" xfId="0" applyNumberFormat="1" applyFont="1" applyFill="1" applyAlignment="1">
      <alignment horizontal="center" vertical="center" wrapText="1"/>
    </xf>
    <xf numFmtId="0" fontId="95" fillId="23" borderId="0" xfId="0" applyFont="1" applyFill="1" applyAlignment="1">
      <alignment horizontal="center" vertical="center" wrapText="1"/>
    </xf>
    <xf numFmtId="31" fontId="95" fillId="23" borderId="0" xfId="0" applyNumberFormat="1" applyFont="1" applyFill="1" applyAlignment="1">
      <alignment horizontal="center" vertical="center" wrapText="1"/>
    </xf>
    <xf numFmtId="49" fontId="95" fillId="23" borderId="0" xfId="0" applyNumberFormat="1" applyFont="1" applyFill="1" applyAlignment="1">
      <alignment horizontal="center" vertical="center" wrapText="1"/>
    </xf>
    <xf numFmtId="10" fontId="47" fillId="12" borderId="0" xfId="0" applyNumberFormat="1" applyFont="1" applyFill="1" applyAlignment="1" applyProtection="1">
      <alignment vertical="center"/>
      <protection locked="0"/>
    </xf>
    <xf numFmtId="0" fontId="0" fillId="24" borderId="0" xfId="0" applyFill="1">
      <alignment vertical="center"/>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0" fontId="269" fillId="5" borderId="0" xfId="0" applyFont="1" applyFill="1">
      <alignment vertical="center"/>
    </xf>
    <xf numFmtId="0" fontId="0" fillId="0" borderId="0" xfId="0" applyAlignment="1">
      <alignment horizontal="center" vertical="center"/>
    </xf>
    <xf numFmtId="0" fontId="269" fillId="5" borderId="0" xfId="0" applyFont="1" applyFill="1" applyAlignment="1">
      <alignment horizontal="center" vertical="center"/>
    </xf>
    <xf numFmtId="31" fontId="269" fillId="5" borderId="0" xfId="0" applyNumberFormat="1"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270" fillId="0" borderId="0" xfId="0" applyFont="1" applyAlignment="1">
      <alignment vertical="center" wrapText="1"/>
    </xf>
    <xf numFmtId="14" fontId="0" fillId="0" borderId="0" xfId="0" applyNumberFormat="1">
      <alignment vertical="center"/>
    </xf>
    <xf numFmtId="0" fontId="95" fillId="0" borderId="0" xfId="0" applyFont="1" applyFill="1" applyAlignment="1">
      <alignment horizontal="center" vertical="center" wrapText="1"/>
    </xf>
    <xf numFmtId="31" fontId="95" fillId="0" borderId="0" xfId="0" applyNumberFormat="1" applyFont="1" applyFill="1" applyAlignment="1">
      <alignment horizontal="center" vertical="center" wrapText="1"/>
    </xf>
    <xf numFmtId="0" fontId="269" fillId="23" borderId="0" xfId="0" applyFont="1" applyFill="1" applyAlignment="1">
      <alignment horizontal="center" vertical="center" wrapText="1"/>
    </xf>
    <xf numFmtId="0" fontId="95" fillId="0" borderId="0" xfId="0" applyFont="1" applyFill="1">
      <alignment vertical="center"/>
    </xf>
    <xf numFmtId="0" fontId="0" fillId="0" borderId="0" xfId="0" applyFill="1">
      <alignment vertical="center"/>
    </xf>
    <xf numFmtId="0" fontId="0" fillId="23" borderId="0" xfId="0" applyFill="1" applyAlignment="1">
      <alignment horizontal="center" vertical="center"/>
    </xf>
    <xf numFmtId="0" fontId="269" fillId="25" borderId="0" xfId="0" applyFont="1" applyFill="1" applyAlignment="1">
      <alignment horizontal="center" vertical="center" wrapText="1"/>
    </xf>
    <xf numFmtId="0" fontId="0" fillId="25" borderId="0" xfId="0" applyFill="1">
      <alignment vertical="center"/>
    </xf>
    <xf numFmtId="14" fontId="0" fillId="25" borderId="0" xfId="0" applyNumberFormat="1" applyFill="1">
      <alignment vertical="center"/>
    </xf>
    <xf numFmtId="0" fontId="95" fillId="25" borderId="0" xfId="0" applyFont="1" applyFill="1">
      <alignment vertical="center"/>
    </xf>
    <xf numFmtId="0" fontId="0" fillId="25" borderId="0" xfId="0" applyFill="1" applyAlignment="1">
      <alignment horizontal="center" vertical="center"/>
    </xf>
    <xf numFmtId="17" fontId="0" fillId="25" borderId="0" xfId="0" applyNumberFormat="1" applyFill="1">
      <alignmen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38100</xdr:rowOff>
    </xdr:from>
    <xdr:to>
      <xdr:col>5</xdr:col>
      <xdr:colOff>275762</xdr:colOff>
      <xdr:row>70</xdr:row>
      <xdr:rowOff>85205</xdr:rowOff>
    </xdr:to>
    <xdr:pic>
      <xdr:nvPicPr>
        <xdr:cNvPr id="3" name="图片 2">
          <a:extLst>
            <a:ext uri="{FF2B5EF4-FFF2-40B4-BE49-F238E27FC236}">
              <a16:creationId xmlns:a16="http://schemas.microsoft.com/office/drawing/2014/main" id="{03A00F12-C61F-4598-9C24-2245D4783EBC}"/>
            </a:ext>
          </a:extLst>
        </xdr:cNvPr>
        <xdr:cNvPicPr>
          <a:picLocks noChangeAspect="1"/>
        </xdr:cNvPicPr>
      </xdr:nvPicPr>
      <xdr:blipFill>
        <a:blip xmlns:r="http://schemas.openxmlformats.org/officeDocument/2006/relationships" r:embed="rId1"/>
        <a:stretch>
          <a:fillRect/>
        </a:stretch>
      </xdr:blipFill>
      <xdr:spPr>
        <a:xfrm>
          <a:off x="0" y="31584900"/>
          <a:ext cx="3704762" cy="4161905"/>
        </a:xfrm>
        <a:prstGeom prst="rect">
          <a:avLst/>
        </a:prstGeom>
      </xdr:spPr>
    </xdr:pic>
    <xdr:clientData/>
  </xdr:twoCellAnchor>
  <xdr:twoCellAnchor editAs="oneCell">
    <xdr:from>
      <xdr:col>5</xdr:col>
      <xdr:colOff>438150</xdr:colOff>
      <xdr:row>44</xdr:row>
      <xdr:rowOff>47625</xdr:rowOff>
    </xdr:from>
    <xdr:to>
      <xdr:col>16</xdr:col>
      <xdr:colOff>780087</xdr:colOff>
      <xdr:row>85</xdr:row>
      <xdr:rowOff>84842</xdr:rowOff>
    </xdr:to>
    <xdr:pic>
      <xdr:nvPicPr>
        <xdr:cNvPr id="4" name="图片 3">
          <a:extLst>
            <a:ext uri="{FF2B5EF4-FFF2-40B4-BE49-F238E27FC236}">
              <a16:creationId xmlns:a16="http://schemas.microsoft.com/office/drawing/2014/main" id="{CD82E5D9-9641-4608-B2B4-1B039F13D8F4}"/>
            </a:ext>
          </a:extLst>
        </xdr:cNvPr>
        <xdr:cNvPicPr>
          <a:picLocks noChangeAspect="1"/>
        </xdr:cNvPicPr>
      </xdr:nvPicPr>
      <xdr:blipFill>
        <a:blip xmlns:r="http://schemas.openxmlformats.org/officeDocument/2006/relationships" r:embed="rId2"/>
        <a:stretch>
          <a:fillRect/>
        </a:stretch>
      </xdr:blipFill>
      <xdr:spPr>
        <a:xfrm>
          <a:off x="3867150" y="31251525"/>
          <a:ext cx="7704762" cy="7066667"/>
        </a:xfrm>
        <a:prstGeom prst="rect">
          <a:avLst/>
        </a:prstGeom>
      </xdr:spPr>
    </xdr:pic>
    <xdr:clientData/>
  </xdr:twoCellAnchor>
  <xdr:twoCellAnchor editAs="oneCell">
    <xdr:from>
      <xdr:col>1</xdr:col>
      <xdr:colOff>647700</xdr:colOff>
      <xdr:row>84</xdr:row>
      <xdr:rowOff>161925</xdr:rowOff>
    </xdr:from>
    <xdr:to>
      <xdr:col>14</xdr:col>
      <xdr:colOff>332323</xdr:colOff>
      <xdr:row>123</xdr:row>
      <xdr:rowOff>161089</xdr:rowOff>
    </xdr:to>
    <xdr:pic>
      <xdr:nvPicPr>
        <xdr:cNvPr id="5" name="图片 4">
          <a:extLst>
            <a:ext uri="{FF2B5EF4-FFF2-40B4-BE49-F238E27FC236}">
              <a16:creationId xmlns:a16="http://schemas.microsoft.com/office/drawing/2014/main" id="{4A44C72B-F07A-4694-81B0-3A9E6029EE78}"/>
            </a:ext>
          </a:extLst>
        </xdr:cNvPr>
        <xdr:cNvPicPr>
          <a:picLocks noChangeAspect="1"/>
        </xdr:cNvPicPr>
      </xdr:nvPicPr>
      <xdr:blipFill>
        <a:blip xmlns:r="http://schemas.openxmlformats.org/officeDocument/2006/relationships" r:embed="rId3"/>
        <a:stretch>
          <a:fillRect/>
        </a:stretch>
      </xdr:blipFill>
      <xdr:spPr>
        <a:xfrm>
          <a:off x="1333500" y="38223825"/>
          <a:ext cx="8419048" cy="6685714"/>
        </a:xfrm>
        <a:prstGeom prst="rect">
          <a:avLst/>
        </a:prstGeom>
      </xdr:spPr>
    </xdr:pic>
    <xdr:clientData/>
  </xdr:twoCellAnchor>
  <xdr:twoCellAnchor editAs="oneCell">
    <xdr:from>
      <xdr:col>21</xdr:col>
      <xdr:colOff>28574</xdr:colOff>
      <xdr:row>8</xdr:row>
      <xdr:rowOff>629880</xdr:rowOff>
    </xdr:from>
    <xdr:to>
      <xdr:col>28</xdr:col>
      <xdr:colOff>379837</xdr:colOff>
      <xdr:row>11</xdr:row>
      <xdr:rowOff>647155</xdr:rowOff>
    </xdr:to>
    <xdr:pic>
      <xdr:nvPicPr>
        <xdr:cNvPr id="2" name="图片 1">
          <a:extLst>
            <a:ext uri="{FF2B5EF4-FFF2-40B4-BE49-F238E27FC236}">
              <a16:creationId xmlns:a16="http://schemas.microsoft.com/office/drawing/2014/main" id="{F04FFA57-1258-4092-A07F-FF6B68AB7004}"/>
            </a:ext>
          </a:extLst>
        </xdr:cNvPr>
        <xdr:cNvPicPr>
          <a:picLocks noChangeAspect="1"/>
        </xdr:cNvPicPr>
      </xdr:nvPicPr>
      <xdr:blipFill>
        <a:blip xmlns:r="http://schemas.openxmlformats.org/officeDocument/2006/relationships" r:embed="rId4"/>
        <a:stretch>
          <a:fillRect/>
        </a:stretch>
      </xdr:blipFill>
      <xdr:spPr>
        <a:xfrm>
          <a:off x="15697199" y="5125680"/>
          <a:ext cx="5151863" cy="2417575"/>
        </a:xfrm>
        <a:prstGeom prst="rect">
          <a:avLst/>
        </a:prstGeom>
      </xdr:spPr>
    </xdr:pic>
    <xdr:clientData/>
  </xdr:twoCellAnchor>
  <xdr:twoCellAnchor editAs="oneCell">
    <xdr:from>
      <xdr:col>21</xdr:col>
      <xdr:colOff>0</xdr:colOff>
      <xdr:row>11</xdr:row>
      <xdr:rowOff>527944</xdr:rowOff>
    </xdr:from>
    <xdr:to>
      <xdr:col>33</xdr:col>
      <xdr:colOff>598946</xdr:colOff>
      <xdr:row>14</xdr:row>
      <xdr:rowOff>66383</xdr:rowOff>
    </xdr:to>
    <xdr:pic>
      <xdr:nvPicPr>
        <xdr:cNvPr id="6" name="图片 5">
          <a:extLst>
            <a:ext uri="{FF2B5EF4-FFF2-40B4-BE49-F238E27FC236}">
              <a16:creationId xmlns:a16="http://schemas.microsoft.com/office/drawing/2014/main" id="{64E7B304-E52C-4234-91F8-C236B6CF7D80}"/>
            </a:ext>
          </a:extLst>
        </xdr:cNvPr>
        <xdr:cNvPicPr>
          <a:picLocks noChangeAspect="1"/>
        </xdr:cNvPicPr>
      </xdr:nvPicPr>
      <xdr:blipFill>
        <a:blip xmlns:r="http://schemas.openxmlformats.org/officeDocument/2006/relationships" r:embed="rId5"/>
        <a:stretch>
          <a:fillRect/>
        </a:stretch>
      </xdr:blipFill>
      <xdr:spPr>
        <a:xfrm>
          <a:off x="15668625" y="7424044"/>
          <a:ext cx="8828546" cy="2281639"/>
        </a:xfrm>
        <a:prstGeom prst="rect">
          <a:avLst/>
        </a:prstGeom>
      </xdr:spPr>
    </xdr:pic>
    <xdr:clientData/>
  </xdr:twoCellAnchor>
  <xdr:twoCellAnchor editAs="oneCell">
    <xdr:from>
      <xdr:col>21</xdr:col>
      <xdr:colOff>209550</xdr:colOff>
      <xdr:row>13</xdr:row>
      <xdr:rowOff>229601</xdr:rowOff>
    </xdr:from>
    <xdr:to>
      <xdr:col>31</xdr:col>
      <xdr:colOff>160455</xdr:colOff>
      <xdr:row>19</xdr:row>
      <xdr:rowOff>85039</xdr:rowOff>
    </xdr:to>
    <xdr:pic>
      <xdr:nvPicPr>
        <xdr:cNvPr id="7" name="图片 6">
          <a:extLst>
            <a:ext uri="{FF2B5EF4-FFF2-40B4-BE49-F238E27FC236}">
              <a16:creationId xmlns:a16="http://schemas.microsoft.com/office/drawing/2014/main" id="{88CF9C35-C1A5-429C-AA72-80F09F90D868}"/>
            </a:ext>
          </a:extLst>
        </xdr:cNvPr>
        <xdr:cNvPicPr>
          <a:picLocks noChangeAspect="1"/>
        </xdr:cNvPicPr>
      </xdr:nvPicPr>
      <xdr:blipFill>
        <a:blip xmlns:r="http://schemas.openxmlformats.org/officeDocument/2006/relationships" r:embed="rId6"/>
        <a:stretch>
          <a:fillRect/>
        </a:stretch>
      </xdr:blipFill>
      <xdr:spPr>
        <a:xfrm>
          <a:off x="15878175" y="8840201"/>
          <a:ext cx="6808905" cy="3170138"/>
        </a:xfrm>
        <a:prstGeom prst="rect">
          <a:avLst/>
        </a:prstGeom>
      </xdr:spPr>
    </xdr:pic>
    <xdr:clientData/>
  </xdr:twoCellAnchor>
  <xdr:twoCellAnchor editAs="oneCell">
    <xdr:from>
      <xdr:col>21</xdr:col>
      <xdr:colOff>209550</xdr:colOff>
      <xdr:row>13</xdr:row>
      <xdr:rowOff>229601</xdr:rowOff>
    </xdr:from>
    <xdr:to>
      <xdr:col>34</xdr:col>
      <xdr:colOff>313198</xdr:colOff>
      <xdr:row>15</xdr:row>
      <xdr:rowOff>667503</xdr:rowOff>
    </xdr:to>
    <xdr:pic>
      <xdr:nvPicPr>
        <xdr:cNvPr id="8" name="图片 7">
          <a:extLst>
            <a:ext uri="{FF2B5EF4-FFF2-40B4-BE49-F238E27FC236}">
              <a16:creationId xmlns:a16="http://schemas.microsoft.com/office/drawing/2014/main" id="{E63BFC13-295E-415B-9548-446A422DDBE2}"/>
            </a:ext>
          </a:extLst>
        </xdr:cNvPr>
        <xdr:cNvPicPr>
          <a:picLocks noChangeAspect="1"/>
        </xdr:cNvPicPr>
      </xdr:nvPicPr>
      <xdr:blipFill>
        <a:blip xmlns:r="http://schemas.openxmlformats.org/officeDocument/2006/relationships" r:embed="rId7"/>
        <a:stretch>
          <a:fillRect/>
        </a:stretch>
      </xdr:blipFill>
      <xdr:spPr>
        <a:xfrm>
          <a:off x="15878175" y="8840201"/>
          <a:ext cx="9019048" cy="1980952"/>
        </a:xfrm>
        <a:prstGeom prst="rect">
          <a:avLst/>
        </a:prstGeom>
      </xdr:spPr>
    </xdr:pic>
    <xdr:clientData/>
  </xdr:twoCellAnchor>
  <xdr:twoCellAnchor editAs="oneCell">
    <xdr:from>
      <xdr:col>20</xdr:col>
      <xdr:colOff>771525</xdr:colOff>
      <xdr:row>4</xdr:row>
      <xdr:rowOff>295275</xdr:rowOff>
    </xdr:from>
    <xdr:to>
      <xdr:col>34</xdr:col>
      <xdr:colOff>389358</xdr:colOff>
      <xdr:row>8</xdr:row>
      <xdr:rowOff>114018</xdr:rowOff>
    </xdr:to>
    <xdr:pic>
      <xdr:nvPicPr>
        <xdr:cNvPr id="9" name="图片 8">
          <a:extLst>
            <a:ext uri="{FF2B5EF4-FFF2-40B4-BE49-F238E27FC236}">
              <a16:creationId xmlns:a16="http://schemas.microsoft.com/office/drawing/2014/main" id="{FEE9E6E4-F605-4AD3-9965-DF9F6BADD42E}"/>
            </a:ext>
          </a:extLst>
        </xdr:cNvPr>
        <xdr:cNvPicPr>
          <a:picLocks noChangeAspect="1"/>
        </xdr:cNvPicPr>
      </xdr:nvPicPr>
      <xdr:blipFill>
        <a:blip xmlns:r="http://schemas.openxmlformats.org/officeDocument/2006/relationships" r:embed="rId8"/>
        <a:stretch>
          <a:fillRect/>
        </a:stretch>
      </xdr:blipFill>
      <xdr:spPr>
        <a:xfrm>
          <a:off x="15640050" y="2352675"/>
          <a:ext cx="9333333" cy="2257143"/>
        </a:xfrm>
        <a:prstGeom prst="rect">
          <a:avLst/>
        </a:prstGeom>
      </xdr:spPr>
    </xdr:pic>
    <xdr:clientData/>
  </xdr:twoCellAnchor>
  <xdr:twoCellAnchor editAs="oneCell">
    <xdr:from>
      <xdr:col>21</xdr:col>
      <xdr:colOff>66675</xdr:colOff>
      <xdr:row>3</xdr:row>
      <xdr:rowOff>542925</xdr:rowOff>
    </xdr:from>
    <xdr:to>
      <xdr:col>34</xdr:col>
      <xdr:colOff>398894</xdr:colOff>
      <xdr:row>7</xdr:row>
      <xdr:rowOff>85477</xdr:rowOff>
    </xdr:to>
    <xdr:pic>
      <xdr:nvPicPr>
        <xdr:cNvPr id="10" name="图片 9">
          <a:extLst>
            <a:ext uri="{FF2B5EF4-FFF2-40B4-BE49-F238E27FC236}">
              <a16:creationId xmlns:a16="http://schemas.microsoft.com/office/drawing/2014/main" id="{AC1F3291-B2E9-4E5D-AC0E-A3BB88FFABA7}"/>
            </a:ext>
          </a:extLst>
        </xdr:cNvPr>
        <xdr:cNvPicPr>
          <a:picLocks noChangeAspect="1"/>
        </xdr:cNvPicPr>
      </xdr:nvPicPr>
      <xdr:blipFill>
        <a:blip xmlns:r="http://schemas.openxmlformats.org/officeDocument/2006/relationships" r:embed="rId9"/>
        <a:stretch>
          <a:fillRect/>
        </a:stretch>
      </xdr:blipFill>
      <xdr:spPr>
        <a:xfrm>
          <a:off x="15735300" y="1914525"/>
          <a:ext cx="9247619" cy="1980952"/>
        </a:xfrm>
        <a:prstGeom prst="rect">
          <a:avLst/>
        </a:prstGeom>
      </xdr:spPr>
    </xdr:pic>
    <xdr:clientData/>
  </xdr:twoCellAnchor>
  <xdr:twoCellAnchor editAs="oneCell">
    <xdr:from>
      <xdr:col>0</xdr:col>
      <xdr:colOff>552450</xdr:colOff>
      <xdr:row>17</xdr:row>
      <xdr:rowOff>255589</xdr:rowOff>
    </xdr:from>
    <xdr:to>
      <xdr:col>14</xdr:col>
      <xdr:colOff>579517</xdr:colOff>
      <xdr:row>27</xdr:row>
      <xdr:rowOff>666021</xdr:rowOff>
    </xdr:to>
    <xdr:pic>
      <xdr:nvPicPr>
        <xdr:cNvPr id="11" name="图片 10">
          <a:extLst>
            <a:ext uri="{FF2B5EF4-FFF2-40B4-BE49-F238E27FC236}">
              <a16:creationId xmlns:a16="http://schemas.microsoft.com/office/drawing/2014/main" id="{B8EFD655-2076-4DE1-8932-430A3A1BBB08}"/>
            </a:ext>
          </a:extLst>
        </xdr:cNvPr>
        <xdr:cNvPicPr>
          <a:picLocks noChangeAspect="1"/>
        </xdr:cNvPicPr>
      </xdr:nvPicPr>
      <xdr:blipFill>
        <a:blip xmlns:r="http://schemas.openxmlformats.org/officeDocument/2006/relationships" r:embed="rId10"/>
        <a:stretch>
          <a:fillRect/>
        </a:stretch>
      </xdr:blipFill>
      <xdr:spPr>
        <a:xfrm>
          <a:off x="552450" y="11456989"/>
          <a:ext cx="9447292" cy="4563332"/>
        </a:xfrm>
        <a:prstGeom prst="rect">
          <a:avLst/>
        </a:prstGeom>
      </xdr:spPr>
    </xdr:pic>
    <xdr:clientData/>
  </xdr:twoCellAnchor>
  <xdr:twoCellAnchor editAs="oneCell">
    <xdr:from>
      <xdr:col>0</xdr:col>
      <xdr:colOff>0</xdr:colOff>
      <xdr:row>25</xdr:row>
      <xdr:rowOff>657225</xdr:rowOff>
    </xdr:from>
    <xdr:to>
      <xdr:col>14</xdr:col>
      <xdr:colOff>527571</xdr:colOff>
      <xdr:row>30</xdr:row>
      <xdr:rowOff>218618</xdr:rowOff>
    </xdr:to>
    <xdr:pic>
      <xdr:nvPicPr>
        <xdr:cNvPr id="13" name="图片 12">
          <a:extLst>
            <a:ext uri="{FF2B5EF4-FFF2-40B4-BE49-F238E27FC236}">
              <a16:creationId xmlns:a16="http://schemas.microsoft.com/office/drawing/2014/main" id="{58BA8C65-C788-435F-AA86-B95B7ED0D22B}"/>
            </a:ext>
          </a:extLst>
        </xdr:cNvPr>
        <xdr:cNvPicPr>
          <a:picLocks noChangeAspect="1"/>
        </xdr:cNvPicPr>
      </xdr:nvPicPr>
      <xdr:blipFill>
        <a:blip xmlns:r="http://schemas.openxmlformats.org/officeDocument/2006/relationships" r:embed="rId11"/>
        <a:stretch>
          <a:fillRect/>
        </a:stretch>
      </xdr:blipFill>
      <xdr:spPr>
        <a:xfrm>
          <a:off x="0" y="14639925"/>
          <a:ext cx="9947796" cy="3333293"/>
        </a:xfrm>
        <a:prstGeom prst="rect">
          <a:avLst/>
        </a:prstGeom>
      </xdr:spPr>
    </xdr:pic>
    <xdr:clientData/>
  </xdr:twoCellAnchor>
  <xdr:twoCellAnchor editAs="oneCell">
    <xdr:from>
      <xdr:col>4</xdr:col>
      <xdr:colOff>85725</xdr:colOff>
      <xdr:row>29</xdr:row>
      <xdr:rowOff>238125</xdr:rowOff>
    </xdr:from>
    <xdr:to>
      <xdr:col>13</xdr:col>
      <xdr:colOff>504825</xdr:colOff>
      <xdr:row>33</xdr:row>
      <xdr:rowOff>933450</xdr:rowOff>
    </xdr:to>
    <xdr:pic>
      <xdr:nvPicPr>
        <xdr:cNvPr id="14" name="图片 2">
          <a:extLst>
            <a:ext uri="{FF2B5EF4-FFF2-40B4-BE49-F238E27FC236}">
              <a16:creationId xmlns:a16="http://schemas.microsoft.com/office/drawing/2014/main" id="{C35D7CE5-15E9-4668-AAD0-318E25B0EB4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28925" y="17306925"/>
          <a:ext cx="64103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估价对象为北京市房地产，为所有。根据《国有土地使用证》[]，估价对象（分摊）出让国有建设用地使用权面积为0平方米，建筑面积为48.69平方米。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估价对象为北京市房地产,属开发建设的，该项目尚在开发建设中。根据《国有土地使用证》[]，估价对象（分摊）出让国有建设用地使用权面积为0平方米，规划建筑面积为48.69平方米。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2023年9月6日（评估专业人员实地查勘之日）</v>
      </c>
    </row>
    <row r="13" spans="1:2" s="1202" customFormat="1">
      <c r="A13" s="1200" t="s">
        <v>529</v>
      </c>
      <c r="B13" s="1201" t="str">
        <f>'预评函-1'!A18</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48.69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2578</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2579</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3" t="s">
        <v>385</v>
      </c>
      <c r="C54" s="1550" t="s">
        <v>583</v>
      </c>
    </row>
    <row r="55" spans="1:4">
      <c r="A55" s="3530"/>
      <c r="B55" s="1553" t="s">
        <v>386</v>
      </c>
      <c r="C55" s="1550" t="s">
        <v>584</v>
      </c>
    </row>
    <row r="56" spans="1:4">
      <c r="A56" s="3530"/>
      <c r="B56" s="1553" t="s">
        <v>387</v>
      </c>
      <c r="C56" s="1550" t="s">
        <v>588</v>
      </c>
    </row>
    <row r="57" spans="1:4">
      <c r="A57" s="353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31" t="s">
        <v>2581</v>
      </c>
      <c r="J2" s="3531"/>
      <c r="K2" s="3531"/>
      <c r="L2" s="3531"/>
      <c r="M2" s="3531"/>
      <c r="N2" s="3531"/>
      <c r="O2" s="3531"/>
      <c r="P2" s="3531"/>
      <c r="Q2" s="3531"/>
      <c r="R2" s="3531"/>
    </row>
    <row r="3" spans="1:18">
      <c r="A3" s="3016" t="s">
        <v>2502</v>
      </c>
      <c r="B3" s="3017">
        <f>项目基本情况!D3</f>
        <v>45175</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3.28</v>
      </c>
      <c r="D5" s="3021">
        <f>IF(ISERROR(ROUND(POWER(1+E5,A5-C5)*(POWER(1+E5,C5)-1)/(POWER(1+E5,A5)-1),3)),0,ROUND(POWER(1+E5,A5-C5)*(POWER(1+E5,C5)-1)/(POWER(1+E5,A5)-1),4))</f>
        <v>0.1525</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13.29</v>
      </c>
      <c r="D6" s="3021">
        <f>IF(ISERROR(ROUND(POWER(1+E6,A6-C6)*(POWER(1+E6,C6)-1)/(POWER(1+E6,A6)-1),3)),0,ROUND(POWER(1+E6,A6-C6)*(POWER(1+E6,C6)-1)/(POWER(1+E6,A6)-1),4))</f>
        <v>0.47270000000000001</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33.299999999999997</v>
      </c>
      <c r="D7" s="3021">
        <f>IF(ISERROR(ROUND(POWER(1+E7,A7-C7)*(POWER(1+E7,C7)-1)/(POWER(1+E7,A7)-1),3)),0,ROUND(POWER(1+E7,A7-C7)*(POWER(1+E7,C7)-1)/(POWER(1+E7,A7)-1),4))</f>
        <v>0.77910000000000001</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8" sqref="F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32" t="str">
        <f>IF(B10="北京市","北京市",C10)&amp;F10&amp;IF(结果表!G1="在建","出让国有建设用地使用权及在建建筑物",IF(结果表!G1="土地","出让国有建设用地使用权",))&amp;B9&amp;"预评估"</f>
        <v>北京市预评估</v>
      </c>
      <c r="C1" s="3533"/>
      <c r="D1" s="3533"/>
      <c r="E1" s="3533"/>
      <c r="F1" s="3533"/>
      <c r="G1" s="3533"/>
      <c r="H1" s="3533"/>
      <c r="I1" s="3534"/>
      <c r="J1" s="2467"/>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4" t="s">
        <v>2169</v>
      </c>
      <c r="B2" s="2368"/>
      <c r="C2" s="2369"/>
      <c r="D2" s="2666"/>
      <c r="E2" s="2658"/>
      <c r="F2" s="2658"/>
      <c r="G2" s="2659"/>
      <c r="H2" s="2659"/>
      <c r="I2" s="2659"/>
      <c r="J2" s="2467"/>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45175</v>
      </c>
      <c r="C3" s="2371" t="s">
        <v>2171</v>
      </c>
      <c r="D3" s="2370">
        <f>B3</f>
        <v>45175</v>
      </c>
      <c r="E3" s="2659"/>
      <c r="F3" s="2659"/>
      <c r="G3" s="2659"/>
      <c r="H3" s="2659"/>
      <c r="I3" s="2659"/>
      <c r="J3" s="2467"/>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0"/>
      <c r="F5" s="2660"/>
      <c r="G5" s="2660"/>
      <c r="H5" s="2660"/>
      <c r="I5" s="2660"/>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2175</v>
      </c>
      <c r="B7" s="2384"/>
      <c r="C7" s="2382"/>
      <c r="D7" s="2383"/>
      <c r="E7" s="2658"/>
      <c r="F7" s="2660"/>
      <c r="G7" s="2660"/>
      <c r="H7" s="2660"/>
      <c r="I7" s="2660"/>
      <c r="J7" s="2436"/>
      <c r="K7" s="2612"/>
      <c r="L7" s="2609"/>
      <c r="M7" s="2609"/>
      <c r="N7" s="2436"/>
      <c r="O7" s="2447"/>
      <c r="P7" s="2436"/>
      <c r="Q7" s="2436"/>
      <c r="R7" s="2436"/>
    </row>
    <row r="8" spans="1:30">
      <c r="A8" s="2385" t="s">
        <v>2176</v>
      </c>
      <c r="B8" s="2386"/>
      <c r="C8" s="2387"/>
      <c r="D8" s="3535" t="s">
        <v>2177</v>
      </c>
      <c r="E8" s="2388"/>
      <c r="F8" s="2389"/>
      <c r="G8" s="2659"/>
      <c r="H8" s="2659"/>
      <c r="I8" s="2659"/>
      <c r="J8" s="2436"/>
      <c r="K8" s="2610"/>
      <c r="L8" s="2609"/>
      <c r="M8" s="2609"/>
      <c r="N8" s="2436"/>
      <c r="O8" s="2447"/>
      <c r="P8" s="2436"/>
      <c r="Q8" s="2436"/>
      <c r="R8" s="2436"/>
    </row>
    <row r="9" spans="1:30" ht="13.5" thickBot="1">
      <c r="A9" s="2390" t="s">
        <v>2178</v>
      </c>
      <c r="B9" s="2391"/>
      <c r="C9" s="2392"/>
      <c r="D9" s="3536"/>
      <c r="E9" s="2391"/>
      <c r="F9" s="2393"/>
      <c r="G9" s="2661"/>
      <c r="H9" s="2661"/>
      <c r="I9" s="2661"/>
      <c r="J9" s="2436"/>
      <c r="K9" s="2612"/>
      <c r="L9" s="2609"/>
      <c r="M9" s="2609"/>
      <c r="N9" s="2436"/>
      <c r="O9" s="2447"/>
      <c r="P9" s="2436"/>
      <c r="Q9" s="2436"/>
      <c r="R9" s="2436"/>
    </row>
    <row r="10" spans="1:30" ht="13.5" thickTop="1">
      <c r="A10" s="2394" t="s">
        <v>2179</v>
      </c>
      <c r="B10" s="2395" t="s">
        <v>3377</v>
      </c>
      <c r="C10" s="2396"/>
      <c r="D10" s="2379"/>
      <c r="E10" s="2397" t="s">
        <v>2180</v>
      </c>
      <c r="F10" s="2662"/>
      <c r="G10" s="2663"/>
      <c r="H10" s="2664"/>
      <c r="I10" s="2665"/>
      <c r="J10" s="2436"/>
      <c r="K10" s="2612"/>
      <c r="L10" s="2609"/>
      <c r="M10" s="2609"/>
      <c r="N10" s="2436"/>
      <c r="O10" s="2447"/>
      <c r="P10" s="2436"/>
      <c r="Q10" s="2436"/>
      <c r="R10" s="2436"/>
    </row>
    <row r="11" spans="1:30">
      <c r="A11" s="2398" t="s">
        <v>2181</v>
      </c>
      <c r="B11" s="2399" t="s">
        <v>3376</v>
      </c>
      <c r="C11" s="2400"/>
      <c r="D11" s="2401"/>
      <c r="E11" s="2367"/>
      <c r="F11" s="2367"/>
      <c r="G11" s="2367"/>
      <c r="H11" s="2367"/>
      <c r="I11" s="2367"/>
      <c r="J11" s="3057"/>
      <c r="K11" s="3056"/>
      <c r="L11" s="2609"/>
      <c r="M11" s="2609"/>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2577</v>
      </c>
      <c r="J12" s="3058"/>
      <c r="K12" s="2609"/>
      <c r="L12" s="2609"/>
      <c r="M12" s="2436"/>
      <c r="N12" s="2447"/>
      <c r="O12" s="2436"/>
      <c r="P12" s="2436"/>
      <c r="Q12" s="2436"/>
      <c r="AD12" s="1744"/>
    </row>
    <row r="13" spans="1:30">
      <c r="A13" s="3419" t="s">
        <v>3335</v>
      </c>
      <c r="B13" s="2404" t="s">
        <v>2190</v>
      </c>
      <c r="C13" s="856">
        <v>62336</v>
      </c>
      <c r="D13" s="856"/>
      <c r="E13" s="856"/>
      <c r="F13" s="856"/>
      <c r="G13" s="856"/>
      <c r="H13" s="856"/>
      <c r="I13" s="856"/>
      <c r="J13" s="3058"/>
      <c r="K13" s="2609"/>
      <c r="L13" s="2609"/>
      <c r="M13" s="2436"/>
      <c r="N13" s="2447"/>
      <c r="O13" s="2436"/>
      <c r="P13" s="2436"/>
      <c r="Q13" s="2436"/>
      <c r="AD13" s="1744"/>
    </row>
    <row r="14" spans="1:30">
      <c r="A14" s="1081"/>
      <c r="B14" s="2404" t="s">
        <v>2191</v>
      </c>
      <c r="C14" s="2405">
        <v>70</v>
      </c>
      <c r="D14" s="2405"/>
      <c r="E14" s="2405"/>
      <c r="F14" s="2405"/>
      <c r="G14" s="2405"/>
      <c r="H14" s="2405"/>
      <c r="I14" s="2405"/>
      <c r="J14" s="3059"/>
      <c r="K14" s="2609"/>
      <c r="L14" s="2609"/>
      <c r="M14" s="2436"/>
      <c r="N14" s="2447"/>
      <c r="O14" s="2436"/>
      <c r="P14" s="2436"/>
      <c r="Q14" s="2436"/>
      <c r="AD14" s="1744"/>
    </row>
    <row r="15" spans="1:30">
      <c r="A15" s="320"/>
      <c r="B15" s="2406" t="s">
        <v>2192</v>
      </c>
      <c r="C15" s="2407">
        <f>IF(A13="出让",IF(C13="","",ROUNDDOWN(MIN((C13-$D$3)/365,C14),2)),C14)</f>
        <v>47.01</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5"/>
      <c r="N15" s="2448"/>
      <c r="O15" s="2505"/>
      <c r="P15" s="2436"/>
      <c r="Q15" s="2436"/>
      <c r="AD15" s="1744"/>
    </row>
    <row r="16" spans="1:30">
      <c r="A16" s="2397" t="s">
        <v>2193</v>
      </c>
      <c r="B16" s="3542"/>
      <c r="C16" s="3543"/>
      <c r="D16" s="3544"/>
      <c r="E16" s="2410" t="s">
        <v>2194</v>
      </c>
      <c r="F16" s="3545"/>
      <c r="G16" s="3546"/>
      <c r="H16" s="3546"/>
      <c r="I16" s="3547"/>
      <c r="J16" s="2436"/>
      <c r="K16" s="2613"/>
      <c r="L16" s="2448"/>
      <c r="M16" s="2448"/>
      <c r="N16" s="2505"/>
      <c r="O16" s="2448"/>
      <c r="P16" s="2505"/>
      <c r="Q16" s="2436"/>
      <c r="R16" s="2436"/>
    </row>
    <row r="17" spans="1:28">
      <c r="A17" s="313" t="s">
        <v>2195</v>
      </c>
      <c r="B17" s="302" t="s">
        <v>2196</v>
      </c>
      <c r="C17" s="8">
        <f>'数据-汇总表'!E3</f>
        <v>48.69</v>
      </c>
      <c r="D17" s="2319" t="s">
        <v>2197</v>
      </c>
      <c r="E17" s="3548" t="s">
        <v>2198</v>
      </c>
      <c r="F17" s="3549"/>
      <c r="G17" s="3549"/>
      <c r="H17" s="3549"/>
      <c r="I17" s="3550"/>
      <c r="J17" s="2436"/>
      <c r="K17" s="2614"/>
      <c r="L17" s="2448"/>
      <c r="M17" s="2448"/>
      <c r="N17" s="2505"/>
      <c r="O17" s="2448"/>
      <c r="P17" s="2505"/>
      <c r="Q17" s="2436"/>
      <c r="R17" s="2436"/>
      <c r="S17" s="2436"/>
      <c r="T17" s="2436"/>
      <c r="U17" s="2436"/>
      <c r="V17" s="2436"/>
    </row>
    <row r="18" spans="1:28" ht="24.75" thickBot="1">
      <c r="A18" s="2411" t="s">
        <v>2199</v>
      </c>
      <c r="B18" s="1090" t="s">
        <v>2200</v>
      </c>
      <c r="C18" s="2412">
        <f>'数据-汇总表'!D3</f>
        <v>0</v>
      </c>
      <c r="D18" s="1092" t="s">
        <v>2201</v>
      </c>
      <c r="E18" s="3551" t="s">
        <v>2202</v>
      </c>
      <c r="F18" s="3552"/>
      <c r="G18" s="3552"/>
      <c r="H18" s="3552"/>
      <c r="I18" s="3553"/>
      <c r="J18" s="2436"/>
      <c r="K18" s="2614"/>
      <c r="L18" s="2448"/>
      <c r="M18" s="2448"/>
      <c r="N18" s="2505"/>
      <c r="O18" s="2448"/>
      <c r="P18" s="2505"/>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0"/>
      <c r="I19" s="2660"/>
      <c r="J19" s="2436"/>
      <c r="K19" s="2612"/>
      <c r="L19" s="2609"/>
      <c r="M19" s="2609"/>
      <c r="N19" s="2505"/>
      <c r="O19" s="2448"/>
      <c r="P19" s="2505"/>
      <c r="Q19" s="2436"/>
      <c r="R19" s="2436"/>
      <c r="S19" s="2436"/>
      <c r="T19" s="2436"/>
      <c r="U19" s="2436"/>
      <c r="V19" s="2436"/>
    </row>
    <row r="20" spans="1:28">
      <c r="A20" s="2628" t="s">
        <v>2205</v>
      </c>
      <c r="B20" s="3538" t="s">
        <v>2206</v>
      </c>
      <c r="C20" s="3539"/>
      <c r="D20" s="3540" t="s">
        <v>2207</v>
      </c>
      <c r="E20" s="3541"/>
      <c r="F20" s="2643" t="s">
        <v>1056</v>
      </c>
      <c r="G20" s="2660"/>
      <c r="H20" s="2660"/>
      <c r="I20" s="2660"/>
      <c r="J20" s="2436"/>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6"/>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8"/>
      <c r="B22" s="2632" t="s">
        <v>2211</v>
      </c>
      <c r="C22" s="2630" t="s">
        <v>1058</v>
      </c>
      <c r="D22" s="2659"/>
      <c r="E22" s="2659"/>
      <c r="F22" s="2659"/>
      <c r="G22" s="2660"/>
      <c r="H22" s="2660"/>
      <c r="I22" s="2660"/>
      <c r="J22" s="2436"/>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3" t="s">
        <v>2212</v>
      </c>
      <c r="B23" s="2498" t="s">
        <v>2213</v>
      </c>
      <c r="C23" s="2634"/>
      <c r="D23" s="2635" t="s">
        <v>2213</v>
      </c>
      <c r="E23" s="2636"/>
      <c r="F23" s="2659"/>
      <c r="G23" s="2660"/>
      <c r="H23" s="2660"/>
      <c r="I23" s="2660"/>
      <c r="J23" s="2436"/>
      <c r="K23" s="2615"/>
      <c r="L23" s="2471"/>
      <c r="M23" s="2609"/>
      <c r="N23" s="2505"/>
      <c r="O23" s="2448"/>
      <c r="P23" s="2505"/>
      <c r="Q23" s="2436"/>
      <c r="R23" s="2436"/>
      <c r="S23" s="2436"/>
      <c r="T23" s="2436"/>
      <c r="U23" s="2436"/>
      <c r="V23" s="2436"/>
    </row>
    <row r="24" spans="1:28">
      <c r="A24" s="2633"/>
      <c r="B24" s="2498" t="s">
        <v>1059</v>
      </c>
      <c r="C24" s="2637"/>
      <c r="D24" s="2633" t="s">
        <v>1059</v>
      </c>
      <c r="E24" s="2638"/>
      <c r="F24" s="2659"/>
      <c r="G24" s="2660"/>
      <c r="H24" s="2660"/>
      <c r="I24" s="2660"/>
      <c r="J24" s="2436"/>
      <c r="K24" s="2615"/>
      <c r="L24" s="2471"/>
      <c r="M24" s="2609"/>
      <c r="N24" s="2505"/>
      <c r="O24" s="2448"/>
      <c r="P24" s="2505"/>
      <c r="Q24" s="2436"/>
      <c r="R24" s="2436"/>
      <c r="S24" s="2436"/>
      <c r="T24" s="2436"/>
      <c r="U24" s="2436"/>
      <c r="V24" s="2436"/>
    </row>
    <row r="25" spans="1:28">
      <c r="A25" s="2633"/>
      <c r="B25" s="2498" t="s">
        <v>1060</v>
      </c>
      <c r="C25" s="2637"/>
      <c r="D25" s="2633" t="s">
        <v>1060</v>
      </c>
      <c r="E25" s="2638"/>
      <c r="F25" s="2659"/>
      <c r="G25" s="2660"/>
      <c r="H25" s="2660"/>
      <c r="I25" s="2660"/>
      <c r="J25" s="2436"/>
      <c r="K25" s="2612"/>
      <c r="L25" s="2609"/>
      <c r="M25" s="2609"/>
      <c r="N25" s="2505"/>
      <c r="O25" s="2448"/>
      <c r="P25" s="2505"/>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5"/>
      <c r="O26" s="2448"/>
      <c r="P26" s="2505"/>
      <c r="Q26" s="2436"/>
      <c r="R26" s="2436"/>
      <c r="S26" s="2436"/>
      <c r="T26" s="2436"/>
      <c r="U26" s="2436"/>
      <c r="V26" s="2436"/>
    </row>
    <row r="27" spans="1:28" ht="13.5" thickTop="1">
      <c r="A27" s="3555" t="s">
        <v>2214</v>
      </c>
      <c r="B27" s="320" t="s">
        <v>2215</v>
      </c>
      <c r="C27" s="2413"/>
      <c r="D27" s="2414"/>
      <c r="E27" s="2660"/>
      <c r="F27" s="2660"/>
      <c r="G27" s="2660"/>
      <c r="H27" s="2660"/>
      <c r="I27" s="2660"/>
      <c r="J27" s="2436"/>
      <c r="K27" s="2613"/>
      <c r="L27" s="2448"/>
      <c r="M27" s="2448"/>
      <c r="N27" s="2505"/>
      <c r="O27" s="2448"/>
      <c r="P27" s="2505"/>
      <c r="Q27" s="2436"/>
      <c r="R27" s="2436"/>
      <c r="S27" s="2436"/>
      <c r="T27" s="2436"/>
      <c r="U27" s="2436"/>
      <c r="V27" s="2436"/>
    </row>
    <row r="28" spans="1:28">
      <c r="A28" s="3555"/>
      <c r="B28" s="302" t="s">
        <v>2216</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5"/>
      <c r="B29" s="302" t="s">
        <v>2217</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6"/>
      <c r="B30" s="302" t="s">
        <v>2218</v>
      </c>
      <c r="C30" s="3557"/>
      <c r="D30" s="3558"/>
      <c r="E30" s="2660"/>
      <c r="F30" s="2660"/>
      <c r="G30" s="2660"/>
      <c r="H30" s="2660"/>
      <c r="I30" s="2660"/>
      <c r="J30" s="2436"/>
      <c r="K30" s="2612"/>
      <c r="L30" s="2609"/>
      <c r="M30" s="2609"/>
      <c r="N30" s="2436"/>
      <c r="O30" s="2447"/>
      <c r="P30" s="2436"/>
      <c r="Q30" s="2436"/>
      <c r="R30" s="2436"/>
      <c r="S30" s="2436"/>
      <c r="T30" s="2436"/>
      <c r="U30" s="2436"/>
      <c r="V30" s="2436"/>
    </row>
    <row r="31" spans="1:28">
      <c r="A31" s="3559" t="s">
        <v>2219</v>
      </c>
      <c r="B31" s="2419"/>
      <c r="C31" s="2320" t="str">
        <f>IF(B31="现房","成新及维护状况正常否",IF(B31="在建","工程状态是否正常",IF(B31="土地","是否闲置","-")))</f>
        <v>-</v>
      </c>
      <c r="D31" s="1372"/>
      <c r="E31" s="2420"/>
      <c r="F31" s="2660"/>
      <c r="G31" s="2660"/>
      <c r="H31" s="2660"/>
      <c r="I31" s="2660"/>
      <c r="J31" s="2436"/>
      <c r="K31" s="2611"/>
      <c r="L31" s="2609"/>
      <c r="M31" s="2609"/>
      <c r="N31" s="2436"/>
      <c r="O31" s="2447"/>
      <c r="P31" s="2436"/>
      <c r="Q31" s="2436"/>
      <c r="R31" s="2436"/>
      <c r="S31" s="2436"/>
      <c r="T31" s="2436"/>
      <c r="U31" s="2436"/>
      <c r="V31" s="2436"/>
    </row>
    <row r="32" spans="1:28">
      <c r="A32" s="3560"/>
      <c r="B32" s="2419"/>
      <c r="C32" s="2320" t="str">
        <f>IF(B32="现房","成新及维护状况是否正常",IF(B32="在建","工程状态是否正常",IF(B32="土地","是否闲置","-")))</f>
        <v>-</v>
      </c>
      <c r="D32" s="1372"/>
      <c r="E32" s="2420"/>
      <c r="F32" s="2660"/>
      <c r="G32" s="2660"/>
      <c r="H32" s="2660"/>
      <c r="I32" s="2660"/>
      <c r="J32" s="2436"/>
      <c r="K32" s="2612"/>
      <c r="L32" s="2609"/>
      <c r="M32" s="2609"/>
      <c r="N32" s="2436"/>
      <c r="O32" s="2447"/>
      <c r="P32" s="2436"/>
      <c r="Q32" s="2436"/>
      <c r="R32" s="2436"/>
      <c r="S32" s="2436"/>
      <c r="T32" s="2436"/>
      <c r="U32" s="2436"/>
      <c r="V32" s="2436"/>
    </row>
    <row r="33" spans="1:30">
      <c r="A33" s="3560"/>
      <c r="B33" s="2422"/>
      <c r="C33" s="1589" t="str">
        <f>IF(B33="现房","成新及维护状况是否正常",IF(B33="在建","工程状态是否正常",IF(B33="土地","是否闲置","-")))</f>
        <v>-</v>
      </c>
      <c r="D33" s="1364"/>
      <c r="E33" s="2423"/>
      <c r="F33" s="2660"/>
      <c r="G33" s="2660"/>
      <c r="H33" s="2660"/>
      <c r="I33" s="2660"/>
      <c r="J33" s="2436"/>
      <c r="K33" s="2612"/>
      <c r="L33" s="2609"/>
      <c r="M33" s="2609"/>
      <c r="N33" s="2436"/>
      <c r="O33" s="2447"/>
      <c r="P33" s="2436"/>
      <c r="Q33" s="2436"/>
      <c r="R33" s="2436"/>
      <c r="S33" s="2436"/>
      <c r="T33" s="2436"/>
      <c r="U33" s="2436"/>
      <c r="V33" s="2436"/>
    </row>
    <row r="34" spans="1:30">
      <c r="A34" s="302" t="s">
        <v>2220</v>
      </c>
      <c r="B34" s="2023"/>
      <c r="C34" s="2023"/>
      <c r="D34" s="2023"/>
      <c r="E34" s="2023"/>
      <c r="F34" s="2023"/>
      <c r="G34" s="2023"/>
      <c r="H34" s="2023"/>
      <c r="I34" s="2660"/>
      <c r="J34" s="2436"/>
      <c r="K34" s="2424">
        <f>COUNTIF(B34:H34,"——")</f>
        <v>0</v>
      </c>
      <c r="L34" s="323" t="s">
        <v>2221</v>
      </c>
      <c r="M34" s="323" t="s">
        <v>2222</v>
      </c>
      <c r="N34" s="323" t="s">
        <v>2223</v>
      </c>
      <c r="O34" s="323" t="s">
        <v>2224</v>
      </c>
      <c r="P34" s="323" t="s">
        <v>2225</v>
      </c>
      <c r="Q34" s="323" t="s">
        <v>2226</v>
      </c>
      <c r="R34" s="323" t="s">
        <v>2227</v>
      </c>
      <c r="S34" s="3554" t="s">
        <v>2228</v>
      </c>
      <c r="T34" s="2425" t="str">
        <f>NUMBERSTRING(7-K34,1)&amp;"通"</f>
        <v>七通</v>
      </c>
      <c r="U34" s="2436"/>
      <c r="V34" s="2436"/>
    </row>
    <row r="35" spans="1:30">
      <c r="A35" s="2426"/>
      <c r="B35" s="3561" t="s">
        <v>2229</v>
      </c>
      <c r="C35" s="3561"/>
      <c r="D35" s="3561"/>
      <c r="E35" s="3561"/>
      <c r="F35" s="664">
        <f>C10</f>
        <v>0</v>
      </c>
      <c r="G35" s="2660"/>
      <c r="H35" s="2660"/>
      <c r="I35" s="2660"/>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4"/>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1" t="s">
        <v>2580</v>
      </c>
      <c r="G36" s="2660"/>
      <c r="H36" s="2660"/>
      <c r="I36" s="2660"/>
      <c r="J36" s="2436"/>
      <c r="K36" s="2612"/>
      <c r="L36" s="2609"/>
      <c r="M36" s="2609"/>
      <c r="N36" s="2436"/>
      <c r="O36" s="2447"/>
      <c r="P36" s="2436"/>
      <c r="Q36" s="2436"/>
      <c r="R36" s="2436"/>
      <c r="S36" s="2436"/>
      <c r="T36" s="2436"/>
      <c r="U36" s="2436"/>
      <c r="V36" s="2436"/>
    </row>
    <row r="37" spans="1:30">
      <c r="A37" s="2626" t="s">
        <v>2230</v>
      </c>
      <c r="B37" s="2428"/>
      <c r="C37" s="2428"/>
      <c r="D37" s="2428" t="s">
        <v>184</v>
      </c>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2231</v>
      </c>
      <c r="B38" s="2429"/>
      <c r="C38" s="2429"/>
      <c r="D38" s="2429" t="s">
        <v>230</v>
      </c>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7"/>
      <c r="J40" s="2505"/>
      <c r="K40" s="2611"/>
      <c r="L40" s="2448"/>
      <c r="M40" s="2448"/>
      <c r="N40" s="2505"/>
      <c r="O40" s="2448"/>
      <c r="P40" s="2436"/>
      <c r="Q40" s="2436"/>
      <c r="R40" s="2436"/>
      <c r="S40" s="2436"/>
      <c r="T40" s="2436"/>
      <c r="U40" s="2436"/>
      <c r="V40" s="2436"/>
    </row>
    <row r="41" spans="1:30">
      <c r="A41" s="2433" t="s">
        <v>2233</v>
      </c>
      <c r="B41" s="1756"/>
      <c r="C41" s="1372"/>
      <c r="D41" s="2367"/>
      <c r="E41" s="2367"/>
      <c r="F41" s="2367"/>
      <c r="G41" s="2367"/>
      <c r="H41" s="2367"/>
      <c r="I41" s="1575"/>
      <c r="J41" s="2436"/>
      <c r="K41" s="2612"/>
      <c r="L41" s="2609"/>
      <c r="M41" s="2609"/>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48.69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48.69</v>
      </c>
      <c r="H5" s="13">
        <f t="shared" ref="H5:AT5" si="0">SUM(H13:H656)</f>
        <v>48.69</v>
      </c>
      <c r="I5" s="13">
        <f t="shared" si="0"/>
        <v>48.69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48.69</v>
      </c>
      <c r="BA5" s="15">
        <f t="shared" si="1"/>
        <v>48.69</v>
      </c>
      <c r="BB5" s="15">
        <f t="shared" si="1"/>
        <v>48.69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3460</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3395</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3461</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3459</v>
      </c>
      <c r="E13" s="13">
        <f>IF($C$3="是",ROUND($A$3*G13/$B$3,2),ROUND($A$3*(G13-AT13)/$B$3,2))</f>
        <v>0</v>
      </c>
      <c r="F13" s="29"/>
      <c r="G13" s="30">
        <f>H13+AC13+AT13</f>
        <v>48.69</v>
      </c>
      <c r="H13" s="17">
        <f>SUMIF(I$12:AB$12,"总值",I13:AB13)</f>
        <v>48.69</v>
      </c>
      <c r="I13" s="1625">
        <v>48.69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48.69</v>
      </c>
      <c r="BA13" s="13">
        <f>SUM(BB13:BK13)</f>
        <v>48.69</v>
      </c>
      <c r="BB13" s="13">
        <f>IF($D13="是",I13-J13,0)</f>
        <v>48.69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1" t="s">
        <v>1131</v>
      </c>
      <c r="B2" s="3571"/>
      <c r="C2" s="3571"/>
      <c r="D2" s="796" t="s">
        <v>1107</v>
      </c>
      <c r="E2" s="1638" t="s">
        <v>1108</v>
      </c>
      <c r="F2" s="2655"/>
      <c r="G2" s="2646"/>
      <c r="H2" s="2647"/>
      <c r="I2" s="2322" t="s">
        <v>1132</v>
      </c>
      <c r="J2" s="2655"/>
      <c r="K2" s="2655"/>
      <c r="L2" s="2655"/>
      <c r="M2" s="2655"/>
      <c r="N2" s="2657"/>
      <c r="O2" s="2655"/>
      <c r="P2" s="2655"/>
    </row>
    <row r="3" spans="1:16" ht="15.75" thickBot="1">
      <c r="A3" s="3572" t="s">
        <v>1105</v>
      </c>
      <c r="B3" s="3572"/>
      <c r="C3" s="3572"/>
      <c r="D3" s="43">
        <f>'数据-基础表'!AY6</f>
        <v>0</v>
      </c>
      <c r="E3" s="43">
        <f>'数据-基础表'!AZ5</f>
        <v>48.69</v>
      </c>
      <c r="F3" s="2655"/>
      <c r="G3" s="1145"/>
      <c r="H3" s="1026" t="s">
        <v>1106</v>
      </c>
      <c r="I3" s="855" t="e">
        <f>ROUND('数据-基础表'!B3/'数据-基础表'!A3,2)</f>
        <v>#DIV/0!</v>
      </c>
      <c r="J3" s="2655"/>
      <c r="K3" s="2655"/>
      <c r="L3" s="2655"/>
      <c r="M3" s="2655"/>
      <c r="N3" s="2657"/>
      <c r="O3" s="2655"/>
      <c r="P3" s="2655"/>
    </row>
    <row r="4" spans="1:16" ht="15">
      <c r="A4" s="3573"/>
      <c r="B4" s="3574"/>
      <c r="C4" s="3575"/>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76" t="s">
        <v>1110</v>
      </c>
      <c r="C5" s="3576"/>
      <c r="D5" s="45">
        <f>ROUND($D$3*E5/$E$3,2)</f>
        <v>0</v>
      </c>
      <c r="E5" s="46">
        <f>SUMIF('数据-基础表'!$11:$11,"住宅",'数据-基础表'!$5:$5)</f>
        <v>48.69</v>
      </c>
      <c r="F5" s="2655"/>
      <c r="G5" s="1145"/>
      <c r="H5" s="1026" t="s">
        <v>1106</v>
      </c>
      <c r="I5" s="855" t="e">
        <f>ROUND(E31/D31,2)</f>
        <v>#DIV/0!</v>
      </c>
      <c r="J5" s="2655"/>
      <c r="K5" s="2655"/>
      <c r="L5" s="2655"/>
      <c r="M5" s="2655"/>
      <c r="N5" s="2655"/>
      <c r="O5" s="2655"/>
      <c r="P5" s="2655"/>
    </row>
    <row r="6" spans="1:16" ht="15" thickBot="1">
      <c r="A6" s="1643"/>
      <c r="B6" s="3576" t="s">
        <v>1111</v>
      </c>
      <c r="C6" s="3576"/>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68"/>
      <c r="B7" s="3569"/>
      <c r="C7" s="3570"/>
      <c r="D7" s="1640" t="s">
        <v>1107</v>
      </c>
      <c r="E7" s="1644" t="s">
        <v>1114</v>
      </c>
      <c r="F7" s="2655"/>
      <c r="G7" s="2651" t="s">
        <v>1115</v>
      </c>
      <c r="H7" s="2652"/>
      <c r="I7" s="2653">
        <v>3.35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48.69</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48.69</v>
      </c>
      <c r="F16" s="2655"/>
      <c r="G16" s="2656"/>
      <c r="H16" s="1647" t="s">
        <v>1135</v>
      </c>
      <c r="I16" s="1648"/>
      <c r="J16" s="1139"/>
      <c r="K16" s="3565" t="s">
        <v>1135</v>
      </c>
      <c r="L16" s="3566"/>
      <c r="M16" s="3566"/>
      <c r="N16" s="3566"/>
      <c r="O16" s="3566"/>
      <c r="P16" s="3567"/>
    </row>
    <row r="17" spans="1:19" ht="15">
      <c r="A17" s="1649" t="s">
        <v>1136</v>
      </c>
      <c r="B17" s="1650" t="s">
        <v>1137</v>
      </c>
      <c r="C17" s="1651" t="s">
        <v>1138</v>
      </c>
      <c r="D17" s="1652" t="s">
        <v>1126</v>
      </c>
      <c r="E17" s="1653" t="s">
        <v>1127</v>
      </c>
      <c r="F17" s="1654"/>
      <c r="G17" s="1655"/>
      <c r="H17" s="1656" t="s">
        <v>1139</v>
      </c>
      <c r="I17" s="1657" t="s">
        <v>1124</v>
      </c>
      <c r="J17" s="1139"/>
      <c r="K17" s="3562" t="s">
        <v>1140</v>
      </c>
      <c r="L17" s="3563"/>
      <c r="M17" s="3564"/>
      <c r="N17" s="3562" t="s">
        <v>1141</v>
      </c>
      <c r="O17" s="3563"/>
      <c r="P17" s="3564"/>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3462</v>
      </c>
      <c r="D19" s="45">
        <f>ROUND($D$3*E19/$E$3,2)</f>
        <v>0</v>
      </c>
      <c r="E19" s="53">
        <f t="shared" ref="E19:E26" si="1">SUM(F19:G19)</f>
        <v>48.69</v>
      </c>
      <c r="F19" s="2791">
        <f>'数据-基础表'!I13</f>
        <v>48.69</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48.69</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48.69</v>
      </c>
      <c r="F27" s="1140">
        <f>IF(SUM(F19:F26)=E8,SUM(F19:F26),"地上面积有误")</f>
        <v>48.69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48.69</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48.69</v>
      </c>
      <c r="F31" s="677">
        <f>F27+F30</f>
        <v>48.69</v>
      </c>
      <c r="G31" s="678">
        <f>G27+G30</f>
        <v>0</v>
      </c>
      <c r="H31" s="2655"/>
      <c r="I31" s="2655"/>
      <c r="J31" s="2655"/>
      <c r="K31" s="2655"/>
      <c r="L31" s="2655"/>
      <c r="M31" s="2655"/>
      <c r="N31" s="2655"/>
      <c r="O31" s="2655"/>
      <c r="P31" s="2655"/>
    </row>
    <row r="32" spans="1:19">
      <c r="A32" s="1642"/>
      <c r="B32" s="1642" t="s">
        <v>1159</v>
      </c>
      <c r="C32" s="1642"/>
      <c r="D32" s="1642"/>
      <c r="E32" s="1053">
        <f>SUMIF(C19:C26,"*住宅*",E19:E26)</f>
        <v>48.69</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45175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3463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3395</v>
      </c>
      <c r="D6" s="858">
        <f>SUMIF(项目基本情况!C$12:I$12,C6,项目基本情况!C$14:I$14)</f>
        <v>70</v>
      </c>
      <c r="E6" s="857">
        <f>IF(B6="","",SUMIF(项目基本情况!C$12:I$12,C6,项目基本情况!C$13:I$13))</f>
        <v>62336</v>
      </c>
      <c r="F6" s="64">
        <f>SUMIF(项目基本情况!C$12:I$12,C6,项目基本情况!C$15:I$15)</f>
        <v>47.01</v>
      </c>
      <c r="G6" s="65">
        <f>IF(ISERROR(ROUND(POWER(1+H6,D6-F6)*(POWER(1+H6,F6)-1)/(POWER(1+H6,D6)-1),3)),0,ROUND(POWER(1+H6,D6-F6)*(POWER(1+H6,F6)-1)/(POWER(1+H6,D6)-1),3))</f>
        <v>0.91600000000000004</v>
      </c>
      <c r="H6" s="732">
        <v>4.4999999999999998E-2</v>
      </c>
      <c r="I6" s="732">
        <v>4.4999999999999998E-2</v>
      </c>
      <c r="J6" s="66">
        <v>0.05</v>
      </c>
      <c r="K6" s="1030">
        <f>SUMIF('数据-汇总表'!C$19:C$33,A6,'数据-汇总表'!E$19:E$33)</f>
        <v>48.69</v>
      </c>
      <c r="L6" s="733">
        <v>3500</v>
      </c>
      <c r="M6" s="67">
        <f t="shared" ref="M6:M14" si="0">ROUND(K6*L6/10000,0)</f>
        <v>17</v>
      </c>
      <c r="N6" s="731">
        <f>N22</f>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4">
        <v>8000</v>
      </c>
      <c r="V6" s="70">
        <v>2.5000000000000001E-2</v>
      </c>
      <c r="W6" s="70">
        <v>0.1</v>
      </c>
      <c r="X6" s="1040"/>
      <c r="Y6" s="71">
        <f>N6</f>
        <v>0.75</v>
      </c>
      <c r="Z6" s="72"/>
      <c r="AA6" s="66"/>
      <c r="AB6" s="66"/>
      <c r="AC6" s="1040"/>
      <c r="AD6" s="73"/>
      <c r="AE6" s="1041">
        <f ca="1">IF(AN6="",0,SUMIF(INDIRECT("'"&amp;AN6&amp;"'"&amp;"!E:E"),$AE$5,INDIRECT("'"&amp;AN6&amp;"'"&amp;"!F:F")))</f>
        <v>47.01</v>
      </c>
      <c r="AF6" s="1347"/>
      <c r="AG6" s="138">
        <f>IF(AF6="",0,AE6-AF6)</f>
        <v>0</v>
      </c>
      <c r="AH6" s="74">
        <v>1</v>
      </c>
      <c r="AI6" s="76">
        <v>12</v>
      </c>
      <c r="AJ6" s="77"/>
      <c r="AK6" s="78">
        <v>1.4999999999999999E-2</v>
      </c>
      <c r="AL6" s="79">
        <v>1.5E-3</v>
      </c>
      <c r="AM6" s="80">
        <v>0.01</v>
      </c>
      <c r="AN6" s="1714" t="s">
        <v>3482</v>
      </c>
      <c r="AO6" s="52">
        <f ca="1">SUMIF(INDIRECT("'"&amp;AN6&amp;"'"&amp;"!A:A"),"总价",INDIRECT("'"&amp;AN6&amp;"'"&amp;"!B:B"))</f>
        <v>235.74180000000001</v>
      </c>
      <c r="AP6" s="1715">
        <f>IF(C6="住宅",K6*L6,0)</f>
        <v>170415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0.91600000000000004</v>
      </c>
      <c r="H16" s="90">
        <f>ROUND(SUMPRODUCT(H6:H13,K6:K13)/SUMPRODUCT((H6:H13&gt;0)*(K6:K13)),3)</f>
        <v>4.4999999999999998E-2</v>
      </c>
      <c r="I16" s="91"/>
      <c r="J16" s="91"/>
      <c r="K16" s="92">
        <f>SUM(K6:K15)</f>
        <v>48.69</v>
      </c>
      <c r="L16" s="93">
        <f>ROUND(M16*10000/SUM(K6:K14),0)</f>
        <v>3491</v>
      </c>
      <c r="M16" s="93">
        <f>SUM(M6:M14)</f>
        <v>17</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2303</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2301</v>
      </c>
      <c r="D20" s="2672"/>
      <c r="E20" s="2669"/>
      <c r="F20" s="2669"/>
      <c r="G20" s="2669"/>
      <c r="H20" s="2669"/>
      <c r="I20" s="2669"/>
      <c r="J20" s="2669"/>
      <c r="K20" s="2668"/>
      <c r="L20" s="2668"/>
      <c r="M20" s="2667">
        <v>2002</v>
      </c>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f>1-(2023-M20)/60</f>
        <v>0.65</v>
      </c>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v>0.85</v>
      </c>
      <c r="N22" s="3456">
        <f>ROUND(AVERAGE(M21:M22),3)</f>
        <v>0.75</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7790</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0.04</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3464</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4" customFormat="1" ht="18.75" thickBot="1">
      <c r="A1" s="3577" t="s">
        <v>2284</v>
      </c>
      <c r="B1" s="3578"/>
      <c r="C1" s="3578"/>
      <c r="D1" s="3578"/>
      <c r="E1" s="3578"/>
      <c r="F1" s="3578"/>
      <c r="G1" s="357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9"/>
      <c r="I2" s="799"/>
      <c r="J2" s="799"/>
      <c r="K2" s="799"/>
      <c r="L2" s="799"/>
      <c r="M2" s="799"/>
      <c r="N2" s="799"/>
      <c r="O2" s="799"/>
      <c r="P2" s="799"/>
      <c r="Q2" s="799"/>
      <c r="R2" s="799"/>
    </row>
    <row r="3" spans="1:29" ht="36">
      <c r="A3" s="2438" t="s">
        <v>2282</v>
      </c>
      <c r="B3" s="2460" t="s">
        <v>2252</v>
      </c>
      <c r="C3" s="3487" t="s">
        <v>3532</v>
      </c>
      <c r="D3" s="2461"/>
      <c r="E3" s="2439" t="s">
        <v>2282</v>
      </c>
      <c r="F3" s="2462" t="s">
        <v>2253</v>
      </c>
      <c r="G3" s="2463" t="s">
        <v>2283</v>
      </c>
      <c r="H3" s="799"/>
      <c r="I3" s="799"/>
      <c r="J3" s="799"/>
      <c r="K3" s="799"/>
      <c r="L3" s="799"/>
      <c r="M3" s="799"/>
      <c r="N3" s="799"/>
      <c r="O3" s="799"/>
      <c r="P3" s="799"/>
      <c r="Q3" s="799"/>
      <c r="R3" s="799"/>
    </row>
    <row r="4" spans="1:29" ht="36.75">
      <c r="A4" s="2439"/>
      <c r="B4" s="323" t="s">
        <v>2254</v>
      </c>
      <c r="C4" s="2464" t="s">
        <v>2255</v>
      </c>
      <c r="D4" s="2461"/>
      <c r="E4" s="2465"/>
      <c r="F4" s="1372" t="s">
        <v>2256</v>
      </c>
      <c r="G4" s="2466" t="s">
        <v>2257</v>
      </c>
      <c r="H4" s="799"/>
      <c r="I4" s="799"/>
      <c r="J4" s="799"/>
      <c r="K4" s="799"/>
      <c r="L4" s="799"/>
      <c r="M4" s="799"/>
      <c r="N4" s="799"/>
      <c r="O4" s="799"/>
      <c r="P4" s="799"/>
      <c r="Q4" s="799"/>
      <c r="R4" s="799"/>
    </row>
    <row r="5" spans="1:29" ht="36.75">
      <c r="A5" s="2439"/>
      <c r="B5" s="323" t="s">
        <v>2258</v>
      </c>
      <c r="C5" s="2464" t="s">
        <v>2259</v>
      </c>
      <c r="D5" s="2461"/>
      <c r="E5" s="2465"/>
      <c r="F5" s="323" t="s">
        <v>2260</v>
      </c>
      <c r="G5" s="2466" t="s">
        <v>2261</v>
      </c>
      <c r="H5" s="799"/>
      <c r="I5" s="799"/>
      <c r="J5" s="799"/>
      <c r="K5" s="799"/>
      <c r="L5" s="799"/>
      <c r="M5" s="799"/>
      <c r="N5" s="799"/>
      <c r="O5" s="799"/>
      <c r="P5" s="799"/>
      <c r="Q5" s="799"/>
      <c r="R5" s="799"/>
    </row>
    <row r="6" spans="1:29" ht="48">
      <c r="A6" s="2439"/>
      <c r="B6" s="323" t="s">
        <v>2262</v>
      </c>
      <c r="C6" s="3488" t="s">
        <v>3533</v>
      </c>
      <c r="D6" s="2461"/>
      <c r="E6" s="2465"/>
      <c r="F6" s="323" t="s">
        <v>2263</v>
      </c>
      <c r="G6" s="2466" t="s">
        <v>2264</v>
      </c>
      <c r="H6" s="799"/>
      <c r="I6" s="799"/>
      <c r="J6" s="799"/>
      <c r="K6" s="799"/>
      <c r="L6" s="799"/>
      <c r="M6" s="799"/>
      <c r="N6" s="799"/>
      <c r="O6" s="799"/>
      <c r="P6" s="799"/>
      <c r="Q6" s="799"/>
      <c r="R6" s="799"/>
    </row>
    <row r="7" spans="1:29" ht="168.75" thickBot="1">
      <c r="A7" s="2439"/>
      <c r="B7" s="323" t="s">
        <v>2260</v>
      </c>
      <c r="C7" s="3488" t="s">
        <v>3534</v>
      </c>
      <c r="D7" s="2467"/>
      <c r="E7" s="2468"/>
      <c r="F7" s="2469" t="s">
        <v>2265</v>
      </c>
      <c r="G7" s="2470" t="s">
        <v>2266</v>
      </c>
      <c r="H7" s="799"/>
      <c r="I7" s="799"/>
      <c r="J7" s="799"/>
      <c r="K7" s="799"/>
      <c r="L7" s="799"/>
      <c r="M7" s="799"/>
      <c r="N7" s="799"/>
      <c r="O7" s="799"/>
      <c r="P7" s="799"/>
      <c r="Q7" s="799"/>
      <c r="R7" s="799"/>
    </row>
    <row r="8" spans="1:29">
      <c r="A8" s="2439"/>
      <c r="B8" s="323" t="s">
        <v>2263</v>
      </c>
      <c r="C8" s="2466" t="s">
        <v>2264</v>
      </c>
      <c r="D8" s="2467"/>
      <c r="E8" s="2467"/>
      <c r="F8" s="2471"/>
      <c r="G8" s="2471"/>
      <c r="H8" s="799"/>
      <c r="I8" s="799"/>
      <c r="J8" s="799"/>
      <c r="K8" s="799"/>
      <c r="L8" s="799"/>
      <c r="M8" s="799"/>
      <c r="N8" s="799"/>
      <c r="O8" s="799"/>
      <c r="P8" s="799"/>
      <c r="Q8" s="799"/>
      <c r="R8" s="799"/>
    </row>
    <row r="9" spans="1:29" ht="60">
      <c r="A9" s="2439"/>
      <c r="B9" s="323" t="s">
        <v>2267</v>
      </c>
      <c r="C9" s="3489" t="s">
        <v>3535</v>
      </c>
      <c r="D9" s="2461"/>
      <c r="E9" s="2467"/>
      <c r="F9" s="2471"/>
      <c r="G9" s="2471"/>
      <c r="H9" s="799"/>
      <c r="I9" s="799"/>
      <c r="J9" s="799"/>
      <c r="K9" s="799"/>
      <c r="L9" s="799"/>
      <c r="M9" s="799"/>
      <c r="N9" s="799"/>
      <c r="O9" s="799"/>
      <c r="P9" s="799"/>
      <c r="Q9" s="799"/>
      <c r="R9" s="799"/>
    </row>
    <row r="10" spans="1:29" s="2477" customFormat="1" ht="15" thickBot="1">
      <c r="A10" s="2440"/>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4" customFormat="1" ht="18">
      <c r="A12" s="2478"/>
      <c r="B12" s="2467"/>
      <c r="C12" s="2461"/>
      <c r="D12" s="2480"/>
      <c r="E12" s="2461"/>
      <c r="F12" s="2467"/>
      <c r="G12" s="2479"/>
      <c r="H12" s="2481"/>
      <c r="I12" s="2482"/>
      <c r="J12" s="2481"/>
      <c r="K12" s="2481"/>
      <c r="L12" s="2483"/>
      <c r="M12" s="2481"/>
      <c r="N12" s="2484"/>
      <c r="O12" s="2485"/>
      <c r="P12" s="2484"/>
      <c r="Q12" s="2484"/>
      <c r="R12" s="2452"/>
      <c r="S12" s="2453"/>
      <c r="T12" s="2453"/>
      <c r="U12" s="2453"/>
      <c r="V12" s="2453"/>
      <c r="W12" s="2453"/>
      <c r="X12" s="2453"/>
      <c r="Y12" s="2453"/>
      <c r="Z12" s="2453"/>
      <c r="AA12" s="2453"/>
      <c r="AB12" s="2453"/>
      <c r="AC12" s="2453"/>
    </row>
    <row r="13" spans="1:29" ht="15.75" thickBot="1">
      <c r="A13" s="2486" t="s">
        <v>2285</v>
      </c>
      <c r="B13" s="2480"/>
      <c r="C13" s="2480"/>
      <c r="D13" s="2478"/>
      <c r="E13" s="2480"/>
      <c r="F13" s="2480"/>
      <c r="G13" s="2480"/>
    </row>
    <row r="14" spans="1:29" ht="15" thickBot="1">
      <c r="A14" s="2490"/>
      <c r="B14" s="2490"/>
      <c r="C14" s="2491" t="s">
        <v>2269</v>
      </c>
      <c r="D14" s="2461"/>
      <c r="E14" s="2492"/>
      <c r="F14" s="2492"/>
      <c r="G14" s="2457" t="s">
        <v>2270</v>
      </c>
    </row>
    <row r="15" spans="1:29" ht="38.25">
      <c r="A15" s="2441" t="s">
        <v>2271</v>
      </c>
      <c r="B15" s="2493" t="s">
        <v>2252</v>
      </c>
      <c r="C15" s="2494" t="str">
        <f>C3</f>
        <v>周边有金地国际花园、蓝堡国际公寓、温特莱中心等住宅项目，居住社区成熟度较好。</v>
      </c>
      <c r="D15" s="2461"/>
      <c r="E15" s="2442" t="s">
        <v>2272</v>
      </c>
      <c r="F15" s="2493" t="s">
        <v>2273</v>
      </c>
      <c r="G15" s="2495" t="str">
        <f>G3</f>
        <v>估价对象位于XX开发区，园区建设成熟度XX，产业集聚程度XX</v>
      </c>
    </row>
    <row r="16" spans="1:29" ht="38.25">
      <c r="A16" s="2443"/>
      <c r="B16" s="2496" t="s">
        <v>2254</v>
      </c>
      <c r="C16" s="2497" t="str">
        <f>C4</f>
        <v>估价对象位于XX商圈，周边商业氛围成熟，人流量大，商业繁华度好</v>
      </c>
      <c r="D16" s="2461"/>
      <c r="E16" s="2444"/>
      <c r="F16" s="2498" t="s">
        <v>2256</v>
      </c>
      <c r="G16" s="2499" t="str">
        <f>G4</f>
        <v>估价对象周边道路状况、公共交通通达情况、停车便捷程度，综合评价交通便捷度较好</v>
      </c>
    </row>
    <row r="17" spans="1:18" ht="38.25">
      <c r="A17" s="2443"/>
      <c r="B17" s="2496" t="s">
        <v>2258</v>
      </c>
      <c r="C17" s="2497" t="str">
        <f>C5</f>
        <v>估价对象位于XX商圈，周边办公楼项目较多，入驻率高，办公集聚程度较好</v>
      </c>
      <c r="D17" s="2467"/>
      <c r="E17" s="2444"/>
      <c r="F17" s="2498" t="s">
        <v>2274</v>
      </c>
      <c r="G17" s="2500"/>
    </row>
    <row r="18" spans="1:18" ht="51">
      <c r="A18" s="2443"/>
      <c r="B18" s="2498" t="s">
        <v>2262</v>
      </c>
      <c r="C18" s="2499" t="str">
        <f>C6</f>
        <v>周边有31路、138路、421路、486路、985路等多条公交线路，距离地铁1、14号线大望路站约600米，交通较便捷。</v>
      </c>
      <c r="D18" s="2467"/>
      <c r="E18" s="2444"/>
      <c r="F18" s="2498" t="s">
        <v>2265</v>
      </c>
      <c r="G18" s="2499" t="str">
        <f>G7</f>
        <v>该园区内是否有污染型企业，绿化情况，卫生条件，整体环境状况判断</v>
      </c>
    </row>
    <row r="19" spans="1:18" ht="25.5">
      <c r="A19" s="2443"/>
      <c r="B19" s="2498" t="s">
        <v>2275</v>
      </c>
      <c r="C19" s="2500"/>
      <c r="D19" s="2461"/>
      <c r="E19" s="2444"/>
      <c r="F19" s="323" t="s">
        <v>2260</v>
      </c>
      <c r="G19" s="2499" t="str">
        <f>G5</f>
        <v>估价对象所在区域公共配套设施齐备情况</v>
      </c>
    </row>
    <row r="20" spans="1:18" ht="63.75">
      <c r="A20" s="2443"/>
      <c r="B20" s="2498" t="s">
        <v>2276</v>
      </c>
      <c r="C20" s="2497" t="str">
        <f>C9</f>
        <v>估价对象周边有通惠河、庆丰公园、团结湖公园等自然环境；有中央广播电视总台、首经贸大学等人文环境，综合评价自然人文环境较好。</v>
      </c>
      <c r="D20" s="2467"/>
      <c r="E20" s="2444"/>
      <c r="F20" s="323" t="s">
        <v>2263</v>
      </c>
      <c r="G20" s="2499" t="str">
        <f>G6</f>
        <v>估价对象所在区域基础设施水平</v>
      </c>
    </row>
    <row r="21" spans="1:18" ht="191.25">
      <c r="A21" s="2443"/>
      <c r="B21" s="323" t="s">
        <v>2260</v>
      </c>
      <c r="C21" s="2499" t="str">
        <f>C7</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D21" s="2461"/>
      <c r="E21" s="2444"/>
      <c r="F21" s="2498" t="s">
        <v>2277</v>
      </c>
      <c r="G21" s="2501"/>
    </row>
    <row r="22" spans="1:18" ht="13.5" customHeight="1">
      <c r="A22" s="2443"/>
      <c r="B22" s="323" t="s">
        <v>2263</v>
      </c>
      <c r="C22" s="2499" t="str">
        <f>C8</f>
        <v>估价对象所在区域基础设施水平</v>
      </c>
      <c r="D22" s="2461"/>
      <c r="E22" s="2444"/>
      <c r="F22" s="2498" t="s">
        <v>2268</v>
      </c>
      <c r="G22" s="2500"/>
    </row>
    <row r="23" spans="1:18" s="799" customFormat="1" ht="15" thickBot="1">
      <c r="A23" s="2443"/>
      <c r="B23" s="2498" t="s">
        <v>2277</v>
      </c>
      <c r="C23" s="2501"/>
      <c r="D23" s="1740"/>
      <c r="E23" s="2445"/>
      <c r="F23" s="2502" t="s">
        <v>2278</v>
      </c>
      <c r="G23" s="2503"/>
      <c r="H23" s="2487"/>
      <c r="I23" s="2488"/>
      <c r="J23" s="2487"/>
      <c r="K23" s="2487"/>
      <c r="L23" s="2488"/>
      <c r="M23" s="2487"/>
      <c r="N23" s="2487"/>
      <c r="O23" s="2488"/>
      <c r="P23" s="2487"/>
      <c r="Q23" s="2487"/>
      <c r="R23" s="2489"/>
    </row>
    <row r="24" spans="1:18" s="799" customFormat="1" ht="15" thickBot="1">
      <c r="A24" s="2446"/>
      <c r="B24" s="2502" t="s">
        <v>2279</v>
      </c>
      <c r="C24" s="2504">
        <f>C10</f>
        <v>0</v>
      </c>
      <c r="D24" s="1740"/>
      <c r="E24" s="2436"/>
      <c r="F24" s="2436"/>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48.69</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45175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351.14249999999998</v>
      </c>
      <c r="C5" s="2508">
        <f ca="1">IF(B5=D14,结果表!H102,ROUND(B5*10000/$B$1,0))</f>
        <v>0</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3359</v>
      </c>
      <c r="D10" s="2508" t="s">
        <v>3360</v>
      </c>
      <c r="E10" s="3437"/>
      <c r="F10" s="3441" t="s">
        <v>3361</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48.69</v>
      </c>
      <c r="C14" s="2514"/>
      <c r="D14" s="2514">
        <f ca="1">ROUND(B14*E14/10000,4)</f>
        <v>351.14249999999998</v>
      </c>
      <c r="E14" s="2514">
        <f ca="1">结果表!G20</f>
        <v>72118</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G24" sqref="G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3" t="s">
        <v>1265</v>
      </c>
      <c r="B4" s="1754" t="s">
        <v>1266</v>
      </c>
      <c r="C4" s="1755" t="s">
        <v>3482</v>
      </c>
      <c r="D4" s="1755" t="s">
        <v>3487</v>
      </c>
      <c r="E4" s="3655" t="s">
        <v>1267</v>
      </c>
      <c r="F4" s="3656"/>
      <c r="G4" s="3656"/>
      <c r="H4" s="3656"/>
      <c r="I4" s="365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4" t="s">
        <v>1268</v>
      </c>
      <c r="B5" s="3649">
        <v>25</v>
      </c>
      <c r="C5" s="3652"/>
      <c r="D5" s="3640"/>
      <c r="E5" s="131" t="s">
        <v>1269</v>
      </c>
      <c r="F5" s="1756"/>
      <c r="G5" s="1756"/>
      <c r="H5" s="1756"/>
      <c r="I5" s="1372"/>
    </row>
    <row r="6" spans="1:12" ht="12.75">
      <c r="A6" s="3594"/>
      <c r="B6" s="3649"/>
      <c r="C6" s="3654"/>
      <c r="D6" s="3640"/>
      <c r="E6" s="131" t="s">
        <v>1270</v>
      </c>
      <c r="F6" s="1756"/>
      <c r="G6" s="1756"/>
      <c r="H6" s="1756"/>
      <c r="I6" s="1372"/>
    </row>
    <row r="7" spans="1:12" ht="12.75">
      <c r="A7" s="3594"/>
      <c r="B7" s="3649"/>
      <c r="C7" s="3653"/>
      <c r="D7" s="3640"/>
      <c r="E7" s="131" t="s">
        <v>1271</v>
      </c>
      <c r="F7" s="1756"/>
      <c r="G7" s="1756"/>
      <c r="H7" s="1756"/>
      <c r="I7" s="1372"/>
    </row>
    <row r="8" spans="1:12" ht="12.75">
      <c r="A8" s="3594" t="s">
        <v>1272</v>
      </c>
      <c r="B8" s="3649">
        <v>15</v>
      </c>
      <c r="C8" s="3652"/>
      <c r="D8" s="3640"/>
      <c r="E8" s="131" t="s">
        <v>1273</v>
      </c>
      <c r="F8" s="1756"/>
      <c r="G8" s="1756"/>
      <c r="H8" s="1756"/>
      <c r="I8" s="1372"/>
    </row>
    <row r="9" spans="1:12" ht="12.75">
      <c r="A9" s="3594"/>
      <c r="B9" s="3649"/>
      <c r="C9" s="3653"/>
      <c r="D9" s="3640"/>
      <c r="E9" s="131" t="s">
        <v>1274</v>
      </c>
      <c r="F9" s="1756"/>
      <c r="G9" s="1756"/>
      <c r="H9" s="1756"/>
      <c r="I9" s="1372"/>
    </row>
    <row r="10" spans="1:12" ht="12.75">
      <c r="A10" s="3594" t="s">
        <v>1275</v>
      </c>
      <c r="B10" s="3649">
        <v>15</v>
      </c>
      <c r="C10" s="3652"/>
      <c r="D10" s="3640"/>
      <c r="E10" s="131" t="s">
        <v>1276</v>
      </c>
      <c r="F10" s="1756"/>
      <c r="G10" s="1756"/>
      <c r="H10" s="1756"/>
      <c r="I10" s="1372"/>
    </row>
    <row r="11" spans="1:12" ht="12.75">
      <c r="A11" s="3594"/>
      <c r="B11" s="3649"/>
      <c r="C11" s="3653"/>
      <c r="D11" s="3640"/>
      <c r="E11" s="131" t="s">
        <v>1277</v>
      </c>
      <c r="F11" s="1756"/>
      <c r="G11" s="1756"/>
      <c r="H11" s="1756"/>
      <c r="I11" s="1372"/>
    </row>
    <row r="12" spans="1:12" ht="12.75">
      <c r="A12" s="3594" t="s">
        <v>1278</v>
      </c>
      <c r="B12" s="3649">
        <v>15</v>
      </c>
      <c r="C12" s="3652"/>
      <c r="D12" s="3640"/>
      <c r="E12" s="131" t="s">
        <v>1279</v>
      </c>
      <c r="F12" s="1756"/>
      <c r="G12" s="1756"/>
      <c r="H12" s="1756"/>
      <c r="I12" s="1372"/>
    </row>
    <row r="13" spans="1:12" ht="12.75">
      <c r="A13" s="3594"/>
      <c r="B13" s="3649"/>
      <c r="C13" s="3653"/>
      <c r="D13" s="3640"/>
      <c r="E13" s="131" t="s">
        <v>1280</v>
      </c>
      <c r="F13" s="1756"/>
      <c r="G13" s="1756"/>
      <c r="H13" s="1756"/>
      <c r="I13" s="1372"/>
    </row>
    <row r="14" spans="1:12" ht="12.75">
      <c r="A14" s="3594" t="s">
        <v>1281</v>
      </c>
      <c r="B14" s="3649">
        <v>30</v>
      </c>
      <c r="C14" s="3652">
        <v>2</v>
      </c>
      <c r="D14" s="3640">
        <f>10-C14</f>
        <v>8</v>
      </c>
      <c r="E14" s="131" t="s">
        <v>1282</v>
      </c>
      <c r="F14" s="1756"/>
      <c r="G14" s="1756"/>
      <c r="H14" s="1756"/>
      <c r="I14" s="1372"/>
    </row>
    <row r="15" spans="1:12" ht="12.75">
      <c r="A15" s="3594"/>
      <c r="B15" s="3649"/>
      <c r="C15" s="3654"/>
      <c r="D15" s="3640"/>
      <c r="E15" s="131" t="s">
        <v>1283</v>
      </c>
      <c r="F15" s="1756"/>
      <c r="G15" s="1756"/>
      <c r="H15" s="1756"/>
      <c r="I15" s="1372"/>
    </row>
    <row r="16" spans="1:12" ht="12.75">
      <c r="A16" s="3594"/>
      <c r="B16" s="3649"/>
      <c r="C16" s="3653"/>
      <c r="D16" s="3640"/>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71" t="s">
        <v>2131</v>
      </c>
      <c r="F18" s="3672"/>
      <c r="G18" s="3672"/>
      <c r="H18" s="3672"/>
      <c r="I18" s="3672"/>
      <c r="K18" s="302" t="s">
        <v>1289</v>
      </c>
      <c r="L18" s="302">
        <f>IF(C1="",'数据-汇总表'!E3,SUMIF(项目类型,C1,'数据-汇总表'!E17:E26)+SUMIF(项目类型,C1,'数据-汇总表'!I17:I26))</f>
        <v>48.69</v>
      </c>
      <c r="M18" s="302">
        <f>IF(C1="",'数据-汇总表'!E3,SUMIF(项目类型,C1,'数据-汇总表'!E17:E26))</f>
        <v>48.69</v>
      </c>
    </row>
    <row r="19" spans="1:36" ht="15">
      <c r="A19" s="1760" t="s">
        <v>1290</v>
      </c>
      <c r="B19" s="1761" t="s">
        <v>1291</v>
      </c>
      <c r="C19" s="134">
        <f ca="1">SUMIF(INDIRECT("'"&amp;C4&amp;"'"&amp;"!A:A"),结果表!B19,INDIRECT("'"&amp;C4&amp;"'"&amp;"!B:B"))</f>
        <v>235.74180000000001</v>
      </c>
      <c r="D19" s="135">
        <f ca="1">SUMIF(INDIRECT("'"&amp;D4&amp;"'"&amp;"!A:A"),结果表!B19,INDIRECT("'"&amp;D4&amp;"'"&amp;"!B:B"))</f>
        <v>379.9914</v>
      </c>
      <c r="E19" s="1760" t="s">
        <v>1292</v>
      </c>
      <c r="F19" s="1761" t="s">
        <v>1291</v>
      </c>
      <c r="G19" s="136">
        <f ca="1">ROUND(C19*$C$18+D19*$D$18,0)</f>
        <v>351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48417</v>
      </c>
      <c r="D20" s="138">
        <f ca="1">SUMIF(INDIRECT("'"&amp;D4&amp;"'"&amp;"!A:A"),结果表!B20,INDIRECT("'"&amp;D4&amp;"'"&amp;"!B:B"))</f>
        <v>78043</v>
      </c>
      <c r="E20" s="1763"/>
      <c r="F20" s="1026" t="s">
        <v>1295</v>
      </c>
      <c r="G20" s="139">
        <f ca="1">ROUND(C20*$C$18+D20*$D$18,0)</f>
        <v>72118</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0.61189657498161121</v>
      </c>
      <c r="E22" s="129"/>
      <c r="F22" s="129"/>
      <c r="G22" s="129"/>
      <c r="H22" s="129"/>
      <c r="I22" s="129"/>
    </row>
    <row r="23" spans="1:36" ht="13.5" thickBot="1">
      <c r="A23" s="1746"/>
      <c r="B23" s="1746"/>
      <c r="C23" s="1746"/>
      <c r="D23" s="1746"/>
      <c r="E23" s="129"/>
      <c r="F23" s="129"/>
      <c r="G23" s="129">
        <f ca="1">系统读取表!D14</f>
        <v>351.14249999999998</v>
      </c>
      <c r="H23" s="129"/>
      <c r="I23" s="129"/>
    </row>
    <row r="24" spans="1:36" ht="14.25">
      <c r="A24" s="3664" t="s">
        <v>1299</v>
      </c>
      <c r="B24" s="1761" t="s">
        <v>1291</v>
      </c>
      <c r="C24" s="136">
        <f>IF(B30=0,0,D30)</f>
        <v>0</v>
      </c>
      <c r="D24" s="1768"/>
      <c r="E24" s="129"/>
      <c r="F24" s="129"/>
      <c r="G24" s="129"/>
      <c r="H24" s="129"/>
      <c r="I24" s="129"/>
    </row>
    <row r="25" spans="1:36" ht="14.25">
      <c r="A25" s="366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72118</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1" t="s">
        <v>1312</v>
      </c>
      <c r="B36" s="1786" t="s">
        <v>1313</v>
      </c>
      <c r="C36" s="145"/>
      <c r="D36" s="1787"/>
      <c r="E36" s="1788"/>
      <c r="F36" s="1789"/>
      <c r="G36" s="129"/>
      <c r="H36" s="129"/>
      <c r="I36" s="129"/>
    </row>
    <row r="37" spans="1:15" ht="15.75" thickBot="1">
      <c r="A37" s="3642"/>
      <c r="B37" s="1673" t="s">
        <v>1314</v>
      </c>
      <c r="C37" s="147"/>
      <c r="D37" s="1139"/>
      <c r="E37" s="1139"/>
      <c r="F37" s="1789"/>
      <c r="G37" s="129"/>
      <c r="H37" s="129"/>
      <c r="I37" s="129"/>
    </row>
    <row r="38" spans="1:15" ht="15.75" thickBot="1">
      <c r="A38" s="364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1" t="s">
        <v>1326</v>
      </c>
      <c r="B45" s="3662"/>
      <c r="C45" s="3663"/>
      <c r="D45" s="155" t="e">
        <f ca="1">ROUND(H101*F45,0)</f>
        <v>#REF!</v>
      </c>
      <c r="E45" s="156" t="s">
        <v>1327</v>
      </c>
      <c r="F45" s="157">
        <v>1</v>
      </c>
      <c r="G45" s="158" t="s">
        <v>1328</v>
      </c>
      <c r="H45" s="129"/>
      <c r="I45" s="129"/>
      <c r="J45" s="3581" t="s">
        <v>1329</v>
      </c>
      <c r="K45" s="3581"/>
      <c r="L45" s="3581"/>
      <c r="M45" s="3581"/>
      <c r="N45" s="3581"/>
      <c r="O45" s="3581"/>
    </row>
    <row r="46" spans="1:15" ht="14.25" customHeight="1">
      <c r="A46" s="3658" t="s">
        <v>1330</v>
      </c>
      <c r="B46" s="3659"/>
      <c r="C46" s="3659"/>
      <c r="D46" s="3659"/>
      <c r="E46" s="3659"/>
      <c r="F46" s="3659"/>
      <c r="G46" s="3660"/>
      <c r="H46" s="1805"/>
      <c r="I46" s="159"/>
      <c r="J46" s="2519">
        <v>1</v>
      </c>
      <c r="K46" s="3582" t="s">
        <v>1331</v>
      </c>
      <c r="L46" s="3582"/>
      <c r="M46" s="3583"/>
      <c r="N46" s="3583"/>
      <c r="O46" s="3583"/>
    </row>
    <row r="47" spans="1:15" ht="12" customHeight="1">
      <c r="A47" s="160" t="s">
        <v>1332</v>
      </c>
      <c r="B47" s="161"/>
      <c r="C47" s="162"/>
      <c r="D47" s="1087" t="s">
        <v>1333</v>
      </c>
      <c r="E47" s="302" t="s">
        <v>1334</v>
      </c>
      <c r="F47" s="163" t="s">
        <v>1335</v>
      </c>
      <c r="G47" s="2542" t="s">
        <v>1336</v>
      </c>
      <c r="H47" s="2543"/>
      <c r="I47" s="159"/>
      <c r="J47" s="2519">
        <v>2</v>
      </c>
      <c r="K47" s="3582" t="s">
        <v>1337</v>
      </c>
      <c r="L47" s="3582"/>
      <c r="M47" s="3584">
        <f>'数据-取费表'!B2</f>
        <v>45175</v>
      </c>
      <c r="N47" s="3584"/>
      <c r="O47" s="3584"/>
    </row>
    <row r="48" spans="1:15" ht="25.5">
      <c r="A48" s="3644" t="s">
        <v>1338</v>
      </c>
      <c r="B48" s="3645"/>
      <c r="C48" s="3645"/>
      <c r="D48" s="2321" t="b">
        <f>IF(H48="情况1",0,IF(H48="情况2",D52,IF(H48="情况3",D53,IF(H48="情况4",D54))))</f>
        <v>0</v>
      </c>
      <c r="E48" s="2331" t="str">
        <f>IF(H48="情况4","(销售额-原购置价)×税（费）率","销售额×税（费）率")</f>
        <v>销售额×税（费）率</v>
      </c>
      <c r="F48" s="2544">
        <f>IF(H48="情况1","免征",'数据-取费表'!B41)</f>
        <v>5.6000000000000001E-2</v>
      </c>
      <c r="G48" s="2545" t="s">
        <v>1339</v>
      </c>
      <c r="H48" s="2546"/>
      <c r="I48" s="1805"/>
      <c r="J48" s="2519">
        <v>3</v>
      </c>
      <c r="K48" s="3582" t="s">
        <v>1340</v>
      </c>
      <c r="L48" s="3582"/>
      <c r="M48" s="3585" t="e">
        <f ca="1">H101</f>
        <v>#REF!</v>
      </c>
      <c r="N48" s="3585"/>
      <c r="O48" s="3585"/>
    </row>
    <row r="49" spans="1:35" ht="25.5" customHeight="1">
      <c r="A49" s="2330" t="s">
        <v>1341</v>
      </c>
      <c r="B49" s="3630" t="s">
        <v>1342</v>
      </c>
      <c r="C49" s="3630"/>
      <c r="D49" s="1589">
        <v>0</v>
      </c>
      <c r="E49" s="324" t="s">
        <v>1343</v>
      </c>
      <c r="F49" s="2421" t="s">
        <v>28</v>
      </c>
      <c r="G49" s="3613"/>
      <c r="H49" s="2307" t="s">
        <v>2134</v>
      </c>
      <c r="I49" s="2308"/>
      <c r="J49" s="2519">
        <v>4</v>
      </c>
      <c r="K49" s="3582" t="str">
        <f>IF(项目基本情况!E8="房地产抵押价值","房地产抵押价值","抵押担保权已注销时的房地产抵押价值")</f>
        <v>抵押担保权已注销时的房地产抵押价值</v>
      </c>
      <c r="L49" s="3582"/>
      <c r="M49" s="3585" t="str">
        <f>IF(项目基本情况!E8="房地产抵押价值",H107,H109)</f>
        <v>——</v>
      </c>
      <c r="N49" s="3585"/>
      <c r="O49" s="3585"/>
    </row>
    <row r="50" spans="1:35" ht="25.5" customHeight="1">
      <c r="A50" s="2547"/>
      <c r="B50" s="3630" t="s">
        <v>1344</v>
      </c>
      <c r="C50" s="3630"/>
      <c r="D50" s="2548"/>
      <c r="E50" s="332"/>
      <c r="F50" s="2421"/>
      <c r="G50" s="3614"/>
      <c r="H50" s="2309" t="s">
        <v>2135</v>
      </c>
      <c r="I50" s="2308"/>
      <c r="J50" s="3581" t="s">
        <v>1345</v>
      </c>
      <c r="K50" s="3581"/>
      <c r="L50" s="3581"/>
      <c r="M50" s="3581"/>
      <c r="N50" s="3581"/>
      <c r="O50" s="3581"/>
    </row>
    <row r="51" spans="1:35" ht="20.45" customHeight="1">
      <c r="A51" s="2549"/>
      <c r="B51" s="3630" t="s">
        <v>1346</v>
      </c>
      <c r="C51" s="3630"/>
      <c r="D51" s="1087"/>
      <c r="E51" s="327"/>
      <c r="F51" s="2421"/>
      <c r="G51" s="3615"/>
      <c r="H51" s="2309" t="s">
        <v>2136</v>
      </c>
      <c r="I51" s="2308"/>
      <c r="J51" s="2520" t="s">
        <v>1347</v>
      </c>
      <c r="K51" s="3582" t="s">
        <v>1348</v>
      </c>
      <c r="L51" s="3582"/>
      <c r="M51" s="2520" t="s">
        <v>1349</v>
      </c>
      <c r="N51" s="2520" t="s">
        <v>1350</v>
      </c>
      <c r="O51" s="2520" t="s">
        <v>1351</v>
      </c>
    </row>
    <row r="52" spans="1:35" ht="24" customHeight="1">
      <c r="A52" s="2332" t="s">
        <v>1352</v>
      </c>
      <c r="B52" s="3630" t="s">
        <v>1353</v>
      </c>
      <c r="C52" s="3630"/>
      <c r="D52" s="1087" t="e">
        <f ca="1">ROUND(D45*'数据-取费表'!B41/(1+'数据-取费表'!C42),0)</f>
        <v>#REF!</v>
      </c>
      <c r="E52" s="2331" t="s">
        <v>1354</v>
      </c>
      <c r="F52" s="2550">
        <f>'数据-取费表'!B41</f>
        <v>5.6000000000000001E-2</v>
      </c>
      <c r="G52" s="2551"/>
      <c r="H52" s="2540"/>
      <c r="I52" s="1806"/>
      <c r="J52" s="2519">
        <v>1</v>
      </c>
      <c r="K52" s="3607" t="s">
        <v>1355</v>
      </c>
      <c r="L52" s="3607"/>
      <c r="M52" s="2521" t="b">
        <f>D48</f>
        <v>0</v>
      </c>
      <c r="N52" s="2519" t="str">
        <f>E48</f>
        <v>销售额×税（费）率</v>
      </c>
      <c r="O52" s="2522">
        <f>F48</f>
        <v>5.6000000000000001E-2</v>
      </c>
    </row>
    <row r="53" spans="1:35" ht="12" customHeight="1">
      <c r="A53" s="2332" t="s">
        <v>1356</v>
      </c>
      <c r="B53" s="3631" t="s">
        <v>2289</v>
      </c>
      <c r="C53" s="3632"/>
      <c r="D53" s="1087" t="e">
        <f ca="1">ROUND(D45*'数据-取费表'!B41/(1+'数据-取费表'!C42),0)</f>
        <v>#REF!</v>
      </c>
      <c r="E53" s="2331" t="s">
        <v>1354</v>
      </c>
      <c r="F53" s="2550">
        <f>'数据-取费表'!B41</f>
        <v>5.6000000000000001E-2</v>
      </c>
      <c r="G53" s="2551"/>
      <c r="H53" s="2540"/>
      <c r="I53" s="1806"/>
      <c r="J53" s="2519">
        <v>2</v>
      </c>
      <c r="K53" s="3607" t="s">
        <v>1357</v>
      </c>
      <c r="L53" s="3607"/>
      <c r="M53" s="2521" t="e">
        <f t="shared" ref="M53:O54" ca="1" si="0">D55</f>
        <v>#REF!</v>
      </c>
      <c r="N53" s="2519" t="str">
        <f t="shared" si="0"/>
        <v>销售额×税（费）率</v>
      </c>
      <c r="O53" s="2522" t="str">
        <f t="shared" si="0"/>
        <v>免征</v>
      </c>
    </row>
    <row r="54" spans="1:35" ht="12" customHeight="1">
      <c r="A54" s="2332" t="s">
        <v>1358</v>
      </c>
      <c r="B54" s="3631" t="s">
        <v>2290</v>
      </c>
      <c r="C54" s="3632"/>
      <c r="D54" s="1087" t="e">
        <f ca="1">C68</f>
        <v>#REF!</v>
      </c>
      <c r="E54" s="327" t="s">
        <v>1359</v>
      </c>
      <c r="F54" s="2550">
        <f>'数据-取费表'!B41</f>
        <v>5.6000000000000001E-2</v>
      </c>
      <c r="G54" s="2551"/>
      <c r="H54" s="2552"/>
      <c r="I54" s="1806"/>
      <c r="J54" s="2519">
        <v>3</v>
      </c>
      <c r="K54" s="3607" t="s">
        <v>1360</v>
      </c>
      <c r="L54" s="3607"/>
      <c r="M54" s="2521" t="e">
        <f t="shared" ca="1" si="0"/>
        <v>#REF!</v>
      </c>
      <c r="N54" s="2519" t="str">
        <f t="shared" si="0"/>
        <v>增值额×税（费）率</v>
      </c>
      <c r="O54" s="2523" t="str">
        <f t="shared" si="0"/>
        <v>免征</v>
      </c>
    </row>
    <row r="55" spans="1:35" ht="24" customHeight="1">
      <c r="A55" s="3667" t="s">
        <v>1361</v>
      </c>
      <c r="B55" s="3645"/>
      <c r="C55" s="3645"/>
      <c r="D55" s="2321" t="e">
        <f ca="1">IF(H55="个人住宅",0,ROUND(D45*I55,0))</f>
        <v>#REF!</v>
      </c>
      <c r="E55" s="2331" t="s">
        <v>1362</v>
      </c>
      <c r="F55" s="2550" t="str">
        <f>IF(H55="正常",I55,"免征")</f>
        <v>免征</v>
      </c>
      <c r="G55" s="2551"/>
      <c r="H55" s="2546"/>
      <c r="I55" s="165">
        <f>'数据-取费表'!B49</f>
        <v>5.0000000000000001E-4</v>
      </c>
      <c r="J55" s="2519">
        <f>IF(H59="非个人房产","",4)</f>
        <v>4</v>
      </c>
      <c r="K55" s="3607" t="str">
        <f>IF(H59="非个人房产","——","个人所得税")</f>
        <v>个人所得税</v>
      </c>
      <c r="L55" s="3607"/>
      <c r="M55" s="2524" t="e">
        <f ca="1">D59</f>
        <v>#REF!</v>
      </c>
      <c r="N55" s="2037" t="str">
        <f>E59</f>
        <v>差额计税</v>
      </c>
      <c r="O55" s="2525">
        <f>F59</f>
        <v>0.01</v>
      </c>
    </row>
    <row r="56" spans="1:35" ht="24.75">
      <c r="A56" s="3667" t="s">
        <v>1363</v>
      </c>
      <c r="B56" s="3645"/>
      <c r="C56" s="3645"/>
      <c r="D56" s="2321" t="e">
        <f ca="1">IF(H56="个人住宅",D57,D58)</f>
        <v>#REF!</v>
      </c>
      <c r="E56" s="2331" t="s">
        <v>1364</v>
      </c>
      <c r="F56" s="2550" t="str">
        <f>IF(H56="正常",F58,"免征")</f>
        <v>免征</v>
      </c>
      <c r="G56" s="2553" t="s">
        <v>1365</v>
      </c>
      <c r="H56" s="2554"/>
      <c r="I56" s="1807"/>
      <c r="J56" s="2519" t="str">
        <f>IF(项目基本情况!K6="上海银行",IF(J55="",4,J55+1),"")</f>
        <v/>
      </c>
      <c r="K56" s="3588" t="str">
        <f>IF(项目基本情况!K6="上海银行","其他处置费用","")</f>
        <v/>
      </c>
      <c r="L56" s="3589"/>
      <c r="M56" s="2521" t="str">
        <f>IF(项目基本情况!K6="上海银行",M69,"")</f>
        <v/>
      </c>
      <c r="N56" s="3588" t="str">
        <f>IF(项目基本情况!K6="上海银行","包含处置中涉及的律师、诉讼、拍卖、评估等费用","")</f>
        <v/>
      </c>
      <c r="O56" s="3591"/>
    </row>
    <row r="57" spans="1:35" ht="12.75">
      <c r="A57" s="2332" t="s">
        <v>1341</v>
      </c>
      <c r="B57" s="3631" t="s">
        <v>1366</v>
      </c>
      <c r="C57" s="3632"/>
      <c r="D57" s="1589">
        <v>0</v>
      </c>
      <c r="E57" s="324" t="s">
        <v>1343</v>
      </c>
      <c r="F57" s="302"/>
      <c r="G57" s="2551"/>
      <c r="H57" s="2555"/>
      <c r="I57" s="1807"/>
      <c r="J57" s="3607">
        <f>IF(AND(J55="",J56=""),4,IF(项目基本情况!K6="上海银行",结果表!J56+1,结果表!J55+1))</f>
        <v>5</v>
      </c>
      <c r="K57" s="3607" t="s">
        <v>1367</v>
      </c>
      <c r="L57" s="2526" t="s">
        <v>1368</v>
      </c>
      <c r="M57" s="2527"/>
      <c r="N57" s="2528">
        <f ca="1">SUMIF(M52:M56,"&lt;9e307")</f>
        <v>0</v>
      </c>
      <c r="O57" s="2529"/>
      <c r="P57" s="2686" t="e">
        <f ca="1">N57/M49</f>
        <v>#VALUE!</v>
      </c>
    </row>
    <row r="58" spans="1:35" ht="24.75">
      <c r="A58" s="2332" t="s">
        <v>1352</v>
      </c>
      <c r="B58" s="3631" t="s">
        <v>1369</v>
      </c>
      <c r="C58" s="3630"/>
      <c r="D58" s="2321" t="e">
        <f ca="1">IF(H58="转让取得",C81,C97)</f>
        <v>#REF!</v>
      </c>
      <c r="E58" s="2331" t="s">
        <v>1364</v>
      </c>
      <c r="F58" s="302" t="s">
        <v>28</v>
      </c>
      <c r="G58" s="2551"/>
      <c r="H58" s="2554"/>
      <c r="I58" s="1807"/>
      <c r="J58" s="3607"/>
      <c r="K58" s="3607"/>
      <c r="L58" s="2526" t="s">
        <v>1370</v>
      </c>
      <c r="M58" s="2530"/>
      <c r="N58" s="2531" t="str">
        <f ca="1">NUMBERSTRING(INT(N57*10000),2)&amp;"元整"</f>
        <v>零元整</v>
      </c>
      <c r="O58" s="2532"/>
    </row>
    <row r="59" spans="1:35" ht="24.75" thickBot="1">
      <c r="A59" s="3611" t="s">
        <v>1371</v>
      </c>
      <c r="B59" s="3612"/>
      <c r="C59" s="3612"/>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2137</v>
      </c>
      <c r="J59" s="3609">
        <f>J57+1</f>
        <v>6</v>
      </c>
      <c r="K59" s="3607" t="s">
        <v>1372</v>
      </c>
      <c r="L59" s="2519" t="s">
        <v>1368</v>
      </c>
      <c r="M59" s="2533"/>
      <c r="N59" s="2534" t="e">
        <f ca="1">M49-N57</f>
        <v>#VALUE!</v>
      </c>
      <c r="O59" s="2535"/>
    </row>
    <row r="60" spans="1:35" ht="12" customHeight="1">
      <c r="A60" s="1808"/>
      <c r="B60" s="1746"/>
      <c r="C60" s="1746"/>
      <c r="D60" s="1746"/>
      <c r="E60" s="1577"/>
      <c r="F60" s="1807"/>
      <c r="G60" s="1807"/>
      <c r="H60" s="1809"/>
      <c r="I60" s="129"/>
      <c r="J60" s="3610"/>
      <c r="K60" s="3607"/>
      <c r="L60" s="2526" t="s">
        <v>1370</v>
      </c>
      <c r="M60" s="2530"/>
      <c r="N60" s="2531" t="e">
        <f ca="1">NUMBERSTRING(INT(N59*10000),2)&amp;"元整"</f>
        <v>#VALUE!</v>
      </c>
      <c r="O60" s="2532"/>
    </row>
    <row r="61" spans="1:35" ht="13.5" thickBot="1">
      <c r="A61" s="3666" t="s">
        <v>1373</v>
      </c>
      <c r="B61" s="3666"/>
      <c r="C61" s="3666"/>
      <c r="D61" s="3666"/>
      <c r="E61" s="3666"/>
      <c r="F61" s="1807"/>
      <c r="G61" s="1807"/>
      <c r="H61" s="1809"/>
      <c r="I61" s="129"/>
      <c r="J61" s="2519">
        <f>J59+1</f>
        <v>7</v>
      </c>
      <c r="K61" s="3607" t="s">
        <v>1374</v>
      </c>
      <c r="L61" s="3607"/>
      <c r="M61" s="2536"/>
      <c r="N61" s="2537" t="e">
        <f ca="1">ROUND(N59*10000/'数据-汇总表'!E3,0)</f>
        <v>#VALUE!</v>
      </c>
      <c r="O61" s="2538"/>
    </row>
    <row r="62" spans="1:35" ht="12.75">
      <c r="A62" s="3626" t="s">
        <v>1375</v>
      </c>
      <c r="B62" s="3627"/>
      <c r="C62" s="2018"/>
      <c r="D62" s="2018"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590"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59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590"/>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590"/>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59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590"/>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590"/>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4" t="s">
        <v>1394</v>
      </c>
      <c r="B70" s="3635"/>
      <c r="C70" s="3635"/>
      <c r="D70" s="3635"/>
      <c r="E70" s="3635"/>
      <c r="F70" s="3635"/>
      <c r="G70" s="3635"/>
      <c r="H70" s="3635"/>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6" t="s">
        <v>1375</v>
      </c>
      <c r="B71" s="3627"/>
      <c r="C71" s="2018"/>
      <c r="D71" s="2018"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31" t="s">
        <v>1402</v>
      </c>
      <c r="F76" s="3630"/>
      <c r="G76" s="3630"/>
      <c r="H76" s="363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623" t="s">
        <v>1406</v>
      </c>
      <c r="F78" s="3624"/>
      <c r="G78" s="3624"/>
      <c r="H78" s="362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4" t="s">
        <v>1410</v>
      </c>
      <c r="B83" s="3635"/>
      <c r="C83" s="3635"/>
      <c r="D83" s="3635"/>
      <c r="E83" s="3635"/>
      <c r="F83" s="3635"/>
      <c r="G83" s="3635"/>
      <c r="H83" s="363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6" t="s">
        <v>1375</v>
      </c>
      <c r="B84" s="3627"/>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4"/>
      <c r="G88" s="194" t="s">
        <v>1414</v>
      </c>
      <c r="H88" s="1823"/>
      <c r="I88" s="1820"/>
      <c r="J88" s="2517"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4"/>
      <c r="G90" s="3592" t="s">
        <v>2129</v>
      </c>
      <c r="H90" s="3593"/>
      <c r="I90" s="1820"/>
      <c r="J90" s="2517"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623" t="s">
        <v>1419</v>
      </c>
      <c r="F91" s="3624"/>
      <c r="G91" s="362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623" t="s">
        <v>1422</v>
      </c>
      <c r="F92" s="3624"/>
      <c r="G92" s="3624"/>
      <c r="H92" s="3625"/>
      <c r="I92" s="1820"/>
      <c r="J92" s="2518"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623" t="s">
        <v>1406</v>
      </c>
      <c r="F93" s="3624"/>
      <c r="G93" s="3624"/>
      <c r="H93" s="362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68" t="s">
        <v>1426</v>
      </c>
      <c r="F94" s="3669"/>
      <c r="G94" s="3669"/>
      <c r="H94" s="367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3" t="s">
        <v>1428</v>
      </c>
      <c r="B100" s="3574"/>
      <c r="C100" s="3574"/>
      <c r="D100" s="3608"/>
      <c r="E100" s="3574" t="s">
        <v>1429</v>
      </c>
      <c r="F100" s="3574"/>
      <c r="G100" s="3574"/>
      <c r="H100" s="3608"/>
      <c r="I100" s="129"/>
    </row>
    <row r="101" spans="1:35" ht="18.75" customHeight="1">
      <c r="A101" s="3616" t="s">
        <v>1430</v>
      </c>
      <c r="B101" s="3617"/>
      <c r="C101" s="2581" t="str">
        <f>C4</f>
        <v>收益法 (元)</v>
      </c>
      <c r="D101" s="2582" t="str">
        <f>D4</f>
        <v>比较法-住宅</v>
      </c>
      <c r="E101" s="3586" t="s">
        <v>1431</v>
      </c>
      <c r="F101" s="3587"/>
      <c r="G101" s="1826" t="s">
        <v>1432</v>
      </c>
      <c r="H101" s="2591" t="e">
        <f ca="1">H118</f>
        <v>#REF!</v>
      </c>
      <c r="I101" s="129"/>
    </row>
    <row r="102" spans="1:35" ht="18.75" customHeight="1">
      <c r="A102" s="3618" t="s">
        <v>1433</v>
      </c>
      <c r="B102" s="2580" t="s">
        <v>1432</v>
      </c>
      <c r="C102" s="2581">
        <f ca="1">IF(D32="楼面单价",ROUND(C19,0),C19)</f>
        <v>235.74180000000001</v>
      </c>
      <c r="D102" s="2582">
        <f ca="1">IF(D32="楼面单价",ROUND(D19,0),D19)</f>
        <v>379.9914</v>
      </c>
      <c r="E102" s="3586"/>
      <c r="F102" s="3587"/>
      <c r="G102" s="1826" t="s">
        <v>1434</v>
      </c>
      <c r="H102" s="2551" t="e">
        <f ca="1">I118</f>
        <v>#REF!</v>
      </c>
      <c r="I102" s="129"/>
    </row>
    <row r="103" spans="1:35" ht="42.75" customHeight="1">
      <c r="A103" s="3618"/>
      <c r="B103" s="2580" t="s">
        <v>1434</v>
      </c>
      <c r="C103" s="2583">
        <f ca="1">C20</f>
        <v>48417</v>
      </c>
      <c r="D103" s="2584">
        <f ca="1">D20</f>
        <v>78043</v>
      </c>
      <c r="E103" s="3579" t="s">
        <v>1435</v>
      </c>
      <c r="F103" s="3580"/>
      <c r="G103" s="1827" t="s">
        <v>1436</v>
      </c>
      <c r="H103" s="2591">
        <f>IF(D36="正常操作",H104+H105+H106,H105+H106)</f>
        <v>0</v>
      </c>
      <c r="I103" s="129"/>
    </row>
    <row r="104" spans="1:35" ht="18.75" customHeight="1">
      <c r="A104" s="3618"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28"/>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19" t="str">
        <f>IF(项目基本情况!E8="已注销","——","3.房地产抵押价值")</f>
        <v>3.房地产抵押价值</v>
      </c>
      <c r="F107" s="3587"/>
      <c r="G107" s="1826" t="s">
        <v>1432</v>
      </c>
      <c r="H107" s="2591" t="e">
        <f ca="1">IF(E107="——","——",H101-H103)</f>
        <v>#REF!</v>
      </c>
      <c r="I107" s="129"/>
    </row>
    <row r="108" spans="1:35" ht="18.75" customHeight="1">
      <c r="A108" s="129"/>
      <c r="B108" s="129"/>
      <c r="C108" s="129"/>
      <c r="D108" s="129"/>
      <c r="E108" s="3619"/>
      <c r="F108" s="3587"/>
      <c r="G108" s="1826" t="s">
        <v>1434</v>
      </c>
      <c r="H108" s="2551">
        <f ca="1">IF(H107=H101,H102,ROUND(H107*10000/'数据-汇总表'!E3,0))</f>
        <v>0</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6" t="s">
        <v>1432</v>
      </c>
      <c r="H109" s="2594" t="str">
        <f>IF(E109="——","——",H101-H105-H106)</f>
        <v>——</v>
      </c>
      <c r="I109" s="129"/>
    </row>
    <row r="110" spans="1:35" ht="18.75" customHeight="1">
      <c r="A110" s="129"/>
      <c r="B110" s="129"/>
      <c r="C110" s="129"/>
      <c r="D110" s="129"/>
      <c r="E110" s="3619"/>
      <c r="F110" s="3587"/>
      <c r="G110" s="1826" t="s">
        <v>1434</v>
      </c>
      <c r="H110" s="2551"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606"/>
      <c r="G111" s="1826" t="s">
        <v>1432</v>
      </c>
      <c r="H111" s="2591" t="str">
        <f>IF(E111="——","——",N59)</f>
        <v>——</v>
      </c>
      <c r="I111" s="129"/>
    </row>
    <row r="112" spans="1:35" ht="18.75" customHeight="1" thickBot="1">
      <c r="A112" s="129"/>
      <c r="B112" s="129"/>
      <c r="C112" s="129"/>
      <c r="D112" s="129"/>
      <c r="E112" s="3621"/>
      <c r="F112" s="3622"/>
      <c r="G112" s="1829" t="s">
        <v>1434</v>
      </c>
      <c r="H112" s="2595" t="str">
        <f>IF(E111="——","——",N61)</f>
        <v>——</v>
      </c>
      <c r="I112" s="129"/>
    </row>
    <row r="113" spans="1:27" ht="18.75" customHeight="1">
      <c r="A113" s="129"/>
      <c r="B113" s="129"/>
      <c r="C113" s="129"/>
      <c r="D113" s="129"/>
      <c r="E113" s="3629" t="s">
        <v>1440</v>
      </c>
      <c r="F113" s="3629"/>
      <c r="G113" s="3629"/>
      <c r="H113" s="3629"/>
      <c r="I113" s="129"/>
    </row>
    <row r="114" spans="1:27" ht="3.75" customHeight="1">
      <c r="A114" s="1746"/>
      <c r="B114" s="1746"/>
      <c r="C114" s="1746"/>
      <c r="D114" s="1746"/>
      <c r="E114" s="1808"/>
      <c r="F114" s="1808"/>
      <c r="G114" s="1808"/>
      <c r="H114" s="1808"/>
      <c r="I114" s="1746"/>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48.69</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94" t="s">
        <v>1452</v>
      </c>
      <c r="B119" s="3594"/>
      <c r="C119" s="3594"/>
      <c r="D119" s="3600" t="e">
        <f ca="1">NUMBERSTRING(INT(D118*10000),2)&amp;"元整"</f>
        <v>#REF!</v>
      </c>
      <c r="E119" s="3601"/>
      <c r="F119" s="3600" t="e">
        <f ca="1">NUMBERSTRING(INT(F118*10000),2)&amp;"元整"</f>
        <v>#REF!</v>
      </c>
      <c r="G119" s="3601"/>
      <c r="H119" s="3600" t="e">
        <f ca="1">NUMBERSTRING(INT(H118*10000),2)&amp;"元整"</f>
        <v>#REF!</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0" t="s">
        <v>1452</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t="e">
        <f ca="1">H107</f>
        <v>#REF!</v>
      </c>
      <c r="E122" s="3596"/>
      <c r="F122" s="3596"/>
      <c r="G122" s="3596"/>
      <c r="H122" s="3596"/>
      <c r="I122" s="3597"/>
      <c r="AA122" s="725"/>
    </row>
    <row r="123" spans="1:27" ht="18.75" customHeight="1">
      <c r="A123" s="3594" t="s">
        <v>1452</v>
      </c>
      <c r="B123" s="3594"/>
      <c r="C123" s="3594"/>
      <c r="D123" s="3600" t="e">
        <f ca="1">NUMBERSTRING(INT(D122*10000),2)&amp;"元整"</f>
        <v>#REF!</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1452</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
      </c>
      <c r="B126" s="3606"/>
      <c r="C126" s="3606"/>
      <c r="D126" s="3595" t="str">
        <f>H111</f>
        <v>——</v>
      </c>
      <c r="E126" s="3596"/>
      <c r="F126" s="3596"/>
      <c r="G126" s="3596"/>
      <c r="H126" s="3596"/>
      <c r="I126" s="3597"/>
      <c r="AA126" s="725"/>
    </row>
    <row r="127" spans="1:27" ht="18.75" customHeight="1">
      <c r="A127" s="3594" t="s">
        <v>1452</v>
      </c>
      <c r="B127" s="3594"/>
      <c r="C127" s="3594"/>
      <c r="D127" s="3600" t="e">
        <f>NUMBERSTRING(INT(D126*10000),2)&amp;"元整"</f>
        <v>#VALUE!</v>
      </c>
      <c r="E127" s="3602"/>
      <c r="F127" s="3602"/>
      <c r="G127" s="3602"/>
      <c r="H127" s="3602"/>
      <c r="I127" s="3601"/>
      <c r="AA127" s="725"/>
    </row>
    <row r="128" spans="1:27" ht="21.75" customHeight="1">
      <c r="A128" s="3603" t="s">
        <v>1453</v>
      </c>
      <c r="B128" s="3603"/>
      <c r="C128" s="3603"/>
      <c r="D128" s="3603"/>
      <c r="E128" s="3603"/>
      <c r="F128" s="3603"/>
      <c r="G128" s="3603"/>
      <c r="H128" s="3603"/>
      <c r="I128" s="360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11642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2391045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7790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7790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48.69</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48.69</v>
      </c>
      <c r="E19" s="211">
        <f>'数据-取费表'!B31</f>
        <v>200</v>
      </c>
      <c r="F19" s="231"/>
      <c r="G19" s="1855"/>
    </row>
    <row r="20" spans="1:7" s="214" customFormat="1" ht="13.5" customHeight="1">
      <c r="A20" s="255" t="s">
        <v>1493</v>
      </c>
      <c r="B20" s="210" t="s">
        <v>1494</v>
      </c>
      <c r="C20" s="232">
        <f ca="1">ROUND((C5+C19)*F20,0)</f>
        <v>156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765</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758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1987</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1987</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11621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48.69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3" t="s">
        <v>1544</v>
      </c>
    </row>
    <row r="43" spans="1:7" ht="13.5" customHeight="1">
      <c r="A43" s="780" t="s">
        <v>347</v>
      </c>
      <c r="B43" s="215" t="s">
        <v>1545</v>
      </c>
      <c r="C43" s="238">
        <f ca="1">ROUND(IF('数据-取费表'!B22&lt;=1,C39*F22*'数据-取费表'!B21/2,C39*(POWER((1+F22),'数据-取费表'!B21/2)-1)),0)</f>
        <v>0</v>
      </c>
      <c r="D43" s="238"/>
      <c r="E43" s="238"/>
      <c r="F43" s="239"/>
      <c r="G43" s="3674"/>
    </row>
    <row r="44" spans="1:7" ht="13.5" customHeight="1">
      <c r="A44" s="780" t="s">
        <v>348</v>
      </c>
      <c r="B44" s="215" t="s">
        <v>1546</v>
      </c>
      <c r="C44" s="238">
        <f ca="1">ROUND(IF('数据-取费表'!B22&lt;=1,C40*F22*'数据-取费表'!B21/2,C40*(POWER((1+F22),'数据-取费表'!B21/2)-1)),4)</f>
        <v>1E-3</v>
      </c>
      <c r="D44" s="238"/>
      <c r="E44" s="238"/>
      <c r="F44" s="239"/>
      <c r="G44" s="3675"/>
    </row>
    <row r="45" spans="1:7" s="214" customFormat="1" ht="13.5" customHeight="1">
      <c r="A45" s="255" t="s">
        <v>1547</v>
      </c>
      <c r="B45" s="244" t="s">
        <v>1513</v>
      </c>
      <c r="C45" s="245">
        <f ca="1">C46</f>
        <v>5</v>
      </c>
      <c r="D45" s="235">
        <f ca="1">C47</f>
        <v>5.0000000000000001E-3</v>
      </c>
      <c r="E45" s="236" t="s">
        <v>1539</v>
      </c>
      <c r="F45" s="246">
        <f ca="1">F27</f>
        <v>0.25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21</v>
      </c>
      <c r="D51" s="232"/>
      <c r="E51" s="232"/>
      <c r="F51" s="264"/>
      <c r="G51" s="234" t="s">
        <v>1560</v>
      </c>
    </row>
    <row r="52" spans="1:7" s="208" customFormat="1" ht="16.5" thickBot="1">
      <c r="A52" s="265" t="s">
        <v>1561</v>
      </c>
      <c r="B52" s="266"/>
      <c r="C52" s="267">
        <f ca="1">C31+C51</f>
        <v>11642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北京市预评估</v>
      </c>
      <c r="C37" s="3490"/>
      <c r="D37" s="3490"/>
      <c r="E37" s="3490"/>
      <c r="F37" s="3490"/>
      <c r="G37" s="3490"/>
      <c r="H37" s="3490"/>
      <c r="I37" s="349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9651</v>
      </c>
      <c r="C2" s="276" t="s">
        <v>1595</v>
      </c>
      <c r="D2" s="276"/>
      <c r="E2" s="2802"/>
      <c r="F2" s="2802"/>
      <c r="G2" s="2802"/>
      <c r="H2" s="2802"/>
      <c r="I2" s="2802"/>
      <c r="J2" s="2802"/>
      <c r="K2" s="2802"/>
    </row>
    <row r="3" spans="1:33" ht="18" customHeight="1" thickBot="1">
      <c r="A3" s="203" t="s">
        <v>1464</v>
      </c>
      <c r="B3" s="204">
        <f ca="1">ROUND(B2*10000/IF(C1="",'数据-汇总表'!E3,INDIRECT("'数据-取费表'!K"&amp;$K$1)),0)</f>
        <v>1982132</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48.69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-7789</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48.69</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-7789</v>
      </c>
      <c r="D21" s="815"/>
      <c r="E21" s="281"/>
      <c r="F21" s="281"/>
      <c r="G21" s="131" t="s">
        <v>1629</v>
      </c>
      <c r="H21" s="807"/>
      <c r="I21" s="807"/>
      <c r="J21" s="807"/>
      <c r="K21" s="808"/>
    </row>
    <row r="22" spans="1:33" s="803" customFormat="1" ht="13.5" customHeight="1">
      <c r="A22" s="790" t="s">
        <v>1601</v>
      </c>
      <c r="B22" s="813" t="s">
        <v>1630</v>
      </c>
      <c r="C22" s="814">
        <f ca="1">ROUND(C21*F22,0)</f>
        <v>-156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-1986</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-1986</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9651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8" t="s">
        <v>694</v>
      </c>
      <c r="C6" s="1074">
        <f ca="1">ROUND(F6*F8*F7*(1-F9)/10000,0)</f>
        <v>0</v>
      </c>
      <c r="D6" s="155" t="s">
        <v>2109</v>
      </c>
      <c r="E6" s="302" t="s">
        <v>696</v>
      </c>
      <c r="F6" s="303">
        <f ca="1">INDIRECT("'数据-取费表'!u"&amp;$G$1)</f>
        <v>0</v>
      </c>
      <c r="G6" s="1383"/>
      <c r="H6" s="1069" t="s">
        <v>398</v>
      </c>
      <c r="I6" s="3678" t="s">
        <v>694</v>
      </c>
      <c r="J6" s="301">
        <f ca="1">ROUND(M6*M8*M7*(1-M9)/10000,0)</f>
        <v>0</v>
      </c>
      <c r="K6" s="155" t="s">
        <v>2108</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3"/>
      <c r="H7" s="304"/>
      <c r="I7" s="3679"/>
      <c r="J7" s="306"/>
      <c r="K7" s="307"/>
      <c r="L7" s="302" t="s">
        <v>697</v>
      </c>
      <c r="M7" s="303">
        <f ca="1">F7</f>
        <v>0</v>
      </c>
    </row>
    <row r="8" spans="1:37" ht="18" customHeight="1">
      <c r="A8" s="304"/>
      <c r="B8" s="3679"/>
      <c r="C8" s="306"/>
      <c r="D8" s="307"/>
      <c r="E8" s="302" t="s">
        <v>698</v>
      </c>
      <c r="F8" s="303">
        <f ca="1">INDIRECT("'数据-取费表'!ai"&amp;$G$1)</f>
        <v>0</v>
      </c>
      <c r="G8" s="1383"/>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3"/>
      <c r="H9" s="304"/>
      <c r="I9" s="368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4" t="s">
        <v>2308</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76" t="s">
        <v>837</v>
      </c>
      <c r="L53" s="367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C26" zoomScale="90" zoomScaleNormal="70" zoomScaleSheetLayoutView="9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3395</v>
      </c>
      <c r="D1" s="1361" t="s">
        <v>43</v>
      </c>
      <c r="E1" s="1362" t="s">
        <v>678</v>
      </c>
      <c r="F1" s="1062">
        <f ca="1">J53</f>
        <v>47.01</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235.74180000000001</v>
      </c>
      <c r="C2" s="1386" t="s">
        <v>879</v>
      </c>
      <c r="D2" s="1470">
        <f ca="1">C40+J29+L46</f>
        <v>2357418</v>
      </c>
      <c r="E2" s="1387" t="s">
        <v>880</v>
      </c>
      <c r="F2" s="1388"/>
      <c r="G2" s="2702"/>
      <c r="H2" s="2691"/>
      <c r="I2" s="2691"/>
      <c r="J2" s="2691"/>
      <c r="K2" s="2692"/>
      <c r="L2" s="2691"/>
      <c r="M2" s="2691"/>
    </row>
    <row r="3" spans="1:37" ht="18" customHeight="1" thickBot="1">
      <c r="A3" s="1389" t="s">
        <v>881</v>
      </c>
      <c r="B3" s="1390">
        <f ca="1">IF(ISERROR(D2/F43),0,ROUND(D2/F43,0))</f>
        <v>48417</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86508</v>
      </c>
      <c r="D5" s="1363" t="s">
        <v>889</v>
      </c>
      <c r="E5" s="1071"/>
      <c r="F5" s="1072"/>
      <c r="G5" s="1383"/>
      <c r="H5" s="299">
        <v>1</v>
      </c>
      <c r="I5" s="300" t="s">
        <v>888</v>
      </c>
      <c r="J5" s="1070">
        <f ca="1">J6+J10+J12</f>
        <v>0</v>
      </c>
      <c r="K5" s="1363" t="s">
        <v>889</v>
      </c>
      <c r="L5" s="1071"/>
      <c r="M5" s="1072"/>
    </row>
    <row r="6" spans="1:37" ht="18" customHeight="1">
      <c r="A6" s="1069" t="s">
        <v>398</v>
      </c>
      <c r="B6" s="3678" t="s">
        <v>694</v>
      </c>
      <c r="C6" s="1074">
        <f ca="1">ROUND(F6*F8*F7*(1-F9),0)</f>
        <v>86400</v>
      </c>
      <c r="D6" s="155" t="s">
        <v>2106</v>
      </c>
      <c r="E6" s="302" t="s">
        <v>696</v>
      </c>
      <c r="F6" s="303">
        <f ca="1">INDIRECT("'数据-取费表'!u"&amp;$G$1)</f>
        <v>8000</v>
      </c>
      <c r="G6" s="1383"/>
      <c r="H6" s="1069" t="s">
        <v>398</v>
      </c>
      <c r="I6" s="3678" t="s">
        <v>694</v>
      </c>
      <c r="J6" s="301">
        <f ca="1">ROUND(M6*M8*M7*(1-M9),0)</f>
        <v>0</v>
      </c>
      <c r="K6" s="1375"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1</v>
      </c>
      <c r="G7" s="1383"/>
      <c r="H7" s="304"/>
      <c r="I7" s="3679"/>
      <c r="J7" s="306"/>
      <c r="K7" s="307"/>
      <c r="L7" s="302" t="s">
        <v>697</v>
      </c>
      <c r="M7" s="303">
        <f ca="1">F7</f>
        <v>1</v>
      </c>
    </row>
    <row r="8" spans="1:37" ht="18" customHeight="1">
      <c r="A8" s="304"/>
      <c r="B8" s="3679"/>
      <c r="C8" s="306"/>
      <c r="D8" s="307"/>
      <c r="E8" s="302" t="s">
        <v>698</v>
      </c>
      <c r="F8" s="303">
        <f ca="1">INDIRECT("'数据-取费表'!ai"&amp;$G$1)</f>
        <v>12</v>
      </c>
      <c r="G8" s="1383"/>
      <c r="H8" s="304"/>
      <c r="I8" s="3679"/>
      <c r="J8" s="306"/>
      <c r="K8" s="307"/>
      <c r="L8" s="302" t="s">
        <v>698</v>
      </c>
      <c r="M8" s="303">
        <f ca="1">INDIRECT("'数据-取费表'!ai"&amp;$G$1)</f>
        <v>12</v>
      </c>
    </row>
    <row r="9" spans="1:37" ht="18" customHeight="1">
      <c r="A9" s="304"/>
      <c r="B9" s="3680"/>
      <c r="C9" s="306"/>
      <c r="D9" s="307"/>
      <c r="E9" s="302" t="s">
        <v>699</v>
      </c>
      <c r="F9" s="312">
        <f ca="1">INDIRECT("'数据-取费表'!w"&amp;$G$1)</f>
        <v>0.1</v>
      </c>
      <c r="G9" s="1383"/>
      <c r="H9" s="304"/>
      <c r="I9" s="3680"/>
      <c r="J9" s="306"/>
      <c r="K9" s="307"/>
      <c r="L9" s="313" t="s">
        <v>699</v>
      </c>
      <c r="M9" s="314">
        <f ca="1">INDIRECT("'数据-取费表'!ab"&amp;$G$1)</f>
        <v>0</v>
      </c>
    </row>
    <row r="10" spans="1:37" ht="18" customHeight="1">
      <c r="A10" s="1069" t="s">
        <v>402</v>
      </c>
      <c r="B10" s="1364" t="s">
        <v>700</v>
      </c>
      <c r="C10" s="316">
        <f ca="1">ROUND(IF(F10="押一",C6/12*F11,IF(F10="押二",C6/12*2*F11,IF(F10="押三",C6/12*3*F11,C11*F11))),0)</f>
        <v>108</v>
      </c>
      <c r="D10" s="1365" t="s">
        <v>2116</v>
      </c>
      <c r="E10" s="313" t="s">
        <v>701</v>
      </c>
      <c r="F10" s="1116" t="s">
        <v>3483</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213510</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170415</v>
      </c>
      <c r="D14" s="1344" t="s">
        <v>708</v>
      </c>
      <c r="E14" s="1341"/>
      <c r="F14" s="319"/>
      <c r="G14" s="1383"/>
      <c r="H14" s="982" t="s">
        <v>398</v>
      </c>
      <c r="I14" s="302" t="s">
        <v>709</v>
      </c>
      <c r="J14" s="21">
        <f ca="1">C29</f>
        <v>284680</v>
      </c>
      <c r="K14" s="12"/>
      <c r="L14" s="807"/>
      <c r="M14" s="808"/>
    </row>
    <row r="15" spans="1:37" s="1396" customFormat="1" ht="18" customHeight="1" thickBot="1">
      <c r="A15" s="982" t="s">
        <v>399</v>
      </c>
      <c r="B15" s="302" t="s">
        <v>710</v>
      </c>
      <c r="C15" s="21">
        <f ca="1">ROUND(C14*F15,0)</f>
        <v>6817</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8521</v>
      </c>
      <c r="D16" s="302" t="s">
        <v>711</v>
      </c>
      <c r="E16" s="302" t="s">
        <v>712</v>
      </c>
      <c r="F16" s="322">
        <f ca="1">IF(INDIRECT("'数据-取费表'!c"&amp;$G$1)="住宅",'数据-取费表'!B34,0)</f>
        <v>0.05</v>
      </c>
      <c r="G16" s="1383"/>
      <c r="H16" s="1079" t="s">
        <v>393</v>
      </c>
      <c r="I16" s="1080" t="s">
        <v>714</v>
      </c>
      <c r="J16" s="310">
        <f ca="1">ROUND(J17+J22+J23+J24,0)</f>
        <v>4270</v>
      </c>
      <c r="K16" s="1087" t="s">
        <v>715</v>
      </c>
      <c r="L16" s="1088"/>
      <c r="M16" s="1072"/>
    </row>
    <row r="17" spans="1:37" s="1396" customFormat="1" ht="18" customHeight="1">
      <c r="A17" s="982" t="s">
        <v>681</v>
      </c>
      <c r="B17" s="302" t="s">
        <v>716</v>
      </c>
      <c r="C17" s="21">
        <f ca="1">ROUND(F17*(F43+INDIRECT("'数据-取费表'!S"&amp;$G$1)),0)</f>
        <v>9738</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2556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198047</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3961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4270</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9595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-4270</v>
      </c>
      <c r="K25" s="1095" t="s">
        <v>753</v>
      </c>
      <c r="L25" s="1096"/>
      <c r="M25" s="1097"/>
    </row>
    <row r="26" spans="1:37" ht="18" customHeight="1">
      <c r="A26" s="982" t="s">
        <v>397</v>
      </c>
      <c r="B26" s="302" t="s">
        <v>754</v>
      </c>
      <c r="C26" s="21">
        <f ca="1">ROUND((C19+C20)*F26,0)</f>
        <v>50502</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284680</v>
      </c>
      <c r="D29" s="1092"/>
      <c r="E29" s="1090"/>
      <c r="F29" s="1093"/>
      <c r="G29" s="1395"/>
      <c r="H29" s="334" t="s">
        <v>396</v>
      </c>
      <c r="I29" s="335" t="s">
        <v>768</v>
      </c>
      <c r="J29" s="336">
        <f ca="1">ROUND(J26/(1+F40)^F41,0)</f>
        <v>0</v>
      </c>
      <c r="K29" s="337" t="s">
        <v>769</v>
      </c>
      <c r="L29" s="338"/>
      <c r="M29" s="339">
        <f ca="1">INDIRECT("'数据-取费表'!k"&amp;$G$1)</f>
        <v>48.69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7512</v>
      </c>
      <c r="D30" s="1087" t="s">
        <v>715</v>
      </c>
      <c r="E30" s="1088"/>
      <c r="F30" s="1072"/>
      <c r="G30" s="1383"/>
      <c r="H30" s="2693"/>
      <c r="I30" s="1397"/>
      <c r="J30" s="1398"/>
      <c r="K30" s="2471"/>
      <c r="L30" s="2694"/>
      <c r="M30" s="2695"/>
    </row>
    <row r="31" spans="1:37" ht="18" customHeight="1">
      <c r="A31" s="982" t="s">
        <v>398</v>
      </c>
      <c r="B31" s="302" t="s">
        <v>719</v>
      </c>
      <c r="C31" s="2313">
        <f ca="1">ROUND(IF(AND(项目基本情况!B11="自然人",项目基本情况!B10="北京市"),C6*F31/(1+'数据-取费表'!C42),C32+C33+C34),0)</f>
        <v>2057</v>
      </c>
      <c r="D31" s="1344" t="s">
        <v>720</v>
      </c>
      <c r="E31" s="1343" t="s">
        <v>770</v>
      </c>
      <c r="F31" s="2312">
        <f ca="1">IF(项目基本情况!B11="企业","——",IF(M47="住宅",IF(F6*F7*F8/12/(1+'数据-取费表'!F30)&gt;100000,4%,2.5%),IF(F6*F7*F8/12/(1+'数据-取费表'!F30)&gt;100000,12%,7%)))</f>
        <v>2.5000000000000001E-2</v>
      </c>
      <c r="G31" s="1383"/>
      <c r="H31" s="2804" t="s">
        <v>2308</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4270</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320</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865</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78996</v>
      </c>
      <c r="D39" s="1095" t="s">
        <v>773</v>
      </c>
      <c r="E39" s="1096"/>
      <c r="F39" s="1097"/>
      <c r="G39" s="1383"/>
      <c r="H39" s="2696"/>
      <c r="I39" s="1397"/>
      <c r="J39" s="1398"/>
      <c r="K39" s="2700"/>
      <c r="L39" s="2696"/>
      <c r="M39" s="2696"/>
    </row>
    <row r="40" spans="1:18" ht="18" customHeight="1">
      <c r="A40" s="299" t="s">
        <v>395</v>
      </c>
      <c r="B40" s="300" t="s">
        <v>774</v>
      </c>
      <c r="C40" s="301">
        <f ca="1">ROUND(C39*(1-((1+F42)/(1+F40))^F41)/(F40-F42),0)</f>
        <v>2357418</v>
      </c>
      <c r="D40" s="324" t="s">
        <v>758</v>
      </c>
      <c r="E40" s="302" t="s">
        <v>759</v>
      </c>
      <c r="F40" s="312">
        <f ca="1">INDIRECT("'数据-取费表'!I"&amp;$G$1)</f>
        <v>4.4999999999999998E-2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47.01</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ROUND(C40/F43,0)</f>
        <v>48417</v>
      </c>
      <c r="D43" s="337" t="s">
        <v>777</v>
      </c>
      <c r="E43" s="338" t="s">
        <v>778</v>
      </c>
      <c r="F43" s="339">
        <f ca="1">INDIRECT("'数据-取费表'!k"&amp;$G$1)</f>
        <v>48.69</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3355</v>
      </c>
      <c r="B45" s="1399"/>
      <c r="C45" s="1471">
        <f ca="1">ROUND((C68-C40)/10000,4)</f>
        <v>-244.65369999999999</v>
      </c>
      <c r="D45" s="3428" t="s">
        <v>3356</v>
      </c>
      <c r="E45" s="1399"/>
      <c r="F45" s="1399"/>
      <c r="O45" s="1402" t="s">
        <v>808</v>
      </c>
      <c r="P45" s="1460"/>
      <c r="Q45" s="1460"/>
      <c r="R45" s="1460"/>
    </row>
    <row r="46" spans="1:18" s="1383" customFormat="1" ht="13.5" thickBot="1">
      <c r="A46" s="1403" t="s">
        <v>809</v>
      </c>
      <c r="C46" s="1404">
        <f ca="1">ROUND(C45,0)</f>
        <v>-245</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3484</v>
      </c>
      <c r="K47" s="1415" t="s">
        <v>816</v>
      </c>
      <c r="L47" s="1416">
        <f ca="1">INDIRECT("'数据-取费表'!d"&amp;$G$1)</f>
        <v>70</v>
      </c>
      <c r="M47" s="1379" t="str">
        <f>IF(ISNUMBER(FIND("住宅",C1)),"住宅","非住宅")</f>
        <v>住宅</v>
      </c>
      <c r="O47" s="1417" t="s">
        <v>403</v>
      </c>
      <c r="P47" s="1418" t="s">
        <v>817</v>
      </c>
      <c r="Q47" s="1419">
        <f ca="1">C40+J29</f>
        <v>2357418</v>
      </c>
      <c r="R47" s="1419" t="s">
        <v>818</v>
      </c>
    </row>
    <row r="48" spans="1:18" s="1383" customFormat="1" ht="28.5" thickBot="1">
      <c r="A48" s="1110" t="s">
        <v>438</v>
      </c>
      <c r="B48" s="300" t="s">
        <v>692</v>
      </c>
      <c r="C48" s="1358">
        <f ca="1">C49+C53+C55</f>
        <v>0</v>
      </c>
      <c r="D48" s="1112"/>
      <c r="E48" s="1113"/>
      <c r="F48" s="962"/>
      <c r="G48" s="722"/>
      <c r="H48" s="723"/>
      <c r="I48" s="1420" t="s">
        <v>819</v>
      </c>
      <c r="J48" s="1421" t="s">
        <v>3485</v>
      </c>
      <c r="K48" s="1422" t="s">
        <v>820</v>
      </c>
      <c r="L48" s="1423">
        <f ca="1">INDIRECT("'数据-取费表'!f"&amp;$G$1)</f>
        <v>47.01</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284680</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1245459</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47.01</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47.01</v>
      </c>
      <c r="K53" s="3676" t="s">
        <v>837</v>
      </c>
      <c r="L53" s="3677"/>
      <c r="O53" s="1417" t="s">
        <v>409</v>
      </c>
      <c r="P53" s="1418" t="s">
        <v>838</v>
      </c>
      <c r="Q53" s="1419">
        <f ca="1">Q47+Q48</f>
        <v>2357418</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213510</v>
      </c>
      <c r="D56" s="1446"/>
      <c r="E56" s="1447"/>
      <c r="F56" s="1439"/>
      <c r="I56" s="1448" t="s">
        <v>842</v>
      </c>
      <c r="J56" s="1449" t="s">
        <v>3486</v>
      </c>
      <c r="K56" s="1420" t="s">
        <v>843</v>
      </c>
      <c r="L56" s="1423">
        <f ca="1">IF(L48&lt;J51,"——",L48-J51)</f>
        <v>8.009999999999998</v>
      </c>
      <c r="O56" s="1417" t="s">
        <v>403</v>
      </c>
      <c r="P56" s="1418" t="s">
        <v>817</v>
      </c>
      <c r="Q56" s="1419">
        <f ca="1">C40+J29</f>
        <v>2357418</v>
      </c>
      <c r="R56" s="1419" t="s">
        <v>818</v>
      </c>
    </row>
    <row r="57" spans="1:18" s="1383" customFormat="1" ht="24.75" thickBot="1">
      <c r="A57" s="1450"/>
      <c r="B57" s="950" t="s">
        <v>767</v>
      </c>
      <c r="C57" s="238">
        <f ca="1">C29</f>
        <v>284680</v>
      </c>
      <c r="D57" s="1451"/>
      <c r="E57" s="1452"/>
      <c r="F57" s="1453"/>
      <c r="I57" s="1454" t="s">
        <v>844</v>
      </c>
      <c r="J57" s="1455" t="str">
        <f ca="1">IF(OR(M47="住宅",J51&lt;L48,J56="是"),"——",J51-L48)</f>
        <v>——</v>
      </c>
      <c r="K57" s="1420" t="s">
        <v>892</v>
      </c>
      <c r="L57" s="1423">
        <f ca="1">IF(L48&lt;J51,"——",IF(L55="比较法",L49,IF(L55="基准地价",L50,L51)))</f>
        <v>1245459</v>
      </c>
      <c r="O57" s="1417" t="s">
        <v>404</v>
      </c>
      <c r="P57" s="1418" t="s">
        <v>893</v>
      </c>
      <c r="Q57" s="1419">
        <f ca="1">L60</f>
        <v>0</v>
      </c>
      <c r="R57" s="1419" t="s">
        <v>894</v>
      </c>
    </row>
    <row r="58" spans="1:18" s="1383" customFormat="1" ht="24.75" thickBot="1">
      <c r="A58" s="315" t="s">
        <v>393</v>
      </c>
      <c r="B58" s="958" t="s">
        <v>714</v>
      </c>
      <c r="C58" s="316">
        <f ca="1">ROUND(C59+C64+C65+C66,0)</f>
        <v>4590</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2357418</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4270</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320</v>
      </c>
      <c r="D65" s="964" t="s">
        <v>743</v>
      </c>
      <c r="E65" s="950" t="s">
        <v>744</v>
      </c>
      <c r="F65" s="330">
        <f t="shared" ca="1" si="0"/>
        <v>1.5E-3</v>
      </c>
      <c r="I65" s="1461" t="s">
        <v>867</v>
      </c>
      <c r="J65" s="1462">
        <v>40</v>
      </c>
      <c r="K65" s="1462">
        <v>30</v>
      </c>
      <c r="L65" s="1462">
        <v>50</v>
      </c>
      <c r="M65" s="1464">
        <v>0.02</v>
      </c>
      <c r="O65" s="1417" t="s">
        <v>403</v>
      </c>
      <c r="P65" s="1418" t="s">
        <v>868</v>
      </c>
      <c r="Q65" s="1419">
        <f ca="1">C40+J29</f>
        <v>2357418</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-4590</v>
      </c>
      <c r="D67" s="963" t="s">
        <v>753</v>
      </c>
      <c r="E67" s="968"/>
      <c r="F67" s="969"/>
      <c r="O67" s="1427" t="s">
        <v>405</v>
      </c>
      <c r="P67" s="1418" t="s">
        <v>850</v>
      </c>
      <c r="Q67" s="1465">
        <f ca="1">L51</f>
        <v>1245459</v>
      </c>
      <c r="R67" s="1419" t="s">
        <v>870</v>
      </c>
    </row>
    <row r="68" spans="1:18" s="1383" customFormat="1" ht="16.5" thickBot="1">
      <c r="A68" s="947" t="s">
        <v>395</v>
      </c>
      <c r="B68" s="948" t="s">
        <v>774</v>
      </c>
      <c r="C68" s="301">
        <f ca="1">ROUND(C67*(1-((1+F70)/(1+F68))^F69)/(F68-F70),0)</f>
        <v>-89119</v>
      </c>
      <c r="D68" s="965" t="s">
        <v>758</v>
      </c>
      <c r="E68" s="950" t="s">
        <v>759</v>
      </c>
      <c r="F68" s="312">
        <f ca="1">F40</f>
        <v>4.4999999999999998E-2</v>
      </c>
      <c r="O68" s="1427" t="s">
        <v>406</v>
      </c>
      <c r="P68" s="1466" t="s">
        <v>871</v>
      </c>
      <c r="Q68" s="1419">
        <f ca="1">ROUND(Q69-Q70*Q71,0)</f>
        <v>68321</v>
      </c>
      <c r="R68" s="1419" t="s">
        <v>414</v>
      </c>
    </row>
    <row r="69" spans="1:18" s="1383" customFormat="1" ht="13.5" thickBot="1">
      <c r="A69" s="951"/>
      <c r="B69" s="952"/>
      <c r="C69" s="306"/>
      <c r="D69" s="970" t="s">
        <v>762</v>
      </c>
      <c r="E69" s="950" t="s">
        <v>763</v>
      </c>
      <c r="F69" s="333">
        <f ca="1">F41</f>
        <v>47.01</v>
      </c>
      <c r="O69" s="1427" t="s">
        <v>411</v>
      </c>
      <c r="P69" s="1466" t="s">
        <v>872</v>
      </c>
      <c r="Q69" s="1419">
        <f ca="1">C39</f>
        <v>78996</v>
      </c>
      <c r="R69" s="1419" t="s">
        <v>818</v>
      </c>
    </row>
    <row r="70" spans="1:18" s="1383" customFormat="1" ht="13.5" thickBot="1">
      <c r="A70" s="954"/>
      <c r="B70" s="955"/>
      <c r="C70" s="310"/>
      <c r="D70" s="966"/>
      <c r="E70" s="950" t="s">
        <v>766</v>
      </c>
      <c r="F70" s="1054"/>
      <c r="O70" s="1427" t="s">
        <v>412</v>
      </c>
      <c r="P70" s="1466" t="s">
        <v>873</v>
      </c>
      <c r="Q70" s="1419">
        <f ca="1">C13</f>
        <v>213510</v>
      </c>
      <c r="R70" s="1419" t="s">
        <v>818</v>
      </c>
    </row>
    <row r="71" spans="1:18" s="1383" customFormat="1" ht="13.5" thickBot="1">
      <c r="A71" s="971" t="s">
        <v>396</v>
      </c>
      <c r="B71" s="972" t="s">
        <v>776</v>
      </c>
      <c r="C71" s="336">
        <f ca="1">ROUND(C68/F71,0)</f>
        <v>-1830</v>
      </c>
      <c r="D71" s="973" t="s">
        <v>777</v>
      </c>
      <c r="E71" s="974" t="s">
        <v>778</v>
      </c>
      <c r="F71" s="339">
        <f ca="1">F43</f>
        <v>48.69</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10676</v>
      </c>
      <c r="D75" s="1383"/>
      <c r="E75" s="1383"/>
      <c r="F75" s="1383"/>
      <c r="K75" s="1401"/>
      <c r="L75" s="1383"/>
      <c r="O75" s="1417" t="s">
        <v>409</v>
      </c>
      <c r="P75" s="1418" t="s">
        <v>838</v>
      </c>
      <c r="Q75" s="1419">
        <f ca="1">Q65+Q66</f>
        <v>2357418</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0.86499999999999999</v>
      </c>
    </row>
    <row r="80" spans="1:18">
      <c r="B80" s="340" t="s">
        <v>800</v>
      </c>
      <c r="C80" s="274">
        <f ca="1">ROUND(C75/C39,3)</f>
        <v>0.13500000000000001</v>
      </c>
    </row>
    <row r="81" spans="2:3">
      <c r="B81" s="270" t="s">
        <v>801</v>
      </c>
      <c r="C81" s="238"/>
    </row>
    <row r="82" spans="2:3">
      <c r="B82" s="273" t="s">
        <v>802</v>
      </c>
      <c r="C82" s="275">
        <f ca="1">1-C83</f>
        <v>0.90900000000000003</v>
      </c>
    </row>
    <row r="83" spans="2:3">
      <c r="B83" s="273" t="s">
        <v>803</v>
      </c>
      <c r="C83" s="274">
        <f ca="1">ROUND(C13/C40,3)</f>
        <v>9.0999999999999998E-2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4" t="s">
        <v>2316</v>
      </c>
      <c r="B2" s="2839" t="e">
        <f>IF(D2="——",C40,C40+E2)</f>
        <v>#DIV/0!</v>
      </c>
      <c r="C2" s="2840" t="s">
        <v>2317</v>
      </c>
      <c r="D2" s="3439" t="s">
        <v>3362</v>
      </c>
      <c r="E2" s="3440"/>
      <c r="F2" s="2842"/>
      <c r="G2" s="2843"/>
      <c r="H2" s="2844"/>
      <c r="I2" s="2845"/>
      <c r="J2" s="3681" t="s">
        <v>2318</v>
      </c>
      <c r="K2" s="3682"/>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683" t="s">
        <v>2328</v>
      </c>
      <c r="K3" s="3684"/>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683" t="s">
        <v>2330</v>
      </c>
      <c r="K4" s="3684"/>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685" t="s">
        <v>2334</v>
      </c>
      <c r="B6" s="3686"/>
      <c r="C6" s="3687"/>
      <c r="D6" s="2866"/>
      <c r="E6" s="2867"/>
      <c r="F6" s="2868"/>
      <c r="G6" s="2869"/>
      <c r="H6" s="2844"/>
      <c r="I6" s="2845"/>
      <c r="J6" s="3688">
        <v>1</v>
      </c>
      <c r="K6" s="3689"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688"/>
      <c r="K7" s="3690"/>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692" t="s">
        <v>2348</v>
      </c>
      <c r="C8" s="3693"/>
      <c r="D8" s="2885" t="s">
        <v>2349</v>
      </c>
      <c r="E8" s="2886" t="s">
        <v>2350</v>
      </c>
      <c r="F8" s="2887" t="s">
        <v>2351</v>
      </c>
      <c r="G8" s="2888"/>
      <c r="H8" s="2844"/>
      <c r="I8" s="2845"/>
      <c r="J8" s="3688"/>
      <c r="K8" s="3690"/>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692" t="s">
        <v>2354</v>
      </c>
      <c r="C9" s="3693"/>
      <c r="D9" s="2885">
        <f>ROUND(D6*E9,0)</f>
        <v>0</v>
      </c>
      <c r="E9" s="2889"/>
      <c r="F9" s="2890" t="s">
        <v>2355</v>
      </c>
      <c r="G9" s="2869"/>
      <c r="H9" s="2844"/>
      <c r="I9" s="2845"/>
      <c r="J9" s="3688"/>
      <c r="K9" s="3690"/>
      <c r="L9" s="2879" t="s">
        <v>2356</v>
      </c>
      <c r="M9" s="2880"/>
      <c r="N9" s="2856"/>
      <c r="O9" s="2881"/>
      <c r="P9" s="2881"/>
      <c r="Q9" s="2882">
        <v>365</v>
      </c>
      <c r="R9" s="2883">
        <f t="shared" si="0"/>
        <v>0</v>
      </c>
      <c r="S9" s="2837"/>
      <c r="T9" s="2837"/>
      <c r="U9" s="2837"/>
      <c r="V9" s="2845"/>
    </row>
    <row r="10" spans="1:22" s="2849" customFormat="1" ht="13.15" customHeight="1">
      <c r="A10" s="2884">
        <v>2</v>
      </c>
      <c r="B10" s="3692" t="s">
        <v>2357</v>
      </c>
      <c r="C10" s="3693"/>
      <c r="D10" s="2885">
        <f>ROUND(D6*E10,0)</f>
        <v>0</v>
      </c>
      <c r="E10" s="2889"/>
      <c r="F10" s="2890" t="s">
        <v>2358</v>
      </c>
      <c r="G10" s="2869"/>
      <c r="H10" s="2844"/>
      <c r="I10" s="2845"/>
      <c r="J10" s="3688"/>
      <c r="K10" s="3690"/>
      <c r="L10" s="2879" t="s">
        <v>2359</v>
      </c>
      <c r="M10" s="2880"/>
      <c r="N10" s="2856"/>
      <c r="O10" s="2881"/>
      <c r="P10" s="2881"/>
      <c r="Q10" s="2882">
        <v>365</v>
      </c>
      <c r="R10" s="2883">
        <f t="shared" si="0"/>
        <v>0</v>
      </c>
      <c r="S10" s="2837"/>
      <c r="T10" s="2837"/>
      <c r="U10" s="2837"/>
      <c r="V10" s="2845"/>
    </row>
    <row r="11" spans="1:22" s="2849" customFormat="1" ht="13.15" customHeight="1">
      <c r="A11" s="2884">
        <v>3</v>
      </c>
      <c r="B11" s="3692" t="s">
        <v>2360</v>
      </c>
      <c r="C11" s="3693"/>
      <c r="D11" s="2885">
        <f>D12+D14+D15+D16</f>
        <v>0</v>
      </c>
      <c r="E11" s="2891" t="e">
        <f>D11/D6</f>
        <v>#DIV/0!</v>
      </c>
      <c r="F11" s="2887"/>
      <c r="G11" s="2888"/>
      <c r="H11" s="2844"/>
      <c r="I11" s="2845"/>
      <c r="J11" s="3688"/>
      <c r="K11" s="3690"/>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694" t="s">
        <v>2363</v>
      </c>
      <c r="C12" s="3695"/>
      <c r="D12" s="2893">
        <f>ROUND(D13*1.2%*(1-30%),0)</f>
        <v>0</v>
      </c>
      <c r="E12" s="2894">
        <v>1.2E-2</v>
      </c>
      <c r="F12" s="2887" t="s">
        <v>2364</v>
      </c>
      <c r="G12" s="2888"/>
      <c r="H12" s="2844"/>
      <c r="I12" s="2845"/>
      <c r="J12" s="3688"/>
      <c r="K12" s="3690"/>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688"/>
      <c r="K13" s="3690"/>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694" t="s">
        <v>2369</v>
      </c>
      <c r="C14" s="3695"/>
      <c r="D14" s="2893">
        <f>ROUND(E14*B5/10000,0)</f>
        <v>0</v>
      </c>
      <c r="E14" s="2882"/>
      <c r="F14" s="2887" t="s">
        <v>2370</v>
      </c>
      <c r="G14" s="2888"/>
      <c r="H14" s="2844"/>
      <c r="I14" s="2845"/>
      <c r="J14" s="3688"/>
      <c r="K14" s="3691"/>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694" t="s">
        <v>2373</v>
      </c>
      <c r="C15" s="3695"/>
      <c r="D15" s="2893">
        <f>ROUND(D6*E15,0)</f>
        <v>0</v>
      </c>
      <c r="E15" s="2894">
        <v>5.5E-2</v>
      </c>
      <c r="F15" s="2887" t="s">
        <v>2374</v>
      </c>
      <c r="G15" s="2869"/>
      <c r="H15" s="2844"/>
      <c r="I15" s="2845"/>
      <c r="J15" s="3688">
        <v>2</v>
      </c>
      <c r="K15" s="3689"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694" t="s">
        <v>2382</v>
      </c>
      <c r="C16" s="3695"/>
      <c r="D16" s="2904">
        <f>D6*E16</f>
        <v>0</v>
      </c>
      <c r="E16" s="2905"/>
      <c r="F16" s="2890" t="s">
        <v>2383</v>
      </c>
      <c r="G16" s="2869"/>
      <c r="H16" s="2844"/>
      <c r="I16" s="2845"/>
      <c r="J16" s="3688"/>
      <c r="K16" s="3690"/>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696" t="s">
        <v>2385</v>
      </c>
      <c r="C17" s="3697"/>
      <c r="D17" s="2907">
        <f>ROUND(D6*E17,0)</f>
        <v>0</v>
      </c>
      <c r="E17" s="2908"/>
      <c r="F17" s="2909" t="s">
        <v>2386</v>
      </c>
      <c r="G17" s="2869"/>
      <c r="H17" s="2844"/>
      <c r="I17" s="2845"/>
      <c r="J17" s="3688"/>
      <c r="K17" s="3690"/>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688"/>
      <c r="K18" s="3690"/>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688"/>
      <c r="K19" s="3691"/>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8">
        <v>3</v>
      </c>
      <c r="K20" s="3689"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688"/>
      <c r="K21" s="3690"/>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688"/>
      <c r="K22" s="3690"/>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688"/>
      <c r="K23" s="3690"/>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688"/>
      <c r="K24" s="3691"/>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698">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69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681" t="s">
        <v>2318</v>
      </c>
      <c r="K32" s="3682"/>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683" t="s">
        <v>2328</v>
      </c>
      <c r="K33" s="3684"/>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683" t="s">
        <v>2330</v>
      </c>
      <c r="K34" s="368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688">
        <v>1</v>
      </c>
      <c r="K36" s="3689"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688"/>
      <c r="K37" s="3690"/>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8"/>
      <c r="K38" s="3690"/>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688"/>
      <c r="K39" s="3690"/>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688"/>
      <c r="K40" s="3691"/>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8">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69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235.74180000000001</v>
      </c>
      <c r="C2" s="1871" t="s">
        <v>1651</v>
      </c>
      <c r="D2" s="1872" t="s">
        <v>1652</v>
      </c>
      <c r="E2" s="2603">
        <f>SUM(E6:E13)</f>
        <v>48.69</v>
      </c>
      <c r="F2" s="2703"/>
      <c r="G2" s="1488"/>
      <c r="H2" s="1488"/>
      <c r="I2" s="1488"/>
      <c r="J2" s="1488"/>
      <c r="K2" s="1488"/>
      <c r="L2" s="1488"/>
      <c r="M2" s="1488"/>
      <c r="N2" s="1488"/>
      <c r="O2" s="1488"/>
      <c r="P2" s="1488"/>
      <c r="Q2" s="1488"/>
      <c r="R2" s="1488"/>
      <c r="S2" s="1488"/>
    </row>
    <row r="3" spans="1:22" ht="15.75">
      <c r="A3" s="1869" t="s">
        <v>686</v>
      </c>
      <c r="B3" s="2597">
        <f ca="1">ROUND(B2*10000/E2,0)</f>
        <v>48417</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00" t="s">
        <v>1654</v>
      </c>
      <c r="C5" s="3701"/>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235.74180000000001</v>
      </c>
      <c r="C6" s="1871" t="s">
        <v>1651</v>
      </c>
      <c r="D6" s="2705"/>
      <c r="E6" s="2602">
        <f>IF(OR(A6=0,F6="否"),0,'数据-取费表'!K6+'数据-取费表'!S6)</f>
        <v>48.69</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1" zoomScale="80" zoomScaleNormal="60" zoomScaleSheetLayoutView="80" workbookViewId="0">
      <selection activeCell="I50" sqref="I5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3395</v>
      </c>
      <c r="E1" s="3422" t="s">
        <v>3488</v>
      </c>
      <c r="F1" s="1878" t="s">
        <v>3481</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379.9914</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78043</v>
      </c>
      <c r="C3" s="354" t="s">
        <v>1665</v>
      </c>
      <c r="D3" s="353">
        <f>IF(D1="",'数据-汇总表'!E3,SUMIF('数据-汇总表'!$C19:$C33,D1,'数据-汇总表'!$E19:$E33))</f>
        <v>48.69</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21" t="s">
        <v>1667</v>
      </c>
      <c r="D4" s="3722"/>
      <c r="E4" s="3723" t="s">
        <v>1668</v>
      </c>
      <c r="F4" s="3724"/>
      <c r="G4" s="3721" t="s">
        <v>1669</v>
      </c>
      <c r="H4" s="3722"/>
      <c r="I4" s="3721" t="s">
        <v>1670</v>
      </c>
      <c r="J4" s="3722"/>
      <c r="K4" s="1888" t="s">
        <v>1671</v>
      </c>
      <c r="L4" s="2711"/>
      <c r="M4" s="2712"/>
      <c r="N4" s="2712"/>
      <c r="O4" s="2712"/>
      <c r="P4" s="3725" t="s">
        <v>1672</v>
      </c>
      <c r="Q4" s="3726"/>
      <c r="R4" s="3707" t="s">
        <v>1668</v>
      </c>
      <c r="S4" s="3708"/>
      <c r="T4" s="3707" t="s">
        <v>1669</v>
      </c>
      <c r="U4" s="3708"/>
      <c r="V4" s="3733" t="s">
        <v>1670</v>
      </c>
      <c r="W4" s="3733"/>
      <c r="X4" s="1354"/>
      <c r="Y4" s="3707" t="s">
        <v>1672</v>
      </c>
      <c r="Z4" s="3708"/>
      <c r="AA4" s="3702" t="s">
        <v>1668</v>
      </c>
      <c r="AB4" s="3702" t="s">
        <v>1669</v>
      </c>
      <c r="AC4" s="3702" t="s">
        <v>1670</v>
      </c>
    </row>
    <row r="5" spans="1:29" ht="15">
      <c r="A5" s="358"/>
      <c r="B5" s="359"/>
      <c r="C5" s="3713" t="s">
        <v>3458</v>
      </c>
      <c r="D5" s="3714"/>
      <c r="E5" s="3711" t="str">
        <f>C5</f>
        <v>阳光100</v>
      </c>
      <c r="F5" s="3712"/>
      <c r="G5" s="3717" t="str">
        <f>E5</f>
        <v>阳光100</v>
      </c>
      <c r="H5" s="3714"/>
      <c r="I5" s="3717" t="str">
        <f>E5</f>
        <v>阳光100</v>
      </c>
      <c r="J5" s="3714"/>
      <c r="K5" s="1889"/>
      <c r="L5" s="2711"/>
      <c r="M5" s="2712"/>
      <c r="N5" s="2712"/>
      <c r="O5" s="2712"/>
      <c r="P5" s="3727"/>
      <c r="Q5" s="3728"/>
      <c r="R5" s="3709"/>
      <c r="S5" s="3710"/>
      <c r="T5" s="3709"/>
      <c r="U5" s="3710"/>
      <c r="V5" s="3733"/>
      <c r="W5" s="3733"/>
      <c r="X5" s="1354"/>
      <c r="Y5" s="3709"/>
      <c r="Z5" s="3710"/>
      <c r="AA5" s="3703"/>
      <c r="AB5" s="3703"/>
      <c r="AC5" s="3703"/>
    </row>
    <row r="6" spans="1:29" ht="15.75" thickBot="1">
      <c r="A6" s="360"/>
      <c r="B6" s="361"/>
      <c r="C6" s="3715" t="s">
        <v>1677</v>
      </c>
      <c r="D6" s="3716"/>
      <c r="E6" s="3718" t="s">
        <v>1677</v>
      </c>
      <c r="F6" s="3719"/>
      <c r="G6" s="3715" t="s">
        <v>1677</v>
      </c>
      <c r="H6" s="3716"/>
      <c r="I6" s="3715" t="s">
        <v>1677</v>
      </c>
      <c r="J6" s="3716"/>
      <c r="K6" s="1889" t="s">
        <v>1678</v>
      </c>
      <c r="L6" s="2711"/>
      <c r="M6" s="2712"/>
      <c r="N6" s="2712"/>
      <c r="O6" s="2712"/>
      <c r="P6" s="3729"/>
      <c r="Q6" s="3730"/>
      <c r="R6" s="3709"/>
      <c r="S6" s="3710"/>
      <c r="T6" s="3731"/>
      <c r="U6" s="3732"/>
      <c r="V6" s="3733"/>
      <c r="W6" s="3733"/>
      <c r="X6" s="1354"/>
      <c r="Y6" s="3731"/>
      <c r="Z6" s="3732"/>
      <c r="AA6" s="3704"/>
      <c r="AB6" s="3704"/>
      <c r="AC6" s="3704"/>
    </row>
    <row r="7" spans="1:29" s="108" customFormat="1" ht="15.75" thickBot="1">
      <c r="A7" s="362" t="s">
        <v>1679</v>
      </c>
      <c r="B7" s="363"/>
      <c r="C7" s="364">
        <f>'数据-取费表'!B2</f>
        <v>45175</v>
      </c>
      <c r="D7" s="365">
        <v>100</v>
      </c>
      <c r="E7" s="366">
        <f>案例!M2</f>
        <v>45102</v>
      </c>
      <c r="F7" s="367">
        <f>SUMIF(58:58,YEAR(E7)&amp;"-"&amp;MONTH(E7),59:59)</f>
        <v>100</v>
      </c>
      <c r="G7" s="366">
        <f>案例!M6</f>
        <v>44988</v>
      </c>
      <c r="H7" s="365">
        <f>SUMIF(58:58,YEAR(G7)&amp;"-"&amp;MONTH(G7),59:59)</f>
        <v>100.5</v>
      </c>
      <c r="I7" s="366">
        <f>案例!M11</f>
        <v>44738</v>
      </c>
      <c r="J7" s="365">
        <f>SUMIF(58:58,YEAR(I7)&amp;"-"&amp;MONTH(I7),59:59)</f>
        <v>100.4</v>
      </c>
      <c r="K7" s="1890"/>
      <c r="L7" s="2713"/>
      <c r="M7" s="2714"/>
      <c r="N7" s="2714"/>
      <c r="O7" s="2714"/>
      <c r="P7" s="3705" t="s">
        <v>1680</v>
      </c>
      <c r="Q7" s="3734"/>
      <c r="R7" s="701" t="s">
        <v>20</v>
      </c>
      <c r="S7" s="702">
        <f t="shared" ref="S7:S15" si="0">F7</f>
        <v>100</v>
      </c>
      <c r="T7" s="701" t="s">
        <v>20</v>
      </c>
      <c r="U7" s="702">
        <f t="shared" ref="U7:U15" si="1">H7</f>
        <v>100.5</v>
      </c>
      <c r="V7" s="701" t="s">
        <v>20</v>
      </c>
      <c r="W7" s="702">
        <f t="shared" ref="W7:W15" si="2">J7</f>
        <v>100.4</v>
      </c>
      <c r="X7" s="703"/>
      <c r="Y7" s="3705" t="s">
        <v>1680</v>
      </c>
      <c r="Z7" s="3706"/>
      <c r="AA7" s="704">
        <f>D7/F7</f>
        <v>1</v>
      </c>
      <c r="AB7" s="704">
        <f>D7/H7</f>
        <v>0.99502487562189057</v>
      </c>
      <c r="AC7" s="704">
        <f>D7/J7</f>
        <v>0.99601593625497997</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20" t="s">
        <v>1686</v>
      </c>
      <c r="Q9" s="1342"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0"/>
      <c r="Q10" s="1342"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720"/>
      <c r="Q11" s="1342" t="str">
        <f t="shared" si="6"/>
        <v>容积率</v>
      </c>
      <c r="R11" s="701" t="s">
        <v>18</v>
      </c>
      <c r="S11" s="702">
        <f t="shared" si="0"/>
        <v>100</v>
      </c>
      <c r="T11" s="701" t="s">
        <v>18</v>
      </c>
      <c r="U11" s="702">
        <f t="shared" si="1"/>
        <v>100</v>
      </c>
      <c r="V11" s="701" t="s">
        <v>18</v>
      </c>
      <c r="W11" s="702">
        <f t="shared" si="2"/>
        <v>100</v>
      </c>
      <c r="X11" s="703"/>
      <c r="Y11" s="3649"/>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20"/>
      <c r="Q12" s="1342">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20"/>
      <c r="Q13" s="1342">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20"/>
      <c r="Q14" s="1342">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41.25" customHeight="1">
      <c r="A15" s="391" t="s">
        <v>1690</v>
      </c>
      <c r="B15" s="61" t="s">
        <v>1257</v>
      </c>
      <c r="C15" s="1895" t="str">
        <f>估价对象房地状况!C3</f>
        <v>周边有金地国际花园、蓝堡国际公寓、温特莱中心等住宅项目，居住社区成熟度较好。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7" t="s">
        <v>1691</v>
      </c>
      <c r="Q15" s="1351" t="str">
        <f t="shared" si="6"/>
        <v>居住社区成熟度</v>
      </c>
      <c r="R15" s="705" t="s">
        <v>18</v>
      </c>
      <c r="S15" s="706">
        <f t="shared" si="0"/>
        <v>100</v>
      </c>
      <c r="T15" s="705" t="s">
        <v>18</v>
      </c>
      <c r="U15" s="706">
        <f t="shared" si="1"/>
        <v>100</v>
      </c>
      <c r="V15" s="705" t="s">
        <v>18</v>
      </c>
      <c r="W15" s="706">
        <f t="shared" si="2"/>
        <v>100</v>
      </c>
      <c r="X15" s="1354"/>
      <c r="Y15" s="3740" t="s">
        <v>1691</v>
      </c>
      <c r="Z15" s="1355" t="str">
        <f t="shared" si="7"/>
        <v>居住社区成熟度</v>
      </c>
      <c r="AA15" s="1352">
        <f t="shared" si="3"/>
        <v>1</v>
      </c>
      <c r="AB15" s="1352">
        <f t="shared" si="4"/>
        <v>1</v>
      </c>
      <c r="AC15" s="1352">
        <f t="shared" si="5"/>
        <v>1</v>
      </c>
    </row>
    <row r="16" spans="1:29" ht="15">
      <c r="A16" s="379"/>
      <c r="B16" s="397"/>
      <c r="C16" s="398" t="s">
        <v>3494</v>
      </c>
      <c r="D16" s="399"/>
      <c r="E16" s="398" t="s">
        <v>3494</v>
      </c>
      <c r="F16" s="399"/>
      <c r="G16" s="398" t="s">
        <v>3494</v>
      </c>
      <c r="H16" s="401"/>
      <c r="I16" s="398" t="s">
        <v>3494</v>
      </c>
      <c r="J16" s="399"/>
      <c r="K16" s="1898"/>
      <c r="L16" s="2718"/>
      <c r="M16" s="2712"/>
      <c r="N16" s="2712"/>
      <c r="O16" s="2712"/>
      <c r="P16" s="3748"/>
      <c r="Q16" s="1351"/>
      <c r="R16" s="705"/>
      <c r="S16" s="706"/>
      <c r="T16" s="705"/>
      <c r="U16" s="706"/>
      <c r="V16" s="705"/>
      <c r="W16" s="706"/>
      <c r="X16" s="1354"/>
      <c r="Y16" s="3741"/>
      <c r="Z16" s="1355"/>
      <c r="AA16" s="1352">
        <v>1</v>
      </c>
      <c r="AB16" s="1352">
        <v>1</v>
      </c>
      <c r="AC16" s="1352">
        <v>1</v>
      </c>
    </row>
    <row r="17" spans="1:29" ht="34.5" customHeight="1">
      <c r="A17" s="379"/>
      <c r="B17" s="402" t="s">
        <v>1259</v>
      </c>
      <c r="C17" s="1899" t="str">
        <f>估价对象房地状况!C6</f>
        <v>周边有31路、138路、421路、486路、985路等多条公交线路，距离地铁1、14号线大望路站约600米，交通较便捷。</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8"/>
      <c r="Q17" s="1351" t="str">
        <f>B17</f>
        <v>交通便捷度</v>
      </c>
      <c r="R17" s="705" t="s">
        <v>18</v>
      </c>
      <c r="S17" s="706">
        <f>F17</f>
        <v>100</v>
      </c>
      <c r="T17" s="705" t="s">
        <v>18</v>
      </c>
      <c r="U17" s="706">
        <f>H17</f>
        <v>100</v>
      </c>
      <c r="V17" s="705" t="s">
        <v>18</v>
      </c>
      <c r="W17" s="706">
        <f>J17</f>
        <v>100</v>
      </c>
      <c r="X17" s="1354"/>
      <c r="Y17" s="3741"/>
      <c r="Z17" s="1355" t="str">
        <f>Q17</f>
        <v>交通便捷度</v>
      </c>
      <c r="AA17" s="1352">
        <f t="shared" si="3"/>
        <v>1</v>
      </c>
      <c r="AB17" s="1352">
        <f t="shared" si="4"/>
        <v>1</v>
      </c>
      <c r="AC17" s="1352">
        <f t="shared" si="5"/>
        <v>1</v>
      </c>
    </row>
    <row r="18" spans="1:29" ht="15">
      <c r="A18" s="379"/>
      <c r="B18" s="407"/>
      <c r="C18" s="1900" t="s">
        <v>3494</v>
      </c>
      <c r="D18" s="401"/>
      <c r="E18" s="398" t="s">
        <v>3494</v>
      </c>
      <c r="F18" s="401"/>
      <c r="G18" s="398" t="s">
        <v>3494</v>
      </c>
      <c r="H18" s="399"/>
      <c r="I18" s="398" t="s">
        <v>3494</v>
      </c>
      <c r="J18" s="399"/>
      <c r="K18" s="1898"/>
      <c r="L18" s="2718"/>
      <c r="M18" s="2712"/>
      <c r="N18" s="2712"/>
      <c r="O18" s="2712"/>
      <c r="P18" s="3748"/>
      <c r="Q18" s="1351"/>
      <c r="R18" s="705"/>
      <c r="S18" s="706"/>
      <c r="T18" s="705"/>
      <c r="U18" s="706"/>
      <c r="V18" s="705"/>
      <c r="W18" s="706"/>
      <c r="X18" s="1354"/>
      <c r="Y18" s="3741"/>
      <c r="Z18" s="1355"/>
      <c r="AA18" s="1352">
        <v>1</v>
      </c>
      <c r="AB18" s="1352">
        <v>1</v>
      </c>
      <c r="AC18" s="1352">
        <v>1</v>
      </c>
    </row>
    <row r="19" spans="1:29" ht="41.25" customHeight="1">
      <c r="A19" s="379"/>
      <c r="B19" s="402" t="s">
        <v>1258</v>
      </c>
      <c r="C19" s="1899" t="str">
        <f>估价对象房地状况!C7</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8"/>
      <c r="Q19" s="1351" t="str">
        <f>B19</f>
        <v>公共配套设施</v>
      </c>
      <c r="R19" s="705" t="s">
        <v>18</v>
      </c>
      <c r="S19" s="706">
        <f>F19</f>
        <v>100</v>
      </c>
      <c r="T19" s="705" t="s">
        <v>18</v>
      </c>
      <c r="U19" s="706">
        <f>H19</f>
        <v>100</v>
      </c>
      <c r="V19" s="705" t="s">
        <v>18</v>
      </c>
      <c r="W19" s="706">
        <f>J19</f>
        <v>100</v>
      </c>
      <c r="X19" s="1354"/>
      <c r="Y19" s="3741"/>
      <c r="Z19" s="1355" t="str">
        <f>Q19</f>
        <v>公共配套设施</v>
      </c>
      <c r="AA19" s="1352">
        <f t="shared" si="3"/>
        <v>1</v>
      </c>
      <c r="AB19" s="1352">
        <f t="shared" si="4"/>
        <v>1</v>
      </c>
      <c r="AC19" s="1352">
        <f t="shared" si="5"/>
        <v>1</v>
      </c>
    </row>
    <row r="20" spans="1:29" ht="15">
      <c r="A20" s="379"/>
      <c r="B20" s="407"/>
      <c r="C20" s="398" t="s">
        <v>3494</v>
      </c>
      <c r="D20" s="399"/>
      <c r="E20" s="398" t="s">
        <v>3494</v>
      </c>
      <c r="F20" s="399"/>
      <c r="G20" s="398" t="s">
        <v>3494</v>
      </c>
      <c r="H20" s="399"/>
      <c r="I20" s="398" t="s">
        <v>3494</v>
      </c>
      <c r="J20" s="399"/>
      <c r="K20" s="1898"/>
      <c r="L20" s="2718"/>
      <c r="M20" s="2712"/>
      <c r="N20" s="2712"/>
      <c r="O20" s="2712"/>
      <c r="P20" s="3748"/>
      <c r="Q20" s="1351"/>
      <c r="R20" s="705"/>
      <c r="S20" s="706"/>
      <c r="T20" s="705"/>
      <c r="U20" s="706"/>
      <c r="V20" s="705"/>
      <c r="W20" s="706"/>
      <c r="X20" s="1354"/>
      <c r="Y20" s="3741"/>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8"/>
      <c r="Q21" s="1351" t="str">
        <f>B21</f>
        <v>基础设施水平</v>
      </c>
      <c r="R21" s="705" t="s">
        <v>14</v>
      </c>
      <c r="S21" s="706">
        <f>F21</f>
        <v>100</v>
      </c>
      <c r="T21" s="705" t="s">
        <v>14</v>
      </c>
      <c r="U21" s="706">
        <f>H21</f>
        <v>100</v>
      </c>
      <c r="V21" s="705" t="s">
        <v>14</v>
      </c>
      <c r="W21" s="706">
        <f>J21</f>
        <v>100</v>
      </c>
      <c r="X21" s="1354"/>
      <c r="Y21" s="3741"/>
      <c r="Z21" s="1355" t="str">
        <f>Q21</f>
        <v>基础设施水平</v>
      </c>
      <c r="AA21" s="1352">
        <f t="shared" ref="AA21" si="8">D21/F21</f>
        <v>1</v>
      </c>
      <c r="AB21" s="1352">
        <f t="shared" ref="AB21" si="9">D21/H21</f>
        <v>1</v>
      </c>
      <c r="AC21" s="1352">
        <f t="shared" ref="AC21" si="10">D21/J21</f>
        <v>1</v>
      </c>
    </row>
    <row r="22" spans="1:29" ht="15">
      <c r="A22" s="379"/>
      <c r="B22" s="1131"/>
      <c r="C22" s="1900" t="s">
        <v>3520</v>
      </c>
      <c r="D22" s="399"/>
      <c r="E22" s="1900" t="s">
        <v>3520</v>
      </c>
      <c r="F22" s="399"/>
      <c r="G22" s="1900" t="s">
        <v>3520</v>
      </c>
      <c r="H22" s="399"/>
      <c r="I22" s="1900" t="s">
        <v>3520</v>
      </c>
      <c r="J22" s="399"/>
      <c r="K22" s="1904"/>
      <c r="L22" s="2718"/>
      <c r="M22" s="2712"/>
      <c r="N22" s="2712"/>
      <c r="O22" s="2712"/>
      <c r="P22" s="3748"/>
      <c r="Q22" s="1351"/>
      <c r="R22" s="705"/>
      <c r="S22" s="706"/>
      <c r="T22" s="705"/>
      <c r="U22" s="706"/>
      <c r="V22" s="705"/>
      <c r="W22" s="706"/>
      <c r="X22" s="1354"/>
      <c r="Y22" s="3741"/>
      <c r="Z22" s="1355"/>
      <c r="AA22" s="1352">
        <v>1</v>
      </c>
      <c r="AB22" s="1352">
        <v>1</v>
      </c>
      <c r="AC22" s="1352">
        <v>1</v>
      </c>
    </row>
    <row r="23" spans="1:29" ht="46.5" customHeight="1">
      <c r="A23" s="379"/>
      <c r="B23" s="402" t="s">
        <v>1261</v>
      </c>
      <c r="C23" s="1899" t="str">
        <f>估价对象房地状况!C9</f>
        <v>估价对象周边有通惠河、庆丰公园、团结湖公园等自然环境；有中央广播电视总台、首经贸大学等人文环境，综合评价自然人文环境较好。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8"/>
      <c r="Q23" s="1351" t="str">
        <f>B23</f>
        <v>自然及人文环境</v>
      </c>
      <c r="R23" s="705" t="s">
        <v>18</v>
      </c>
      <c r="S23" s="706">
        <f>F23</f>
        <v>100</v>
      </c>
      <c r="T23" s="705" t="s">
        <v>18</v>
      </c>
      <c r="U23" s="706">
        <f>H23</f>
        <v>100</v>
      </c>
      <c r="V23" s="705" t="s">
        <v>18</v>
      </c>
      <c r="W23" s="706">
        <f>J23</f>
        <v>100</v>
      </c>
      <c r="X23" s="1354"/>
      <c r="Y23" s="3741"/>
      <c r="Z23" s="1355" t="str">
        <f>Q23</f>
        <v>自然及人文环境</v>
      </c>
      <c r="AA23" s="1352">
        <f>D23/F23</f>
        <v>1</v>
      </c>
      <c r="AB23" s="1352">
        <f>D23/H23</f>
        <v>1</v>
      </c>
      <c r="AC23" s="1352">
        <f>D23/J23</f>
        <v>1</v>
      </c>
    </row>
    <row r="24" spans="1:29" ht="15">
      <c r="A24" s="379"/>
      <c r="B24" s="407"/>
      <c r="C24" s="398" t="s">
        <v>3494</v>
      </c>
      <c r="D24" s="399"/>
      <c r="E24" s="398" t="s">
        <v>3494</v>
      </c>
      <c r="F24" s="399"/>
      <c r="G24" s="398" t="s">
        <v>3494</v>
      </c>
      <c r="H24" s="399"/>
      <c r="I24" s="398" t="s">
        <v>3494</v>
      </c>
      <c r="J24" s="399"/>
      <c r="K24" s="1898"/>
      <c r="L24" s="2718"/>
      <c r="M24" s="2712"/>
      <c r="N24" s="2712"/>
      <c r="O24" s="2712"/>
      <c r="P24" s="3748"/>
      <c r="Q24" s="1351"/>
      <c r="R24" s="705"/>
      <c r="S24" s="706"/>
      <c r="T24" s="705"/>
      <c r="U24" s="706"/>
      <c r="V24" s="705"/>
      <c r="W24" s="706"/>
      <c r="X24" s="1354"/>
      <c r="Y24" s="374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4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48"/>
      <c r="Q26" s="1351" t="str">
        <f t="shared" si="11"/>
        <v>朝向</v>
      </c>
      <c r="R26" s="705" t="s">
        <v>18</v>
      </c>
      <c r="S26" s="706">
        <f t="shared" si="12"/>
        <v>100</v>
      </c>
      <c r="T26" s="705" t="s">
        <v>18</v>
      </c>
      <c r="U26" s="706">
        <f t="shared" si="13"/>
        <v>100</v>
      </c>
      <c r="V26" s="705" t="s">
        <v>18</v>
      </c>
      <c r="W26" s="706">
        <f t="shared" si="14"/>
        <v>100</v>
      </c>
      <c r="X26" s="1354"/>
      <c r="Y26" s="3741"/>
      <c r="Z26" s="1355" t="str">
        <f>Q26</f>
        <v>朝向</v>
      </c>
      <c r="AA26" s="1352">
        <f t="shared" si="15"/>
        <v>1</v>
      </c>
      <c r="AB26" s="1352">
        <f t="shared" si="16"/>
        <v>1</v>
      </c>
      <c r="AC26" s="1352">
        <f t="shared" si="17"/>
        <v>1</v>
      </c>
    </row>
    <row r="27" spans="1:29" s="108" customFormat="1" ht="15">
      <c r="A27" s="382"/>
      <c r="B27" s="3459" t="s">
        <v>3470</v>
      </c>
      <c r="C27" s="3460" t="s">
        <v>3467</v>
      </c>
      <c r="D27" s="413">
        <v>100</v>
      </c>
      <c r="E27" s="3460" t="s">
        <v>3467</v>
      </c>
      <c r="F27" s="413">
        <f>SUMIF(90:90,E27,91:91)-SUMIF(90:90,C27,91:91)+100</f>
        <v>100</v>
      </c>
      <c r="G27" s="3461" t="s">
        <v>3467</v>
      </c>
      <c r="H27" s="413">
        <f>SUMIF(90:90,G27,91:91)-SUMIF(90:90,C27,91:91)+100</f>
        <v>100</v>
      </c>
      <c r="I27" s="3460" t="s">
        <v>3467</v>
      </c>
      <c r="J27" s="413">
        <f>SUMIF(90:90,I27,91:91)-SUMIF(90:90,C27,91:91)+100</f>
        <v>100</v>
      </c>
      <c r="K27" s="1893"/>
      <c r="L27" s="2713"/>
      <c r="M27" s="2714"/>
      <c r="N27" s="2714"/>
      <c r="O27" s="2714"/>
      <c r="P27" s="3748"/>
      <c r="Q27" s="1342" t="str">
        <f t="shared" si="11"/>
        <v>楼层</v>
      </c>
      <c r="R27" s="701" t="s">
        <v>18</v>
      </c>
      <c r="S27" s="702">
        <f t="shared" si="12"/>
        <v>100</v>
      </c>
      <c r="T27" s="701" t="s">
        <v>18</v>
      </c>
      <c r="U27" s="702">
        <f t="shared" si="13"/>
        <v>100</v>
      </c>
      <c r="V27" s="701" t="s">
        <v>18</v>
      </c>
      <c r="W27" s="702">
        <f t="shared" si="14"/>
        <v>100</v>
      </c>
      <c r="X27" s="703"/>
      <c r="Y27" s="3741"/>
      <c r="Z27" s="52" t="str">
        <f>Q27</f>
        <v>楼层</v>
      </c>
      <c r="AA27" s="1352">
        <f t="shared" si="15"/>
        <v>1</v>
      </c>
      <c r="AB27" s="1352">
        <f t="shared" si="16"/>
        <v>1</v>
      </c>
      <c r="AC27" s="1352">
        <f t="shared" si="17"/>
        <v>1</v>
      </c>
    </row>
    <row r="28" spans="1:29" ht="15">
      <c r="A28" s="379"/>
      <c r="B28" s="3459" t="s">
        <v>3503</v>
      </c>
      <c r="C28" s="3468" t="s">
        <v>3504</v>
      </c>
      <c r="D28" s="386">
        <v>100</v>
      </c>
      <c r="E28" s="385" t="str">
        <f>案例!N2</f>
        <v>北</v>
      </c>
      <c r="F28" s="386">
        <f>SUMIF(92:92,E28,93:93)-SUMIF(92:92,C28,93:93)+100</f>
        <v>100</v>
      </c>
      <c r="G28" s="1907" t="str">
        <f>案例!N6</f>
        <v>北</v>
      </c>
      <c r="H28" s="386">
        <f>SUMIF(92:92,G28,93:93)-SUMIF(92:92,C28,93:93)+100</f>
        <v>100</v>
      </c>
      <c r="I28" s="385" t="str">
        <f>案例!N6</f>
        <v>北</v>
      </c>
      <c r="J28" s="386">
        <f>SUMIF(92:92,I28,93:93)-SUMIF(92:92,C28,93:93)+100</f>
        <v>100</v>
      </c>
      <c r="K28" s="1893"/>
      <c r="L28" s="2718"/>
      <c r="M28" s="2712"/>
      <c r="N28" s="2712"/>
      <c r="O28" s="2712"/>
      <c r="P28" s="3748"/>
      <c r="Q28" s="1351" t="str">
        <f t="shared" si="11"/>
        <v>朝向</v>
      </c>
      <c r="R28" s="705" t="s">
        <v>18</v>
      </c>
      <c r="S28" s="706">
        <f t="shared" si="12"/>
        <v>100</v>
      </c>
      <c r="T28" s="705" t="s">
        <v>18</v>
      </c>
      <c r="U28" s="706">
        <f t="shared" si="13"/>
        <v>100</v>
      </c>
      <c r="V28" s="705" t="s">
        <v>18</v>
      </c>
      <c r="W28" s="706">
        <f t="shared" si="14"/>
        <v>100</v>
      </c>
      <c r="X28" s="1354"/>
      <c r="Y28" s="3741"/>
      <c r="Z28" s="1355" t="str">
        <f t="shared" ref="Z28:Z46" si="18">Q28</f>
        <v>朝向</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48"/>
      <c r="Q29" s="1351">
        <f t="shared" si="11"/>
        <v>111</v>
      </c>
      <c r="R29" s="705" t="s">
        <v>18</v>
      </c>
      <c r="S29" s="706">
        <f t="shared" si="12"/>
        <v>100</v>
      </c>
      <c r="T29" s="705" t="s">
        <v>18</v>
      </c>
      <c r="U29" s="706">
        <f t="shared" si="13"/>
        <v>100</v>
      </c>
      <c r="V29" s="705" t="s">
        <v>18</v>
      </c>
      <c r="W29" s="706">
        <f t="shared" si="14"/>
        <v>100</v>
      </c>
      <c r="X29" s="1354"/>
      <c r="Y29" s="374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48"/>
      <c r="Q30" s="1351">
        <f t="shared" si="11"/>
        <v>111</v>
      </c>
      <c r="R30" s="705" t="s">
        <v>18</v>
      </c>
      <c r="S30" s="706">
        <f t="shared" si="12"/>
        <v>100</v>
      </c>
      <c r="T30" s="705" t="s">
        <v>18</v>
      </c>
      <c r="U30" s="706">
        <f t="shared" si="13"/>
        <v>100</v>
      </c>
      <c r="V30" s="705" t="s">
        <v>18</v>
      </c>
      <c r="W30" s="706">
        <f t="shared" si="14"/>
        <v>100</v>
      </c>
      <c r="X30" s="1354"/>
      <c r="Y30" s="374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48"/>
      <c r="Q31" s="1351">
        <f t="shared" si="11"/>
        <v>111</v>
      </c>
      <c r="R31" s="705" t="s">
        <v>18</v>
      </c>
      <c r="S31" s="706">
        <f t="shared" si="12"/>
        <v>100</v>
      </c>
      <c r="T31" s="705" t="s">
        <v>18</v>
      </c>
      <c r="U31" s="706">
        <f t="shared" si="13"/>
        <v>100</v>
      </c>
      <c r="V31" s="705" t="s">
        <v>18</v>
      </c>
      <c r="W31" s="706">
        <f t="shared" si="14"/>
        <v>100</v>
      </c>
      <c r="X31" s="1354"/>
      <c r="Y31" s="3741"/>
      <c r="Z31" s="1355">
        <f t="shared" si="18"/>
        <v>111</v>
      </c>
      <c r="AA31" s="1352">
        <f t="shared" si="15"/>
        <v>1</v>
      </c>
      <c r="AB31" s="1352">
        <f t="shared" si="16"/>
        <v>1</v>
      </c>
      <c r="AC31" s="1352">
        <f t="shared" si="17"/>
        <v>1</v>
      </c>
    </row>
    <row r="32" spans="1:29" ht="15">
      <c r="A32" s="391" t="s">
        <v>1694</v>
      </c>
      <c r="B32" s="63" t="s">
        <v>1695</v>
      </c>
      <c r="C32" s="1909" t="s">
        <v>3521</v>
      </c>
      <c r="D32" s="418">
        <v>100</v>
      </c>
      <c r="E32" s="1909" t="s">
        <v>3521</v>
      </c>
      <c r="F32" s="412">
        <f>SUMIF(100:100,E32,101:101)-SUMIF(100:100,C32,101:101)+100</f>
        <v>100</v>
      </c>
      <c r="G32" s="1909" t="s">
        <v>3521</v>
      </c>
      <c r="H32" s="418">
        <f>SUMIF(100:100,G32,101:101)-SUMIF(100:100,C32,101:101)+100</f>
        <v>100</v>
      </c>
      <c r="I32" s="1909" t="s">
        <v>3521</v>
      </c>
      <c r="J32" s="386">
        <f>SUMIF(100:100,I32,101:101)-SUMIF(100:100,C32,101:101)+100</f>
        <v>100</v>
      </c>
      <c r="K32" s="377"/>
      <c r="L32" s="2718"/>
      <c r="M32" s="2712"/>
      <c r="N32" s="2712"/>
      <c r="O32" s="2712"/>
      <c r="P32" s="3742" t="s">
        <v>1696</v>
      </c>
      <c r="Q32" s="1351" t="str">
        <f t="shared" si="11"/>
        <v>建筑类型</v>
      </c>
      <c r="R32" s="705" t="s">
        <v>18</v>
      </c>
      <c r="S32" s="706">
        <f t="shared" si="12"/>
        <v>100</v>
      </c>
      <c r="T32" s="705" t="s">
        <v>18</v>
      </c>
      <c r="U32" s="706">
        <f t="shared" si="13"/>
        <v>100</v>
      </c>
      <c r="V32" s="705" t="s">
        <v>18</v>
      </c>
      <c r="W32" s="706">
        <f t="shared" si="14"/>
        <v>100</v>
      </c>
      <c r="X32" s="1354"/>
      <c r="Y32" s="3745"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48.69</v>
      </c>
      <c r="D33" s="127">
        <v>100</v>
      </c>
      <c r="E33" s="381">
        <f>案例!E2</f>
        <v>54.02</v>
      </c>
      <c r="F33" s="376">
        <f>LOOKUP(E33,103:103,104:104)-LOOKUP(C33,103:103,104:104)+100</f>
        <v>98</v>
      </c>
      <c r="G33" s="380">
        <f>案例!E6</f>
        <v>48.73</v>
      </c>
      <c r="H33" s="127">
        <f>LOOKUP(G33,103:103,104:104)-LOOKUP(C33,103:103,104:104)+100</f>
        <v>100</v>
      </c>
      <c r="I33" s="381">
        <f>案例!E11</f>
        <v>48.12</v>
      </c>
      <c r="J33" s="127">
        <f>LOOKUP(I33,103:103,104:104)-LOOKUP(C33,103:103,104:104)+100</f>
        <v>100</v>
      </c>
      <c r="K33" s="1893"/>
      <c r="L33" s="2717"/>
      <c r="M33" s="2719"/>
      <c r="N33" s="2719"/>
      <c r="O33" s="2719"/>
      <c r="P33" s="3743"/>
      <c r="Q33" s="707" t="str">
        <f t="shared" si="11"/>
        <v>项目建筑规模</v>
      </c>
      <c r="R33" s="708" t="s">
        <v>18</v>
      </c>
      <c r="S33" s="709">
        <f t="shared" si="12"/>
        <v>98</v>
      </c>
      <c r="T33" s="708" t="s">
        <v>18</v>
      </c>
      <c r="U33" s="709">
        <f t="shared" si="13"/>
        <v>100</v>
      </c>
      <c r="V33" s="708" t="s">
        <v>18</v>
      </c>
      <c r="W33" s="709">
        <f t="shared" si="14"/>
        <v>100</v>
      </c>
      <c r="X33" s="710"/>
      <c r="Y33" s="3745"/>
      <c r="Z33" s="711" t="str">
        <f t="shared" si="18"/>
        <v>项目建筑规模</v>
      </c>
      <c r="AA33" s="1352">
        <f t="shared" si="15"/>
        <v>1.0204081632653061</v>
      </c>
      <c r="AB33" s="1352">
        <f t="shared" si="16"/>
        <v>1</v>
      </c>
      <c r="AC33" s="1352">
        <f t="shared" si="17"/>
        <v>1</v>
      </c>
    </row>
    <row r="34" spans="1:29" ht="15">
      <c r="A34" s="423"/>
      <c r="B34" s="375" t="s">
        <v>1698</v>
      </c>
      <c r="C34" s="1910" t="s">
        <v>3484</v>
      </c>
      <c r="D34" s="386">
        <v>100</v>
      </c>
      <c r="E34" s="1910" t="s">
        <v>3484</v>
      </c>
      <c r="F34" s="412">
        <f>SUMIF(105:105,E34,106:106)-SUMIF(105:105,C34,106:106)+100</f>
        <v>100</v>
      </c>
      <c r="G34" s="1910" t="s">
        <v>3484</v>
      </c>
      <c r="H34" s="386">
        <f>SUMIF(105:105,G34,106:106)-SUMIF(105:105,C34,106:106)+100</f>
        <v>100</v>
      </c>
      <c r="I34" s="1910" t="s">
        <v>3484</v>
      </c>
      <c r="J34" s="386">
        <f>SUMIF(105:105,I34,106:106)-SUMIF(105:105,C34,106:106)+100</f>
        <v>100</v>
      </c>
      <c r="K34" s="377"/>
      <c r="L34" s="2718"/>
      <c r="M34" s="2712"/>
      <c r="N34" s="2712"/>
      <c r="O34" s="2712"/>
      <c r="P34" s="3743"/>
      <c r="Q34" s="1351" t="str">
        <f t="shared" si="11"/>
        <v>建筑结构</v>
      </c>
      <c r="R34" s="705" t="s">
        <v>18</v>
      </c>
      <c r="S34" s="706">
        <f t="shared" si="12"/>
        <v>100</v>
      </c>
      <c r="T34" s="705" t="s">
        <v>18</v>
      </c>
      <c r="U34" s="706">
        <f t="shared" si="13"/>
        <v>100</v>
      </c>
      <c r="V34" s="705" t="s">
        <v>18</v>
      </c>
      <c r="W34" s="706">
        <f t="shared" si="14"/>
        <v>100</v>
      </c>
      <c r="X34" s="1354"/>
      <c r="Y34" s="3745"/>
      <c r="Z34" s="1355" t="str">
        <f t="shared" si="18"/>
        <v>建筑结构</v>
      </c>
      <c r="AA34" s="1352">
        <f t="shared" si="15"/>
        <v>1</v>
      </c>
      <c r="AB34" s="1352">
        <f t="shared" si="16"/>
        <v>1</v>
      </c>
      <c r="AC34" s="1352">
        <f t="shared" si="17"/>
        <v>1</v>
      </c>
    </row>
    <row r="35" spans="1:29" ht="15" hidden="1">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8"/>
      <c r="M35" s="2712"/>
      <c r="N35" s="2712"/>
      <c r="O35" s="2712"/>
      <c r="P35" s="3743"/>
      <c r="Q35" s="1351" t="str">
        <f t="shared" si="11"/>
        <v>建筑品质</v>
      </c>
      <c r="R35" s="705" t="s">
        <v>18</v>
      </c>
      <c r="S35" s="706">
        <f t="shared" si="12"/>
        <v>100</v>
      </c>
      <c r="T35" s="705" t="s">
        <v>18</v>
      </c>
      <c r="U35" s="706">
        <f t="shared" si="13"/>
        <v>100</v>
      </c>
      <c r="V35" s="705" t="s">
        <v>18</v>
      </c>
      <c r="W35" s="706">
        <f t="shared" si="14"/>
        <v>100</v>
      </c>
      <c r="X35" s="1354"/>
      <c r="Y35" s="3745"/>
      <c r="Z35" s="1355" t="str">
        <f t="shared" si="18"/>
        <v>建筑品质</v>
      </c>
      <c r="AA35" s="1352">
        <f t="shared" si="15"/>
        <v>1</v>
      </c>
      <c r="AB35" s="1352">
        <f t="shared" si="16"/>
        <v>1</v>
      </c>
      <c r="AC35" s="1352">
        <f t="shared" si="17"/>
        <v>1</v>
      </c>
    </row>
    <row r="36" spans="1:29" ht="15">
      <c r="A36" s="423"/>
      <c r="B36" s="375" t="s">
        <v>1700</v>
      </c>
      <c r="C36" s="1905" t="s">
        <v>3501</v>
      </c>
      <c r="D36" s="386">
        <v>100</v>
      </c>
      <c r="E36" s="1905" t="s">
        <v>3501</v>
      </c>
      <c r="F36" s="412">
        <f>SUMIF(109:109,E36,110:110)-SUMIF(109:109,C36,110:110)+100</f>
        <v>100</v>
      </c>
      <c r="G36" s="1905" t="s">
        <v>3501</v>
      </c>
      <c r="H36" s="386">
        <f>SUMIF(109:109,G36,110:110)-SUMIF(109:109,C36,110:110)+100</f>
        <v>100</v>
      </c>
      <c r="I36" s="1905" t="s">
        <v>3501</v>
      </c>
      <c r="J36" s="386">
        <f>SUMIF(109:109,I36,110:110)-SUMIF(109:109,C36,110:110)+100</f>
        <v>100</v>
      </c>
      <c r="K36" s="377"/>
      <c r="L36" s="2718"/>
      <c r="M36" s="2712"/>
      <c r="N36" s="2712"/>
      <c r="O36" s="2712"/>
      <c r="P36" s="3743"/>
      <c r="Q36" s="1351" t="str">
        <f t="shared" si="11"/>
        <v>公共部分装修</v>
      </c>
      <c r="R36" s="705" t="s">
        <v>18</v>
      </c>
      <c r="S36" s="706">
        <f t="shared" si="12"/>
        <v>100</v>
      </c>
      <c r="T36" s="705" t="s">
        <v>18</v>
      </c>
      <c r="U36" s="706">
        <f t="shared" si="13"/>
        <v>100</v>
      </c>
      <c r="V36" s="705" t="s">
        <v>18</v>
      </c>
      <c r="W36" s="706">
        <f t="shared" si="14"/>
        <v>100</v>
      </c>
      <c r="X36" s="1354"/>
      <c r="Y36" s="3745"/>
      <c r="Z36" s="1355" t="str">
        <f t="shared" si="18"/>
        <v>公共部分装修</v>
      </c>
      <c r="AA36" s="1352">
        <f t="shared" si="15"/>
        <v>1</v>
      </c>
      <c r="AB36" s="1352">
        <f t="shared" si="16"/>
        <v>1</v>
      </c>
      <c r="AC36" s="1352">
        <f t="shared" si="17"/>
        <v>1</v>
      </c>
    </row>
    <row r="37" spans="1:29" s="108" customFormat="1" ht="15">
      <c r="A37" s="424"/>
      <c r="B37" s="375" t="s">
        <v>1701</v>
      </c>
      <c r="C37" s="425">
        <f>'数据-取费表'!N6</f>
        <v>0.75</v>
      </c>
      <c r="D37" s="127">
        <v>100</v>
      </c>
      <c r="E37" s="425">
        <f>C37</f>
        <v>0.75</v>
      </c>
      <c r="F37" s="376">
        <f>LOOKUP(E37,112:112,113:113)-LOOKUP(C37,112:112,113:113)+100</f>
        <v>100</v>
      </c>
      <c r="G37" s="425">
        <f>C37</f>
        <v>0.75</v>
      </c>
      <c r="H37" s="127">
        <f>LOOKUP(G37,112:112,113:113)-LOOKUP(C37,112:112,113:113)+100</f>
        <v>100</v>
      </c>
      <c r="I37" s="425">
        <f>C37</f>
        <v>0.75</v>
      </c>
      <c r="J37" s="127">
        <f>LOOKUP(I37,112:112,113:113)-LOOKUP(C37,112:112,113:113)+100</f>
        <v>100</v>
      </c>
      <c r="K37" s="377"/>
      <c r="L37" s="2713"/>
      <c r="M37" s="2714"/>
      <c r="N37" s="2714"/>
      <c r="O37" s="2714"/>
      <c r="P37" s="3743"/>
      <c r="Q37" s="1342" t="str">
        <f t="shared" si="11"/>
        <v>成新度</v>
      </c>
      <c r="R37" s="701" t="s">
        <v>18</v>
      </c>
      <c r="S37" s="702">
        <f t="shared" si="12"/>
        <v>100</v>
      </c>
      <c r="T37" s="701" t="s">
        <v>18</v>
      </c>
      <c r="U37" s="702">
        <f t="shared" si="13"/>
        <v>100</v>
      </c>
      <c r="V37" s="701" t="s">
        <v>18</v>
      </c>
      <c r="W37" s="702">
        <f t="shared" si="14"/>
        <v>100</v>
      </c>
      <c r="X37" s="703"/>
      <c r="Y37" s="3745"/>
      <c r="Z37" s="52" t="str">
        <f t="shared" si="18"/>
        <v>成新度</v>
      </c>
      <c r="AA37" s="704">
        <f t="shared" si="15"/>
        <v>1</v>
      </c>
      <c r="AB37" s="704">
        <f t="shared" si="16"/>
        <v>1</v>
      </c>
      <c r="AC37" s="704">
        <f t="shared" si="17"/>
        <v>1</v>
      </c>
    </row>
    <row r="38" spans="1:29" ht="15" hidden="1">
      <c r="A38" s="423"/>
      <c r="B38" s="375" t="s">
        <v>1702</v>
      </c>
      <c r="C38" s="1905" t="s">
        <v>3524</v>
      </c>
      <c r="D38" s="386">
        <v>100</v>
      </c>
      <c r="E38" s="1905" t="s">
        <v>3524</v>
      </c>
      <c r="F38" s="412">
        <f>SUMIF(114:114,E38,115:115)-SUMIF(114:114,C38,115:115)+100</f>
        <v>100</v>
      </c>
      <c r="G38" s="1905" t="s">
        <v>3524</v>
      </c>
      <c r="H38" s="386">
        <f>SUMIF(114:114,G38,115:115)-SUMIF(114:114,C38,115:115)+100</f>
        <v>100</v>
      </c>
      <c r="I38" s="1905" t="s">
        <v>3524</v>
      </c>
      <c r="J38" s="386">
        <f>SUMIF(114:114,I38,115:115)-SUMIF(114:114,C38,115:115)+100</f>
        <v>100</v>
      </c>
      <c r="K38" s="377"/>
      <c r="L38" s="2718"/>
      <c r="M38" s="2712"/>
      <c r="N38" s="2712"/>
      <c r="O38" s="2712"/>
      <c r="P38" s="3743" t="s">
        <v>1696</v>
      </c>
      <c r="Q38" s="1351" t="str">
        <f t="shared" si="11"/>
        <v>物业管理</v>
      </c>
      <c r="R38" s="705" t="s">
        <v>18</v>
      </c>
      <c r="S38" s="706">
        <f t="shared" si="12"/>
        <v>100</v>
      </c>
      <c r="T38" s="705" t="s">
        <v>18</v>
      </c>
      <c r="U38" s="706">
        <f t="shared" si="13"/>
        <v>100</v>
      </c>
      <c r="V38" s="705" t="s">
        <v>18</v>
      </c>
      <c r="W38" s="706">
        <f t="shared" si="14"/>
        <v>100</v>
      </c>
      <c r="X38" s="1354"/>
      <c r="Y38" s="3745" t="s">
        <v>1696</v>
      </c>
      <c r="Z38" s="1355" t="str">
        <f t="shared" si="18"/>
        <v>物业管理</v>
      </c>
      <c r="AA38" s="1352">
        <f t="shared" si="15"/>
        <v>1</v>
      </c>
      <c r="AB38" s="1352">
        <f t="shared" si="16"/>
        <v>1</v>
      </c>
      <c r="AC38" s="1352">
        <f t="shared" si="17"/>
        <v>1</v>
      </c>
    </row>
    <row r="39" spans="1:29" ht="15">
      <c r="A39" s="423"/>
      <c r="B39" s="375" t="s">
        <v>1703</v>
      </c>
      <c r="C39" s="1905" t="s">
        <v>3527</v>
      </c>
      <c r="D39" s="386">
        <v>100</v>
      </c>
      <c r="E39" s="1905" t="s">
        <v>3527</v>
      </c>
      <c r="F39" s="412">
        <f>SUMIF(116:116,E39,117:117)-SUMIF(116:116,C39,117:117)+100</f>
        <v>100</v>
      </c>
      <c r="G39" s="1905" t="s">
        <v>3527</v>
      </c>
      <c r="H39" s="386">
        <f>SUMIF(116:116,G39,117:117)-SUMIF(116:116,C39,117:117)+100</f>
        <v>100</v>
      </c>
      <c r="I39" s="1905" t="s">
        <v>3527</v>
      </c>
      <c r="J39" s="386">
        <f>SUMIF(116:116,I39,117:117)-SUMIF(116:116,C39,117:117)+100</f>
        <v>100</v>
      </c>
      <c r="K39" s="377"/>
      <c r="L39" s="2718"/>
      <c r="M39" s="2712"/>
      <c r="N39" s="2712"/>
      <c r="O39" s="2712"/>
      <c r="P39" s="3743"/>
      <c r="Q39" s="1351" t="str">
        <f t="shared" si="11"/>
        <v>市政基础设施</v>
      </c>
      <c r="R39" s="705" t="s">
        <v>18</v>
      </c>
      <c r="S39" s="706">
        <f t="shared" si="12"/>
        <v>100</v>
      </c>
      <c r="T39" s="705" t="s">
        <v>18</v>
      </c>
      <c r="U39" s="706">
        <f t="shared" si="13"/>
        <v>100</v>
      </c>
      <c r="V39" s="705" t="s">
        <v>18</v>
      </c>
      <c r="W39" s="706">
        <f t="shared" si="14"/>
        <v>100</v>
      </c>
      <c r="X39" s="1354"/>
      <c r="Y39" s="3745"/>
      <c r="Z39" s="1355" t="str">
        <f t="shared" si="18"/>
        <v>市政基础设施</v>
      </c>
      <c r="AA39" s="1352">
        <f t="shared" si="15"/>
        <v>1</v>
      </c>
      <c r="AB39" s="1352">
        <f t="shared" si="16"/>
        <v>1</v>
      </c>
      <c r="AC39" s="1352">
        <f t="shared" si="17"/>
        <v>1</v>
      </c>
    </row>
    <row r="40" spans="1:29" ht="15" hidden="1">
      <c r="A40" s="423"/>
      <c r="B40" s="375" t="s">
        <v>1704</v>
      </c>
      <c r="C40" s="1905" t="s">
        <v>3529</v>
      </c>
      <c r="D40" s="386">
        <v>100</v>
      </c>
      <c r="E40" s="1905" t="s">
        <v>3529</v>
      </c>
      <c r="F40" s="412">
        <f>SUMIF(118:118,E40,119:119)-SUMIF(118:118,C40,119:119)+100</f>
        <v>100</v>
      </c>
      <c r="G40" s="1905" t="s">
        <v>3529</v>
      </c>
      <c r="H40" s="386">
        <f>SUMIF(118:118,G40,119:119)-SUMIF(118:118,C40,119:119)+100</f>
        <v>100</v>
      </c>
      <c r="I40" s="1905" t="s">
        <v>3529</v>
      </c>
      <c r="J40" s="386">
        <f>SUMIF(118:118,I40,119:119)-SUMIF(118:118,C40,119:119)+100</f>
        <v>100</v>
      </c>
      <c r="K40" s="377"/>
      <c r="L40" s="2718"/>
      <c r="M40" s="2712"/>
      <c r="N40" s="2712"/>
      <c r="O40" s="2712"/>
      <c r="P40" s="3743"/>
      <c r="Q40" s="1351" t="str">
        <f t="shared" si="11"/>
        <v>房型</v>
      </c>
      <c r="R40" s="705" t="s">
        <v>18</v>
      </c>
      <c r="S40" s="706">
        <f t="shared" si="12"/>
        <v>100</v>
      </c>
      <c r="T40" s="705" t="s">
        <v>18</v>
      </c>
      <c r="U40" s="706">
        <f t="shared" si="13"/>
        <v>100</v>
      </c>
      <c r="V40" s="705" t="s">
        <v>18</v>
      </c>
      <c r="W40" s="706">
        <f t="shared" si="14"/>
        <v>100</v>
      </c>
      <c r="X40" s="1354"/>
      <c r="Y40" s="3745"/>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43"/>
      <c r="Q41" s="707" t="str">
        <f t="shared" si="11"/>
        <v>单套/主力户型建筑面积</v>
      </c>
      <c r="R41" s="708" t="s">
        <v>18</v>
      </c>
      <c r="S41" s="709">
        <f t="shared" si="12"/>
        <v>100</v>
      </c>
      <c r="T41" s="708" t="s">
        <v>18</v>
      </c>
      <c r="U41" s="709">
        <f t="shared" si="13"/>
        <v>100</v>
      </c>
      <c r="V41" s="708" t="s">
        <v>18</v>
      </c>
      <c r="W41" s="709">
        <f t="shared" si="14"/>
        <v>100</v>
      </c>
      <c r="X41" s="710"/>
      <c r="Y41" s="3745"/>
      <c r="Z41" s="711" t="str">
        <f t="shared" si="18"/>
        <v>单套/主力户型建筑面积</v>
      </c>
      <c r="AA41" s="1352">
        <f t="shared" si="15"/>
        <v>1</v>
      </c>
      <c r="AB41" s="1352">
        <f t="shared" si="16"/>
        <v>1</v>
      </c>
      <c r="AC41" s="1352">
        <f t="shared" si="17"/>
        <v>1</v>
      </c>
    </row>
    <row r="42" spans="1:29" ht="15">
      <c r="A42" s="423"/>
      <c r="B42" s="375" t="s">
        <v>1706</v>
      </c>
      <c r="C42" s="1905" t="s">
        <v>3501</v>
      </c>
      <c r="D42" s="386">
        <v>100</v>
      </c>
      <c r="E42" s="1905" t="s">
        <v>3501</v>
      </c>
      <c r="F42" s="412">
        <f>SUMIF(122:122,E42,123:123)-SUMIF(122:122,C42,123:123)+100</f>
        <v>100</v>
      </c>
      <c r="G42" s="1905" t="s">
        <v>3536</v>
      </c>
      <c r="H42" s="386">
        <f>SUMIF(122:122,G42,123:123)-SUMIF(122:122,C42,123:123)+100</f>
        <v>102</v>
      </c>
      <c r="I42" s="1905" t="s">
        <v>3501</v>
      </c>
      <c r="J42" s="386">
        <f>SUMIF(122:122,I42,123:123)-SUMIF(122:122,C42,123:123)+100</f>
        <v>100</v>
      </c>
      <c r="K42" s="377">
        <v>2</v>
      </c>
      <c r="L42" s="2718"/>
      <c r="M42" s="2712"/>
      <c r="N42" s="2712"/>
      <c r="O42" s="2712"/>
      <c r="P42" s="3743"/>
      <c r="Q42" s="1351" t="str">
        <f t="shared" si="11"/>
        <v>内部装修</v>
      </c>
      <c r="R42" s="705" t="s">
        <v>18</v>
      </c>
      <c r="S42" s="706">
        <f t="shared" si="12"/>
        <v>100</v>
      </c>
      <c r="T42" s="705" t="s">
        <v>18</v>
      </c>
      <c r="U42" s="706">
        <f t="shared" si="13"/>
        <v>102</v>
      </c>
      <c r="V42" s="705" t="s">
        <v>18</v>
      </c>
      <c r="W42" s="706">
        <f t="shared" si="14"/>
        <v>100</v>
      </c>
      <c r="X42" s="1354"/>
      <c r="Y42" s="3745"/>
      <c r="Z42" s="1355" t="str">
        <f t="shared" si="18"/>
        <v>内部装修</v>
      </c>
      <c r="AA42" s="1352">
        <f t="shared" si="15"/>
        <v>1</v>
      </c>
      <c r="AB42" s="1352">
        <f t="shared" si="16"/>
        <v>0.98039215686274506</v>
      </c>
      <c r="AC42" s="1352">
        <f t="shared" si="17"/>
        <v>1</v>
      </c>
    </row>
    <row r="43" spans="1:29" ht="15">
      <c r="A43" s="423"/>
      <c r="B43" s="375" t="s">
        <v>1707</v>
      </c>
      <c r="C43" s="1905" t="s">
        <v>3494</v>
      </c>
      <c r="D43" s="386">
        <v>100</v>
      </c>
      <c r="E43" s="1905" t="s">
        <v>3494</v>
      </c>
      <c r="F43" s="412">
        <f>SUMIF(124:124,E43,125:125)-SUMIF(124:124,C43,125:125)+100</f>
        <v>100</v>
      </c>
      <c r="G43" s="1905" t="s">
        <v>3494</v>
      </c>
      <c r="H43" s="386">
        <f>SUMIF(124:124,G43,125:125)-SUMIF(124:124,C43,125:125)+100</f>
        <v>100</v>
      </c>
      <c r="I43" s="1905" t="s">
        <v>3494</v>
      </c>
      <c r="J43" s="386">
        <f>SUMIF(124:124,I43,125:125)-SUMIF(124:124,C43,125:125)+100</f>
        <v>100</v>
      </c>
      <c r="K43" s="377"/>
      <c r="L43" s="2718"/>
      <c r="M43" s="2712"/>
      <c r="N43" s="2712"/>
      <c r="O43" s="2712"/>
      <c r="P43" s="3743"/>
      <c r="Q43" s="1351" t="str">
        <f t="shared" si="11"/>
        <v>内部装修维护情况</v>
      </c>
      <c r="R43" s="705" t="s">
        <v>18</v>
      </c>
      <c r="S43" s="706">
        <f t="shared" si="12"/>
        <v>100</v>
      </c>
      <c r="T43" s="705" t="s">
        <v>18</v>
      </c>
      <c r="U43" s="706">
        <f t="shared" si="13"/>
        <v>100</v>
      </c>
      <c r="V43" s="705" t="s">
        <v>18</v>
      </c>
      <c r="W43" s="706">
        <f t="shared" si="14"/>
        <v>100</v>
      </c>
      <c r="X43" s="1354"/>
      <c r="Y43" s="374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43"/>
      <c r="Q44" s="1342">
        <f t="shared" si="11"/>
        <v>111</v>
      </c>
      <c r="R44" s="701" t="s">
        <v>18</v>
      </c>
      <c r="S44" s="702">
        <f t="shared" si="12"/>
        <v>100</v>
      </c>
      <c r="T44" s="701" t="s">
        <v>18</v>
      </c>
      <c r="U44" s="702">
        <f t="shared" si="13"/>
        <v>100</v>
      </c>
      <c r="V44" s="701" t="s">
        <v>18</v>
      </c>
      <c r="W44" s="702">
        <f t="shared" si="14"/>
        <v>100</v>
      </c>
      <c r="X44" s="703"/>
      <c r="Y44" s="374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43"/>
      <c r="Q45" s="1351">
        <f t="shared" si="11"/>
        <v>111</v>
      </c>
      <c r="R45" s="705" t="s">
        <v>18</v>
      </c>
      <c r="S45" s="706">
        <f t="shared" si="12"/>
        <v>100</v>
      </c>
      <c r="T45" s="705" t="s">
        <v>18</v>
      </c>
      <c r="U45" s="706">
        <f t="shared" si="13"/>
        <v>100</v>
      </c>
      <c r="V45" s="705" t="s">
        <v>18</v>
      </c>
      <c r="W45" s="706">
        <f t="shared" si="14"/>
        <v>100</v>
      </c>
      <c r="X45" s="1354"/>
      <c r="Y45" s="374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44"/>
      <c r="Q46" s="1351">
        <f t="shared" si="11"/>
        <v>111</v>
      </c>
      <c r="R46" s="705" t="s">
        <v>17</v>
      </c>
      <c r="S46" s="706">
        <f t="shared" si="12"/>
        <v>100</v>
      </c>
      <c r="T46" s="705" t="s">
        <v>17</v>
      </c>
      <c r="U46" s="706">
        <f t="shared" si="13"/>
        <v>100</v>
      </c>
      <c r="V46" s="705" t="s">
        <v>17</v>
      </c>
      <c r="W46" s="706">
        <f t="shared" si="14"/>
        <v>100</v>
      </c>
      <c r="X46" s="1354"/>
      <c r="Y46" s="3746"/>
      <c r="Z46" s="1355">
        <f t="shared" si="18"/>
        <v>111</v>
      </c>
      <c r="AA46" s="1352">
        <f t="shared" si="15"/>
        <v>1</v>
      </c>
      <c r="AB46" s="1352">
        <f t="shared" si="16"/>
        <v>1</v>
      </c>
      <c r="AC46" s="1352">
        <f t="shared" si="17"/>
        <v>1</v>
      </c>
    </row>
    <row r="47" spans="1:29" ht="15">
      <c r="A47" s="430" t="s">
        <v>1708</v>
      </c>
      <c r="B47" s="431"/>
      <c r="C47" s="1154" t="s">
        <v>16</v>
      </c>
      <c r="D47" s="1155"/>
      <c r="E47" s="1156">
        <f>案例!K2</f>
        <v>75528</v>
      </c>
      <c r="F47" s="1157"/>
      <c r="G47" s="1158">
        <f>案例!K6</f>
        <v>82495</v>
      </c>
      <c r="H47" s="1159"/>
      <c r="I47" s="1156">
        <f>案例!K11</f>
        <v>76891</v>
      </c>
      <c r="J47" s="1159"/>
      <c r="K47" s="1911"/>
      <c r="L47" s="2720"/>
      <c r="M47" s="2721"/>
      <c r="N47" s="2712"/>
      <c r="O47" s="2721"/>
      <c r="P47" s="3738" t="str">
        <f>A47</f>
        <v>成交单价（元/平方米）</v>
      </c>
      <c r="Q47" s="3738"/>
      <c r="R47" s="3739">
        <f>E47</f>
        <v>75528</v>
      </c>
      <c r="S47" s="3739"/>
      <c r="T47" s="3739">
        <f>G47</f>
        <v>82495</v>
      </c>
      <c r="U47" s="3739"/>
      <c r="V47" s="3739">
        <f>I47</f>
        <v>76891</v>
      </c>
      <c r="W47" s="3739"/>
      <c r="X47" s="690"/>
      <c r="Y47" s="712"/>
      <c r="Z47" s="690"/>
      <c r="AA47" s="690"/>
      <c r="AB47" s="690"/>
      <c r="AC47" s="690"/>
    </row>
    <row r="48" spans="1:29" ht="15.75" thickBot="1">
      <c r="A48" s="437" t="s">
        <v>1709</v>
      </c>
      <c r="B48" s="438"/>
      <c r="C48" s="1160">
        <f>R49</f>
        <v>78043</v>
      </c>
      <c r="D48" s="2314" t="s">
        <v>2138</v>
      </c>
      <c r="E48" s="1161">
        <f>R48</f>
        <v>77069</v>
      </c>
      <c r="F48" s="2315"/>
      <c r="G48" s="1160">
        <f>T48</f>
        <v>80475</v>
      </c>
      <c r="H48" s="2315"/>
      <c r="I48" s="1161">
        <f>V48</f>
        <v>76585</v>
      </c>
      <c r="J48" s="2315"/>
      <c r="K48" s="2316">
        <f>F48+H48+J48</f>
        <v>0</v>
      </c>
      <c r="L48" s="2720"/>
      <c r="M48" s="2721"/>
      <c r="N48" s="2721"/>
      <c r="O48" s="2721"/>
      <c r="P48" s="3738" t="str">
        <f>A48</f>
        <v>比较价值（元/平方米）</v>
      </c>
      <c r="Q48" s="3738"/>
      <c r="R48" s="3739">
        <f>IF(F1="售价",ROUND(PRODUCT(R47,AA7:AA46),0),ROUND(PRODUCT(R47,AA7:AA46),1))</f>
        <v>77069</v>
      </c>
      <c r="S48" s="3739"/>
      <c r="T48" s="3739">
        <f>IF(F1="售价",ROUND(PRODUCT(T47,AB7:AB46),0),ROUND(PRODUCT(T47,AB7:AB46),1))</f>
        <v>80475</v>
      </c>
      <c r="U48" s="3739"/>
      <c r="V48" s="3739">
        <f>IF(F1="售价",ROUND(PRODUCT(V47,AC7:AC46),0),ROUND(PRODUCT(V47,AC7:AC46),1))</f>
        <v>76585</v>
      </c>
      <c r="W48" s="3739"/>
      <c r="X48" s="690"/>
      <c r="Y48" s="690"/>
      <c r="Z48" s="690"/>
      <c r="AA48" s="690"/>
      <c r="AB48" s="690"/>
      <c r="AC48" s="690"/>
    </row>
    <row r="49" spans="1:29" ht="15.75" thickBot="1">
      <c r="A49" s="441" t="s">
        <v>1710</v>
      </c>
      <c r="B49" s="442"/>
      <c r="C49" s="1162">
        <f>R49</f>
        <v>78043</v>
      </c>
      <c r="D49" s="1163"/>
      <c r="E49" s="1163"/>
      <c r="F49" s="1163"/>
      <c r="G49" s="1163"/>
      <c r="H49" s="1163"/>
      <c r="I49" s="1163"/>
      <c r="J49" s="1163"/>
      <c r="K49" s="1912"/>
      <c r="L49" s="2720"/>
      <c r="M49" s="2721"/>
      <c r="N49" s="2721"/>
      <c r="O49" s="2721"/>
      <c r="P49" s="3735" t="str">
        <f>A49</f>
        <v>估价对象XX用房的比较价值（楼面单价，元/平方米）</v>
      </c>
      <c r="Q49" s="3736"/>
      <c r="R49" s="3737">
        <f>IF(F1="售价",ROUND(IF(D48="简单平均",AVERAGE(R48:V48),R48*F48+T48*H48+V48*J48),0),ROUND(IF(D48="简单平均",AVERAGE(R48:V48),R48*F48+T48*H48+V48*J48),1))</f>
        <v>78043</v>
      </c>
      <c r="S49" s="3737"/>
      <c r="T49" s="3737"/>
      <c r="U49" s="3737"/>
      <c r="V49" s="3737"/>
      <c r="W49" s="373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2.0403029340112289E-2</v>
      </c>
      <c r="F52" s="449" t="str">
        <f>IF(OR(E52&gt;=0.3,E52&lt;=-0.3),"超过30%","")</f>
        <v/>
      </c>
      <c r="G52" s="448">
        <f>IF(G47&lt;G48,G48/G47-1,G47/G48-1)</f>
        <v>2.5100963031997603E-2</v>
      </c>
      <c r="H52" s="449" t="str">
        <f>IF(OR(G52&gt;=0.3,G52&lt;=-0.3),"超过30%","")</f>
        <v/>
      </c>
      <c r="I52" s="448">
        <f>IF(I47&lt;I48,I48/I47-1,I47/I48-1)</f>
        <v>3.9955604883463725E-3</v>
      </c>
      <c r="J52" s="449" t="str">
        <f>IF(OR(I52&gt;=0.3,I52&lt;=-0.3),"超过30%","")</f>
        <v/>
      </c>
      <c r="K52" s="2726"/>
      <c r="L52" s="2722"/>
      <c r="M52" s="2721"/>
      <c r="N52" s="2721"/>
      <c r="O52" s="2721"/>
    </row>
    <row r="53" spans="1:29" ht="13.5" customHeight="1">
      <c r="A53" s="2721"/>
      <c r="B53" s="2721"/>
      <c r="C53" s="446" t="s">
        <v>1712</v>
      </c>
      <c r="D53" s="450"/>
      <c r="E53" s="448">
        <f>IF(E48&lt;G48,G48/E48-1,E48/G48-1)</f>
        <v>4.4194163671515074E-2</v>
      </c>
      <c r="F53" s="449" t="str">
        <f>IF(OR(E53&gt;=0.2,E53&lt;=-0.2),"超过20%","")</f>
        <v/>
      </c>
      <c r="G53" s="448">
        <f>IF(G48&lt;I48,I48/G48-1,G48/I48-1)</f>
        <v>5.0793236273421583E-2</v>
      </c>
      <c r="H53" s="449" t="str">
        <f>IF(OR(G53&gt;=0.2,G53&lt;=-0.2),"超过20%","")</f>
        <v/>
      </c>
      <c r="I53" s="448">
        <f>IF(I48&lt;E48,E48/I48-1,I48/E48-1)</f>
        <v>6.3197754129398209E-3</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9.2243936023726381E-2</v>
      </c>
      <c r="F54" s="449" t="str">
        <f>IF(OR(E54&gt;=0.3,E54&lt;=-0.3),"超过30%","")</f>
        <v/>
      </c>
      <c r="G54" s="448">
        <f>IF(G47&lt;I47,I47/G47-1,G47/I47-1)</f>
        <v>7.2882391957446169E-2</v>
      </c>
      <c r="H54" s="449" t="str">
        <f>IF(OR(G54&gt;=0.3,G54&lt;=-0.3),"超过30%","")</f>
        <v/>
      </c>
      <c r="I54" s="448">
        <f>IF(I47&lt;E47,E47/I47-1,I47/E47-1)</f>
        <v>1.8046287469547728E-2</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3470">
        <f t="shared" ref="P58" si="20">EDATE(O58,-1)</f>
        <v>44774</v>
      </c>
      <c r="Q58" s="3470">
        <f t="shared" ref="Q58" si="21">EDATE(P58,-1)</f>
        <v>44743</v>
      </c>
      <c r="R58" s="3470">
        <f t="shared" ref="R58" si="22">EDATE(Q58,-1)</f>
        <v>44713</v>
      </c>
      <c r="S58" s="3470">
        <f t="shared" ref="S58" si="23">EDATE(R58,-1)</f>
        <v>44682</v>
      </c>
      <c r="T58" s="3470">
        <f t="shared" ref="T58" si="24">EDATE(S58,-1)</f>
        <v>44652</v>
      </c>
      <c r="U58" s="3470">
        <f t="shared" ref="U58" si="25">EDATE(T58,-1)</f>
        <v>44621</v>
      </c>
    </row>
    <row r="59" spans="1:29" s="108" customFormat="1" ht="15">
      <c r="A59" s="458"/>
      <c r="B59" s="1916"/>
      <c r="C59" s="1182">
        <v>100</v>
      </c>
      <c r="D59" s="460">
        <v>100</v>
      </c>
      <c r="E59" s="461">
        <v>100</v>
      </c>
      <c r="F59" s="461">
        <v>100</v>
      </c>
      <c r="G59" s="461">
        <v>100</v>
      </c>
      <c r="H59" s="461">
        <f>G59</f>
        <v>100</v>
      </c>
      <c r="I59" s="461">
        <f>案例!T21</f>
        <v>100.5</v>
      </c>
      <c r="J59" s="461">
        <f>案例!T21</f>
        <v>100.5</v>
      </c>
      <c r="K59" s="461">
        <f>J59</f>
        <v>100.5</v>
      </c>
      <c r="L59" s="461">
        <f>案例!T20</f>
        <v>99.9</v>
      </c>
      <c r="M59" s="462">
        <f>L59</f>
        <v>99.9</v>
      </c>
      <c r="N59" s="461">
        <f>M59</f>
        <v>99.9</v>
      </c>
      <c r="O59" s="462">
        <f>案例!T19</f>
        <v>99.6</v>
      </c>
      <c r="P59" s="462">
        <f>O59</f>
        <v>99.6</v>
      </c>
      <c r="Q59" s="462">
        <f>P59</f>
        <v>99.6</v>
      </c>
      <c r="R59" s="108">
        <f>案例!T18</f>
        <v>100.4</v>
      </c>
      <c r="S59" s="108">
        <f>案例!T18</f>
        <v>100.4</v>
      </c>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6">D68&amp;"（含）"&amp;"-"&amp;E68</f>
        <v>1（含）-2</v>
      </c>
      <c r="E67" s="496" t="str">
        <f t="shared" si="26"/>
        <v>2（含）-3</v>
      </c>
      <c r="F67" s="496" t="str">
        <f t="shared" si="26"/>
        <v>3（含）-</v>
      </c>
      <c r="G67" s="496" t="str">
        <f t="shared" si="26"/>
        <v>（含）-</v>
      </c>
      <c r="H67" s="496" t="str">
        <f t="shared" si="26"/>
        <v>（含）-</v>
      </c>
      <c r="I67" s="496" t="str">
        <f t="shared" si="26"/>
        <v>（含）-</v>
      </c>
      <c r="J67" s="496" t="str">
        <f t="shared" si="26"/>
        <v>（含）-</v>
      </c>
      <c r="K67" s="496" t="str">
        <f>K68&amp;"（含）"&amp;"-"&amp;L68</f>
        <v>（含）-</v>
      </c>
      <c r="L67" s="496" t="str">
        <f t="shared" si="26"/>
        <v>（含）-</v>
      </c>
      <c r="M67" s="399" t="str">
        <f>M68&amp;"（含）"&amp;"-"&amp;P68</f>
        <v>（含）-</v>
      </c>
      <c r="N67" s="934"/>
      <c r="O67" s="934"/>
      <c r="P67" s="1919"/>
      <c r="Q67" s="453"/>
    </row>
    <row r="68" spans="1:17" ht="15">
      <c r="A68" s="483"/>
      <c r="B68" s="497"/>
      <c r="C68" s="498">
        <v>0</v>
      </c>
      <c r="D68" s="498">
        <v>1</v>
      </c>
      <c r="E68" s="498">
        <v>2</v>
      </c>
      <c r="F68" s="498">
        <v>3</v>
      </c>
      <c r="G68" s="498"/>
      <c r="H68" s="498"/>
      <c r="I68" s="498"/>
      <c r="J68" s="498"/>
      <c r="K68" s="499"/>
      <c r="L68" s="500"/>
      <c r="M68" s="501"/>
      <c r="N68" s="933"/>
      <c r="O68" s="933"/>
      <c r="P68" s="1919"/>
      <c r="Q68" s="453"/>
    </row>
    <row r="69" spans="1:17"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8">D83-$K21</f>
        <v>100</v>
      </c>
      <c r="F83" s="608">
        <f t="shared" si="28"/>
        <v>100</v>
      </c>
      <c r="G83" s="608">
        <f t="shared" si="28"/>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9">$C$87-($C$86-D86)*$K$25</f>
        <v>100</v>
      </c>
      <c r="E87" s="493">
        <f t="shared" si="29"/>
        <v>100</v>
      </c>
      <c r="F87" s="493">
        <f t="shared" si="29"/>
        <v>100</v>
      </c>
      <c r="G87" s="493">
        <f t="shared" si="29"/>
        <v>100</v>
      </c>
      <c r="H87" s="493">
        <f t="shared" si="29"/>
        <v>100</v>
      </c>
      <c r="I87" s="493">
        <f t="shared" si="29"/>
        <v>100</v>
      </c>
      <c r="J87" s="493">
        <f t="shared" si="29"/>
        <v>100</v>
      </c>
      <c r="K87" s="493">
        <f t="shared" si="29"/>
        <v>100</v>
      </c>
      <c r="L87" s="493">
        <f t="shared" si="29"/>
        <v>100</v>
      </c>
      <c r="M87" s="493">
        <f t="shared" si="29"/>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30">C89-$K26</f>
        <v>100</v>
      </c>
      <c r="E89" s="493">
        <f t="shared" si="30"/>
        <v>100</v>
      </c>
      <c r="F89" s="493">
        <f t="shared" si="30"/>
        <v>100</v>
      </c>
      <c r="G89" s="493">
        <f t="shared" si="30"/>
        <v>100</v>
      </c>
      <c r="H89" s="493">
        <f t="shared" si="30"/>
        <v>100</v>
      </c>
      <c r="I89" s="493">
        <f t="shared" si="30"/>
        <v>100</v>
      </c>
      <c r="J89" s="493">
        <f t="shared" si="30"/>
        <v>100</v>
      </c>
      <c r="K89" s="493">
        <f t="shared" si="30"/>
        <v>100</v>
      </c>
      <c r="L89" s="493">
        <f t="shared" si="30"/>
        <v>100</v>
      </c>
      <c r="M89" s="493">
        <f t="shared" si="30"/>
        <v>100</v>
      </c>
      <c r="N89" s="934"/>
      <c r="O89" s="934"/>
      <c r="P89" s="1919"/>
      <c r="Q89" s="453"/>
    </row>
    <row r="90" spans="1:17" s="422" customFormat="1" ht="15.75" thickTop="1">
      <c r="A90" s="502"/>
      <c r="B90" s="487" t="str">
        <f>B27</f>
        <v>楼层</v>
      </c>
      <c r="C90" s="3458" t="s">
        <v>3467</v>
      </c>
      <c r="D90" s="3458" t="s">
        <v>3468</v>
      </c>
      <c r="E90" s="3458" t="s">
        <v>3469</v>
      </c>
      <c r="F90" s="503"/>
      <c r="G90" s="503"/>
      <c r="H90" s="504"/>
      <c r="I90" s="504"/>
      <c r="J90" s="504"/>
      <c r="K90" s="504"/>
      <c r="L90" s="505"/>
      <c r="M90" s="506"/>
      <c r="N90" s="935"/>
      <c r="O90" s="935"/>
      <c r="P90" s="1920"/>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0"/>
      <c r="Q91" s="508"/>
    </row>
    <row r="92" spans="1:17" ht="15.75" thickTop="1">
      <c r="A92" s="483"/>
      <c r="B92" s="487" t="str">
        <f>B28</f>
        <v>朝向</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85" t="s">
        <v>3522</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31">C101-$K32</f>
        <v>100</v>
      </c>
      <c r="E101" s="493">
        <f t="shared" si="31"/>
        <v>100</v>
      </c>
      <c r="F101" s="493">
        <f t="shared" si="31"/>
        <v>100</v>
      </c>
      <c r="G101" s="493">
        <f t="shared" si="31"/>
        <v>100</v>
      </c>
      <c r="H101" s="493">
        <f t="shared" si="31"/>
        <v>100</v>
      </c>
      <c r="I101" s="493">
        <f t="shared" si="31"/>
        <v>100</v>
      </c>
      <c r="J101" s="493">
        <f t="shared" si="31"/>
        <v>100</v>
      </c>
      <c r="K101" s="493">
        <f t="shared" si="31"/>
        <v>100</v>
      </c>
      <c r="L101" s="493">
        <f t="shared" si="31"/>
        <v>100</v>
      </c>
      <c r="M101" s="493">
        <f t="shared" si="31"/>
        <v>100</v>
      </c>
      <c r="N101" s="934"/>
      <c r="O101" s="934"/>
      <c r="P101" s="1919"/>
      <c r="Q101" s="453"/>
    </row>
    <row r="102" spans="1:17" ht="15.75" thickTop="1">
      <c r="A102" s="483"/>
      <c r="B102" s="487" t="s">
        <v>1737</v>
      </c>
      <c r="C102" s="527" t="str">
        <f>C103&amp;"(含)"&amp;"-"&amp;D103</f>
        <v>0(含)-50</v>
      </c>
      <c r="D102" s="527" t="str">
        <f t="shared" ref="D102:L102" si="32">D103&amp;"(含)"&amp;"-"&amp;E103</f>
        <v>50(含)-100</v>
      </c>
      <c r="E102" s="527" t="str">
        <f t="shared" si="32"/>
        <v>100(含)-150</v>
      </c>
      <c r="F102" s="527" t="str">
        <f t="shared" si="32"/>
        <v>150(含)-200</v>
      </c>
      <c r="G102" s="527" t="str">
        <f t="shared" si="32"/>
        <v>200(含)-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19"/>
      <c r="Q102" s="453"/>
    </row>
    <row r="103" spans="1:17" s="422" customFormat="1">
      <c r="A103" s="542"/>
      <c r="B103" s="543"/>
      <c r="C103" s="544">
        <v>0</v>
      </c>
      <c r="D103" s="544">
        <v>50</v>
      </c>
      <c r="E103" s="544">
        <v>100</v>
      </c>
      <c r="F103" s="544">
        <v>150</v>
      </c>
      <c r="G103" s="544">
        <v>200</v>
      </c>
      <c r="H103" s="544"/>
      <c r="I103" s="544"/>
      <c r="J103" s="545"/>
      <c r="K103" s="545"/>
      <c r="L103" s="546"/>
      <c r="M103" s="547"/>
      <c r="N103" s="935"/>
      <c r="O103" s="935"/>
      <c r="P103" s="1920"/>
      <c r="Q103" s="508"/>
    </row>
    <row r="104" spans="1:17" s="422" customFormat="1" ht="15.75" thickBot="1">
      <c r="A104" s="502"/>
      <c r="B104" s="492"/>
      <c r="C104" s="509">
        <v>100</v>
      </c>
      <c r="D104" s="485">
        <v>98</v>
      </c>
      <c r="E104" s="485">
        <v>104</v>
      </c>
      <c r="F104" s="485">
        <v>102</v>
      </c>
      <c r="G104" s="485">
        <v>100</v>
      </c>
      <c r="H104" s="485"/>
      <c r="I104" s="485"/>
      <c r="J104" s="485"/>
      <c r="K104" s="485"/>
      <c r="L104" s="485"/>
      <c r="M104" s="485"/>
      <c r="N104" s="934"/>
      <c r="O104" s="934"/>
      <c r="P104" s="1920"/>
      <c r="Q104" s="508"/>
    </row>
    <row r="105" spans="1:17" ht="15" thickTop="1">
      <c r="A105" s="548"/>
      <c r="B105" s="487" t="s">
        <v>1738</v>
      </c>
      <c r="C105" s="3458" t="s">
        <v>3523</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3">
        <f t="shared" si="33"/>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19"/>
      <c r="Q108" s="453"/>
    </row>
    <row r="109" spans="1:17" ht="15" thickTop="1">
      <c r="A109" s="548"/>
      <c r="B109" s="487" t="s">
        <v>1740</v>
      </c>
      <c r="C109" s="3458" t="s">
        <v>3537</v>
      </c>
      <c r="D109" s="3458" t="s">
        <v>3538</v>
      </c>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35">C110-$K36</f>
        <v>100</v>
      </c>
      <c r="E110" s="493">
        <f t="shared" si="35"/>
        <v>100</v>
      </c>
      <c r="F110" s="493">
        <f t="shared" si="35"/>
        <v>100</v>
      </c>
      <c r="G110" s="493">
        <f t="shared" si="35"/>
        <v>100</v>
      </c>
      <c r="H110" s="493">
        <f t="shared" si="35"/>
        <v>100</v>
      </c>
      <c r="I110" s="493">
        <f t="shared" si="35"/>
        <v>100</v>
      </c>
      <c r="J110" s="493">
        <f t="shared" si="35"/>
        <v>100</v>
      </c>
      <c r="K110" s="493">
        <f t="shared" si="35"/>
        <v>100</v>
      </c>
      <c r="L110" s="493">
        <f t="shared" si="35"/>
        <v>100</v>
      </c>
      <c r="M110" s="493">
        <f t="shared" si="35"/>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458" t="s">
        <v>3525</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6">C115-$K38</f>
        <v>100</v>
      </c>
      <c r="E115" s="493">
        <f t="shared" si="36"/>
        <v>100</v>
      </c>
      <c r="F115" s="493">
        <f t="shared" si="36"/>
        <v>100</v>
      </c>
      <c r="G115" s="493">
        <f t="shared" si="36"/>
        <v>100</v>
      </c>
      <c r="H115" s="493">
        <f t="shared" si="36"/>
        <v>100</v>
      </c>
      <c r="I115" s="493">
        <f t="shared" si="36"/>
        <v>100</v>
      </c>
      <c r="J115" s="493">
        <f t="shared" si="36"/>
        <v>100</v>
      </c>
      <c r="K115" s="493">
        <f t="shared" si="36"/>
        <v>100</v>
      </c>
      <c r="L115" s="493">
        <f t="shared" si="36"/>
        <v>100</v>
      </c>
      <c r="M115" s="493">
        <f t="shared" si="36"/>
        <v>100</v>
      </c>
      <c r="N115" s="934"/>
      <c r="O115" s="934"/>
      <c r="P115" s="1919"/>
      <c r="Q115" s="453"/>
    </row>
    <row r="116" spans="1:17" ht="15" thickTop="1">
      <c r="A116" s="548"/>
      <c r="B116" s="487" t="s">
        <v>1742</v>
      </c>
      <c r="C116" s="3458" t="s">
        <v>3526</v>
      </c>
      <c r="D116" s="3458" t="s">
        <v>3528</v>
      </c>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486" t="s">
        <v>3530</v>
      </c>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7">C119-$K40</f>
        <v>100</v>
      </c>
      <c r="E119" s="493">
        <f t="shared" si="37"/>
        <v>100</v>
      </c>
      <c r="F119" s="493">
        <f t="shared" si="37"/>
        <v>100</v>
      </c>
      <c r="G119" s="493">
        <f t="shared" si="37"/>
        <v>100</v>
      </c>
      <c r="H119" s="493">
        <f t="shared" si="37"/>
        <v>100</v>
      </c>
      <c r="I119" s="493">
        <f t="shared" si="37"/>
        <v>100</v>
      </c>
      <c r="J119" s="493">
        <f t="shared" si="37"/>
        <v>100</v>
      </c>
      <c r="K119" s="493">
        <f t="shared" si="37"/>
        <v>100</v>
      </c>
      <c r="L119" s="493">
        <f t="shared" si="37"/>
        <v>100</v>
      </c>
      <c r="M119" s="493">
        <f t="shared" si="37"/>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58" t="s">
        <v>3537</v>
      </c>
      <c r="D122" s="3458" t="s">
        <v>3538</v>
      </c>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48.69</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1769</v>
      </c>
      <c r="B4" s="356"/>
      <c r="C4" s="3721" t="s">
        <v>1770</v>
      </c>
      <c r="D4" s="3722"/>
      <c r="E4" s="3723" t="s">
        <v>1771</v>
      </c>
      <c r="F4" s="3724"/>
      <c r="G4" s="3721" t="s">
        <v>1772</v>
      </c>
      <c r="H4" s="3722"/>
      <c r="I4" s="3721" t="s">
        <v>1773</v>
      </c>
      <c r="J4" s="3722"/>
      <c r="K4" s="559" t="s">
        <v>1774</v>
      </c>
      <c r="L4" s="2711"/>
      <c r="M4" s="2712"/>
      <c r="N4" s="2712"/>
      <c r="O4" s="2712"/>
      <c r="P4" s="3725" t="s">
        <v>1775</v>
      </c>
      <c r="Q4" s="3726"/>
      <c r="R4" s="3707" t="s">
        <v>1771</v>
      </c>
      <c r="S4" s="3708"/>
      <c r="T4" s="3707" t="s">
        <v>1772</v>
      </c>
      <c r="U4" s="3708"/>
      <c r="V4" s="3733" t="s">
        <v>1773</v>
      </c>
      <c r="W4" s="3733"/>
      <c r="X4" s="1354"/>
      <c r="Y4" s="3707" t="s">
        <v>1775</v>
      </c>
      <c r="Z4" s="3708"/>
      <c r="AA4" s="3702" t="s">
        <v>1771</v>
      </c>
      <c r="AB4" s="3733" t="s">
        <v>1772</v>
      </c>
      <c r="AC4" s="3702" t="s">
        <v>1773</v>
      </c>
    </row>
    <row r="5" spans="1:29" ht="15">
      <c r="A5" s="358"/>
      <c r="B5" s="359"/>
      <c r="C5" s="3717" t="s">
        <v>1673</v>
      </c>
      <c r="D5" s="3714"/>
      <c r="E5" s="3711" t="s">
        <v>1674</v>
      </c>
      <c r="F5" s="3712"/>
      <c r="G5" s="3717" t="s">
        <v>1675</v>
      </c>
      <c r="H5" s="3714"/>
      <c r="I5" s="3717" t="s">
        <v>1676</v>
      </c>
      <c r="J5" s="3714"/>
      <c r="K5" s="559"/>
      <c r="L5" s="2711"/>
      <c r="M5" s="2712"/>
      <c r="N5" s="2712"/>
      <c r="O5" s="2712"/>
      <c r="P5" s="3727"/>
      <c r="Q5" s="3728"/>
      <c r="R5" s="3709"/>
      <c r="S5" s="3710"/>
      <c r="T5" s="3709"/>
      <c r="U5" s="3710"/>
      <c r="V5" s="3733"/>
      <c r="W5" s="3733"/>
      <c r="X5" s="1354"/>
      <c r="Y5" s="3709"/>
      <c r="Z5" s="3710"/>
      <c r="AA5" s="3703"/>
      <c r="AB5" s="3733"/>
      <c r="AC5" s="3703"/>
    </row>
    <row r="6" spans="1:29" ht="15.75" thickBot="1">
      <c r="A6" s="360"/>
      <c r="B6" s="361"/>
      <c r="C6" s="3715" t="s">
        <v>1677</v>
      </c>
      <c r="D6" s="3716"/>
      <c r="E6" s="3718" t="s">
        <v>1677</v>
      </c>
      <c r="F6" s="3719"/>
      <c r="G6" s="3715" t="s">
        <v>1677</v>
      </c>
      <c r="H6" s="3716"/>
      <c r="I6" s="3715" t="s">
        <v>1677</v>
      </c>
      <c r="J6" s="3716"/>
      <c r="K6" s="559" t="s">
        <v>1678</v>
      </c>
      <c r="L6" s="2711"/>
      <c r="M6" s="2712"/>
      <c r="N6" s="2712"/>
      <c r="O6" s="2712"/>
      <c r="P6" s="3729"/>
      <c r="Q6" s="3730"/>
      <c r="R6" s="3709"/>
      <c r="S6" s="3710"/>
      <c r="T6" s="3731"/>
      <c r="U6" s="3732"/>
      <c r="V6" s="3733"/>
      <c r="W6" s="3733"/>
      <c r="X6" s="1354"/>
      <c r="Y6" s="3731"/>
      <c r="Z6" s="3732"/>
      <c r="AA6" s="3704"/>
      <c r="AB6" s="3733"/>
      <c r="AC6" s="3704"/>
    </row>
    <row r="7" spans="1:29" s="108" customFormat="1" ht="15.75" thickBot="1">
      <c r="A7" s="362" t="s">
        <v>1679</v>
      </c>
      <c r="B7" s="363"/>
      <c r="C7" s="364">
        <f>'数据-取费表'!B2</f>
        <v>45175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5" t="s">
        <v>1680</v>
      </c>
      <c r="Q7" s="3734"/>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0" t="s">
        <v>1686</v>
      </c>
      <c r="Q9" s="1342"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0"/>
      <c r="Q10" s="1342"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0"/>
      <c r="Q11" s="1342"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0"/>
      <c r="Q12" s="1342">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0"/>
      <c r="Q13" s="1342">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0"/>
      <c r="Q14" s="1342">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7" t="s">
        <v>1691</v>
      </c>
      <c r="Q15" s="1351" t="str">
        <f t="shared" si="6"/>
        <v>商业繁华度</v>
      </c>
      <c r="R15" s="705" t="s">
        <v>14</v>
      </c>
      <c r="S15" s="706">
        <f t="shared" si="0"/>
        <v>100</v>
      </c>
      <c r="T15" s="705" t="s">
        <v>14</v>
      </c>
      <c r="U15" s="706">
        <f t="shared" si="1"/>
        <v>100</v>
      </c>
      <c r="V15" s="705" t="s">
        <v>14</v>
      </c>
      <c r="W15" s="706">
        <f t="shared" si="2"/>
        <v>100</v>
      </c>
      <c r="X15" s="1354"/>
      <c r="Y15" s="374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48"/>
      <c r="Q16" s="1351"/>
      <c r="R16" s="705"/>
      <c r="S16" s="706"/>
      <c r="T16" s="705"/>
      <c r="U16" s="706"/>
      <c r="V16" s="705"/>
      <c r="W16" s="706"/>
      <c r="X16" s="1354"/>
      <c r="Y16" s="3741"/>
      <c r="Z16" s="1355"/>
      <c r="AA16" s="1352">
        <v>1</v>
      </c>
      <c r="AB16" s="1352">
        <v>1</v>
      </c>
      <c r="AC16" s="1352">
        <v>1</v>
      </c>
    </row>
    <row r="17" spans="1:29" ht="99.75">
      <c r="A17" s="379"/>
      <c r="B17" s="402" t="s">
        <v>1259</v>
      </c>
      <c r="C17" s="1899" t="str">
        <f>估价对象房地状况!C6</f>
        <v>周边有31路、138路、421路、486路、985路等多条公交线路，距离地铁1、14号线大望路站约600米，交通较便捷。</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48"/>
      <c r="Q17" s="1351" t="str">
        <f>B17</f>
        <v>交通便捷度</v>
      </c>
      <c r="R17" s="705" t="s">
        <v>14</v>
      </c>
      <c r="S17" s="706">
        <f>F17</f>
        <v>100</v>
      </c>
      <c r="T17" s="705" t="s">
        <v>14</v>
      </c>
      <c r="U17" s="706">
        <f>H17</f>
        <v>100</v>
      </c>
      <c r="V17" s="705" t="s">
        <v>14</v>
      </c>
      <c r="W17" s="706">
        <f>J17</f>
        <v>100</v>
      </c>
      <c r="X17" s="1354"/>
      <c r="Y17" s="374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48"/>
      <c r="Q18" s="1351"/>
      <c r="R18" s="705"/>
      <c r="S18" s="706"/>
      <c r="T18" s="705"/>
      <c r="U18" s="706"/>
      <c r="V18" s="705"/>
      <c r="W18" s="706"/>
      <c r="X18" s="1354"/>
      <c r="Y18" s="3741"/>
      <c r="Z18" s="1355"/>
      <c r="AA18" s="1352">
        <v>1</v>
      </c>
      <c r="AB18" s="1352">
        <v>1</v>
      </c>
      <c r="AC18" s="1352">
        <v>1</v>
      </c>
    </row>
    <row r="19" spans="1:29" ht="370.5">
      <c r="A19" s="379"/>
      <c r="B19" s="402" t="s">
        <v>1778</v>
      </c>
      <c r="C19" s="1899" t="str">
        <f>估价对象房地状况!C7</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8"/>
      <c r="Q19" s="1351" t="str">
        <f>B19</f>
        <v>公共配套设施</v>
      </c>
      <c r="R19" s="705" t="s">
        <v>14</v>
      </c>
      <c r="S19" s="706">
        <f>F19</f>
        <v>100</v>
      </c>
      <c r="T19" s="705" t="s">
        <v>14</v>
      </c>
      <c r="U19" s="706">
        <f>H19</f>
        <v>100</v>
      </c>
      <c r="V19" s="705" t="s">
        <v>14</v>
      </c>
      <c r="W19" s="706">
        <f>J19</f>
        <v>100</v>
      </c>
      <c r="X19" s="1354"/>
      <c r="Y19" s="374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48"/>
      <c r="Q20" s="1351"/>
      <c r="R20" s="705"/>
      <c r="S20" s="706"/>
      <c r="T20" s="705"/>
      <c r="U20" s="706"/>
      <c r="V20" s="705"/>
      <c r="W20" s="706"/>
      <c r="X20" s="1354"/>
      <c r="Y20" s="3741"/>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8"/>
      <c r="Q21" s="1351" t="str">
        <f>B21</f>
        <v>基础设施水平</v>
      </c>
      <c r="R21" s="705" t="s">
        <v>14</v>
      </c>
      <c r="S21" s="706">
        <f>F21</f>
        <v>100</v>
      </c>
      <c r="T21" s="705" t="s">
        <v>14</v>
      </c>
      <c r="U21" s="706">
        <f>H21</f>
        <v>100</v>
      </c>
      <c r="V21" s="705" t="s">
        <v>14</v>
      </c>
      <c r="W21" s="706">
        <f>J21</f>
        <v>100</v>
      </c>
      <c r="X21" s="1354"/>
      <c r="Y21" s="374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8"/>
      <c r="M22" s="2712"/>
      <c r="N22" s="2712"/>
      <c r="O22" s="2712"/>
      <c r="P22" s="3748"/>
      <c r="Q22" s="1351"/>
      <c r="R22" s="705"/>
      <c r="S22" s="706"/>
      <c r="T22" s="705"/>
      <c r="U22" s="706"/>
      <c r="V22" s="705"/>
      <c r="W22" s="706"/>
      <c r="X22" s="1354"/>
      <c r="Y22" s="3741"/>
      <c r="Z22" s="1355"/>
      <c r="AA22" s="1352">
        <v>1</v>
      </c>
      <c r="AB22" s="1352">
        <v>1</v>
      </c>
      <c r="AC22" s="1352">
        <v>1</v>
      </c>
    </row>
    <row r="23" spans="1:29" ht="128.25">
      <c r="A23" s="379"/>
      <c r="B23" s="402" t="s">
        <v>1261</v>
      </c>
      <c r="C23" s="1952" t="str">
        <f>估价对象房地状况!C9</f>
        <v>估价对象周边有通惠河、庆丰公园、团结湖公园等自然环境；有中央广播电视总台、首经贸大学等人文环境，综合评价自然人文环境较好。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8"/>
      <c r="Q23" s="1351" t="str">
        <f>B23</f>
        <v>自然及人文环境</v>
      </c>
      <c r="R23" s="705" t="s">
        <v>14</v>
      </c>
      <c r="S23" s="706">
        <f>F23</f>
        <v>100</v>
      </c>
      <c r="T23" s="705" t="s">
        <v>14</v>
      </c>
      <c r="U23" s="706">
        <f>H23</f>
        <v>100</v>
      </c>
      <c r="V23" s="705" t="s">
        <v>14</v>
      </c>
      <c r="W23" s="706">
        <f>J23</f>
        <v>100</v>
      </c>
      <c r="X23" s="1354"/>
      <c r="Y23" s="374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48"/>
      <c r="Q24" s="1351"/>
      <c r="R24" s="705"/>
      <c r="S24" s="706"/>
      <c r="T24" s="705"/>
      <c r="U24" s="706"/>
      <c r="V24" s="705"/>
      <c r="W24" s="706"/>
      <c r="X24" s="1354"/>
      <c r="Y24" s="374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48"/>
      <c r="Q25" s="1351" t="str">
        <f t="shared" ref="Q25:Q46" si="11">B25</f>
        <v>临街状况</v>
      </c>
      <c r="R25" s="705" t="s">
        <v>14</v>
      </c>
      <c r="S25" s="706">
        <f>F25</f>
        <v>100</v>
      </c>
      <c r="T25" s="705" t="s">
        <v>14</v>
      </c>
      <c r="U25" s="706">
        <f>H25</f>
        <v>100</v>
      </c>
      <c r="V25" s="705" t="s">
        <v>14</v>
      </c>
      <c r="W25" s="706">
        <f>J25</f>
        <v>100</v>
      </c>
      <c r="X25" s="1354"/>
      <c r="Y25" s="3741"/>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8"/>
      <c r="Q26" s="1351" t="str">
        <f t="shared" si="11"/>
        <v>平面位置/可视性</v>
      </c>
      <c r="R26" s="705" t="s">
        <v>14</v>
      </c>
      <c r="S26" s="706">
        <f>F26</f>
        <v>100</v>
      </c>
      <c r="T26" s="705" t="s">
        <v>14</v>
      </c>
      <c r="U26" s="706">
        <f>H26</f>
        <v>100</v>
      </c>
      <c r="V26" s="705" t="s">
        <v>14</v>
      </c>
      <c r="W26" s="706">
        <f>J26</f>
        <v>100</v>
      </c>
      <c r="X26" s="1354"/>
      <c r="Y26" s="3741"/>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48"/>
      <c r="Q27" s="1342" t="str">
        <f t="shared" si="11"/>
        <v>人流量</v>
      </c>
      <c r="R27" s="701" t="s">
        <v>14</v>
      </c>
      <c r="S27" s="702">
        <f>F27</f>
        <v>100</v>
      </c>
      <c r="T27" s="701" t="s">
        <v>14</v>
      </c>
      <c r="U27" s="702">
        <f>H27</f>
        <v>100</v>
      </c>
      <c r="V27" s="701" t="s">
        <v>14</v>
      </c>
      <c r="W27" s="702">
        <f>J27</f>
        <v>100</v>
      </c>
      <c r="X27" s="703"/>
      <c r="Y27" s="374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4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8"/>
      <c r="Q29" s="1351">
        <f t="shared" si="11"/>
        <v>111</v>
      </c>
      <c r="R29" s="705" t="s">
        <v>14</v>
      </c>
      <c r="S29" s="706">
        <f t="shared" si="12"/>
        <v>100</v>
      </c>
      <c r="T29" s="705" t="s">
        <v>14</v>
      </c>
      <c r="U29" s="706">
        <f t="shared" si="13"/>
        <v>100</v>
      </c>
      <c r="V29" s="705" t="s">
        <v>14</v>
      </c>
      <c r="W29" s="706">
        <f t="shared" si="14"/>
        <v>100</v>
      </c>
      <c r="X29" s="1354"/>
      <c r="Y29" s="374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8"/>
      <c r="Q30" s="1351">
        <f t="shared" si="11"/>
        <v>111</v>
      </c>
      <c r="R30" s="705" t="s">
        <v>14</v>
      </c>
      <c r="S30" s="706">
        <f t="shared" si="12"/>
        <v>100</v>
      </c>
      <c r="T30" s="705" t="s">
        <v>14</v>
      </c>
      <c r="U30" s="706">
        <f t="shared" si="13"/>
        <v>100</v>
      </c>
      <c r="V30" s="705" t="s">
        <v>14</v>
      </c>
      <c r="W30" s="706">
        <f t="shared" si="14"/>
        <v>100</v>
      </c>
      <c r="X30" s="1354"/>
      <c r="Y30" s="374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8"/>
      <c r="Q31" s="1351">
        <f t="shared" si="11"/>
        <v>111</v>
      </c>
      <c r="R31" s="705" t="s">
        <v>14</v>
      </c>
      <c r="S31" s="706">
        <f t="shared" si="12"/>
        <v>100</v>
      </c>
      <c r="T31" s="705" t="s">
        <v>14</v>
      </c>
      <c r="U31" s="706">
        <f t="shared" si="13"/>
        <v>100</v>
      </c>
      <c r="V31" s="705" t="s">
        <v>14</v>
      </c>
      <c r="W31" s="706">
        <f t="shared" si="14"/>
        <v>100</v>
      </c>
      <c r="X31" s="1354"/>
      <c r="Y31" s="374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42" t="s">
        <v>1696</v>
      </c>
      <c r="Q32" s="1351" t="str">
        <f t="shared" si="11"/>
        <v>商业类型</v>
      </c>
      <c r="R32" s="705" t="s">
        <v>14</v>
      </c>
      <c r="S32" s="706">
        <f t="shared" si="12"/>
        <v>100</v>
      </c>
      <c r="T32" s="705" t="s">
        <v>14</v>
      </c>
      <c r="U32" s="706">
        <f t="shared" si="13"/>
        <v>100</v>
      </c>
      <c r="V32" s="705" t="s">
        <v>14</v>
      </c>
      <c r="W32" s="706">
        <f t="shared" si="14"/>
        <v>100</v>
      </c>
      <c r="X32" s="1354"/>
      <c r="Y32" s="374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3"/>
      <c r="Q33" s="707" t="str">
        <f t="shared" si="11"/>
        <v>项目建筑规模</v>
      </c>
      <c r="R33" s="708" t="s">
        <v>14</v>
      </c>
      <c r="S33" s="709" t="e">
        <f t="shared" si="12"/>
        <v>#N/A</v>
      </c>
      <c r="T33" s="708" t="s">
        <v>14</v>
      </c>
      <c r="U33" s="709" t="e">
        <f t="shared" si="13"/>
        <v>#N/A</v>
      </c>
      <c r="V33" s="708" t="s">
        <v>14</v>
      </c>
      <c r="W33" s="709" t="e">
        <f t="shared" si="14"/>
        <v>#N/A</v>
      </c>
      <c r="X33" s="710"/>
      <c r="Y33" s="3745"/>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743"/>
      <c r="Q34" s="1351" t="str">
        <f t="shared" si="11"/>
        <v>建筑结构</v>
      </c>
      <c r="R34" s="705" t="s">
        <v>14</v>
      </c>
      <c r="S34" s="706">
        <f t="shared" si="12"/>
        <v>100</v>
      </c>
      <c r="T34" s="705" t="s">
        <v>14</v>
      </c>
      <c r="U34" s="706">
        <f t="shared" si="13"/>
        <v>100</v>
      </c>
      <c r="V34" s="705" t="s">
        <v>14</v>
      </c>
      <c r="W34" s="706">
        <f t="shared" si="14"/>
        <v>100</v>
      </c>
      <c r="X34" s="1354"/>
      <c r="Y34" s="374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43"/>
      <c r="Q35" s="1351" t="str">
        <f t="shared" si="11"/>
        <v>公共部分装修</v>
      </c>
      <c r="R35" s="705" t="s">
        <v>14</v>
      </c>
      <c r="S35" s="706">
        <f t="shared" si="12"/>
        <v>100</v>
      </c>
      <c r="T35" s="705" t="s">
        <v>14</v>
      </c>
      <c r="U35" s="706">
        <f t="shared" si="13"/>
        <v>100</v>
      </c>
      <c r="V35" s="705" t="s">
        <v>14</v>
      </c>
      <c r="W35" s="706">
        <f t="shared" si="14"/>
        <v>100</v>
      </c>
      <c r="X35" s="1354"/>
      <c r="Y35" s="374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3"/>
      <c r="Q36" s="1351" t="str">
        <f t="shared" si="11"/>
        <v>成新度</v>
      </c>
      <c r="R36" s="705" t="s">
        <v>14</v>
      </c>
      <c r="S36" s="706" t="e">
        <f t="shared" si="12"/>
        <v>#N/A</v>
      </c>
      <c r="T36" s="705" t="s">
        <v>14</v>
      </c>
      <c r="U36" s="706" t="e">
        <f t="shared" si="13"/>
        <v>#N/A</v>
      </c>
      <c r="V36" s="705" t="s">
        <v>14</v>
      </c>
      <c r="W36" s="706" t="e">
        <f t="shared" si="14"/>
        <v>#N/A</v>
      </c>
      <c r="X36" s="1354"/>
      <c r="Y36" s="374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43"/>
      <c r="Q37" s="1342" t="str">
        <f t="shared" si="11"/>
        <v>市政基础设施</v>
      </c>
      <c r="R37" s="701" t="s">
        <v>14</v>
      </c>
      <c r="S37" s="702">
        <f t="shared" si="12"/>
        <v>100</v>
      </c>
      <c r="T37" s="701" t="s">
        <v>14</v>
      </c>
      <c r="U37" s="702">
        <f t="shared" si="13"/>
        <v>100</v>
      </c>
      <c r="V37" s="701" t="s">
        <v>14</v>
      </c>
      <c r="W37" s="702">
        <f t="shared" si="14"/>
        <v>100</v>
      </c>
      <c r="X37" s="703"/>
      <c r="Y37" s="374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43" t="s">
        <v>1696</v>
      </c>
      <c r="Q38" s="1351" t="str">
        <f t="shared" si="11"/>
        <v>业态</v>
      </c>
      <c r="R38" s="705" t="s">
        <v>14</v>
      </c>
      <c r="S38" s="706">
        <f t="shared" si="12"/>
        <v>100</v>
      </c>
      <c r="T38" s="705" t="s">
        <v>14</v>
      </c>
      <c r="U38" s="706">
        <f t="shared" si="13"/>
        <v>100</v>
      </c>
      <c r="V38" s="705" t="s">
        <v>14</v>
      </c>
      <c r="W38" s="706">
        <f t="shared" si="14"/>
        <v>100</v>
      </c>
      <c r="X38" s="1354"/>
      <c r="Y38" s="374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43"/>
      <c r="Q39" s="1351" t="str">
        <f t="shared" si="11"/>
        <v>层高</v>
      </c>
      <c r="R39" s="705" t="s">
        <v>14</v>
      </c>
      <c r="S39" s="706">
        <f t="shared" si="12"/>
        <v>100</v>
      </c>
      <c r="T39" s="705" t="s">
        <v>14</v>
      </c>
      <c r="U39" s="706">
        <f t="shared" si="13"/>
        <v>100</v>
      </c>
      <c r="V39" s="705" t="s">
        <v>14</v>
      </c>
      <c r="W39" s="706">
        <f t="shared" si="14"/>
        <v>100</v>
      </c>
      <c r="X39" s="1354"/>
      <c r="Y39" s="374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3"/>
      <c r="Q40" s="1351" t="str">
        <f t="shared" si="11"/>
        <v>单套建筑面积</v>
      </c>
      <c r="R40" s="705" t="s">
        <v>14</v>
      </c>
      <c r="S40" s="706">
        <f t="shared" si="12"/>
        <v>100</v>
      </c>
      <c r="T40" s="705" t="s">
        <v>14</v>
      </c>
      <c r="U40" s="706">
        <f t="shared" si="13"/>
        <v>100</v>
      </c>
      <c r="V40" s="705" t="s">
        <v>14</v>
      </c>
      <c r="W40" s="706">
        <f t="shared" si="14"/>
        <v>100</v>
      </c>
      <c r="X40" s="1354"/>
      <c r="Y40" s="374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3"/>
      <c r="Q41" s="707" t="str">
        <f t="shared" si="11"/>
        <v>进深比</v>
      </c>
      <c r="R41" s="708" t="s">
        <v>14</v>
      </c>
      <c r="S41" s="709">
        <f t="shared" si="12"/>
        <v>100</v>
      </c>
      <c r="T41" s="708" t="s">
        <v>14</v>
      </c>
      <c r="U41" s="709">
        <f t="shared" si="13"/>
        <v>100</v>
      </c>
      <c r="V41" s="708" t="s">
        <v>14</v>
      </c>
      <c r="W41" s="709">
        <f t="shared" si="14"/>
        <v>100</v>
      </c>
      <c r="X41" s="710"/>
      <c r="Y41" s="374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43"/>
      <c r="Q42" s="1351" t="str">
        <f t="shared" si="11"/>
        <v>内部装修</v>
      </c>
      <c r="R42" s="705" t="s">
        <v>14</v>
      </c>
      <c r="S42" s="706">
        <f t="shared" si="12"/>
        <v>100</v>
      </c>
      <c r="T42" s="705" t="s">
        <v>14</v>
      </c>
      <c r="U42" s="706">
        <f t="shared" si="13"/>
        <v>100</v>
      </c>
      <c r="V42" s="705" t="s">
        <v>14</v>
      </c>
      <c r="W42" s="706">
        <f t="shared" si="14"/>
        <v>100</v>
      </c>
      <c r="X42" s="1354"/>
      <c r="Y42" s="374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43"/>
      <c r="Q43" s="1351" t="str">
        <f t="shared" si="11"/>
        <v>内部装修维护情况</v>
      </c>
      <c r="R43" s="705" t="s">
        <v>14</v>
      </c>
      <c r="S43" s="706">
        <f t="shared" si="12"/>
        <v>100</v>
      </c>
      <c r="T43" s="705" t="s">
        <v>14</v>
      </c>
      <c r="U43" s="706">
        <f t="shared" si="13"/>
        <v>100</v>
      </c>
      <c r="V43" s="705" t="s">
        <v>14</v>
      </c>
      <c r="W43" s="706">
        <f t="shared" si="14"/>
        <v>100</v>
      </c>
      <c r="X43" s="1354"/>
      <c r="Y43" s="374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3"/>
      <c r="Q44" s="1342">
        <f t="shared" si="11"/>
        <v>111</v>
      </c>
      <c r="R44" s="701" t="s">
        <v>14</v>
      </c>
      <c r="S44" s="702">
        <f t="shared" si="12"/>
        <v>100</v>
      </c>
      <c r="T44" s="701" t="s">
        <v>14</v>
      </c>
      <c r="U44" s="702">
        <f t="shared" si="13"/>
        <v>100</v>
      </c>
      <c r="V44" s="701" t="s">
        <v>14</v>
      </c>
      <c r="W44" s="702">
        <f t="shared" si="14"/>
        <v>100</v>
      </c>
      <c r="X44" s="703"/>
      <c r="Y44" s="374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3"/>
      <c r="Q45" s="1351">
        <f t="shared" si="11"/>
        <v>111</v>
      </c>
      <c r="R45" s="705" t="s">
        <v>14</v>
      </c>
      <c r="S45" s="706">
        <f t="shared" si="12"/>
        <v>100</v>
      </c>
      <c r="T45" s="705" t="s">
        <v>14</v>
      </c>
      <c r="U45" s="706">
        <f t="shared" si="13"/>
        <v>100</v>
      </c>
      <c r="V45" s="705" t="s">
        <v>14</v>
      </c>
      <c r="W45" s="706">
        <f t="shared" si="14"/>
        <v>100</v>
      </c>
      <c r="X45" s="1354"/>
      <c r="Y45" s="374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4"/>
      <c r="Q46" s="1351">
        <f t="shared" si="11"/>
        <v>111</v>
      </c>
      <c r="R46" s="705" t="s">
        <v>14</v>
      </c>
      <c r="S46" s="706">
        <f t="shared" si="12"/>
        <v>100</v>
      </c>
      <c r="T46" s="705" t="s">
        <v>14</v>
      </c>
      <c r="U46" s="706">
        <f t="shared" si="13"/>
        <v>100</v>
      </c>
      <c r="V46" s="705" t="s">
        <v>14</v>
      </c>
      <c r="W46" s="706">
        <f t="shared" si="14"/>
        <v>100</v>
      </c>
      <c r="X46" s="1354"/>
      <c r="Y46" s="3746"/>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38" t="str">
        <f>A47</f>
        <v>成交单价（元/平方米）</v>
      </c>
      <c r="Q47" s="3738"/>
      <c r="R47" s="3733">
        <f>E47</f>
        <v>0</v>
      </c>
      <c r="S47" s="3733"/>
      <c r="T47" s="3733">
        <f>G47</f>
        <v>0</v>
      </c>
      <c r="U47" s="3733"/>
      <c r="V47" s="3733">
        <f>I47</f>
        <v>0</v>
      </c>
      <c r="W47" s="3733"/>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0"/>
      <c r="M48" s="2721"/>
      <c r="N48" s="2712"/>
      <c r="O48" s="2721"/>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48.69</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21" t="s">
        <v>1770</v>
      </c>
      <c r="D4" s="3722"/>
      <c r="E4" s="3723" t="s">
        <v>1771</v>
      </c>
      <c r="F4" s="3724"/>
      <c r="G4" s="3721" t="s">
        <v>1772</v>
      </c>
      <c r="H4" s="3722"/>
      <c r="I4" s="3721" t="s">
        <v>1773</v>
      </c>
      <c r="J4" s="3722"/>
      <c r="K4" s="559" t="s">
        <v>1774</v>
      </c>
      <c r="L4" s="2711"/>
      <c r="M4" s="2712"/>
      <c r="N4" s="2712"/>
      <c r="O4" s="2712"/>
      <c r="P4" s="3755" t="s">
        <v>1775</v>
      </c>
      <c r="Q4" s="3756"/>
      <c r="R4" s="3750" t="s">
        <v>1771</v>
      </c>
      <c r="S4" s="3751"/>
      <c r="T4" s="3750" t="s">
        <v>1772</v>
      </c>
      <c r="U4" s="3751"/>
      <c r="V4" s="3759" t="s">
        <v>1773</v>
      </c>
      <c r="W4" s="3759"/>
      <c r="X4" s="1955"/>
      <c r="Y4" s="3750" t="s">
        <v>1775</v>
      </c>
      <c r="Z4" s="3751"/>
      <c r="AA4" s="3749" t="s">
        <v>1771</v>
      </c>
      <c r="AB4" s="3749" t="s">
        <v>1772</v>
      </c>
      <c r="AC4" s="3752" t="s">
        <v>1773</v>
      </c>
    </row>
    <row r="5" spans="1:29" ht="15">
      <c r="A5" s="358"/>
      <c r="B5" s="359"/>
      <c r="C5" s="3717" t="s">
        <v>1673</v>
      </c>
      <c r="D5" s="3714"/>
      <c r="E5" s="3711" t="s">
        <v>1674</v>
      </c>
      <c r="F5" s="3712"/>
      <c r="G5" s="3717" t="s">
        <v>1675</v>
      </c>
      <c r="H5" s="3714"/>
      <c r="I5" s="3717" t="s">
        <v>1676</v>
      </c>
      <c r="J5" s="3714"/>
      <c r="K5" s="559"/>
      <c r="L5" s="2711"/>
      <c r="M5" s="2712"/>
      <c r="N5" s="2712"/>
      <c r="O5" s="2712"/>
      <c r="P5" s="3757"/>
      <c r="Q5" s="3728"/>
      <c r="R5" s="3709"/>
      <c r="S5" s="3710"/>
      <c r="T5" s="3709"/>
      <c r="U5" s="3710"/>
      <c r="V5" s="3733"/>
      <c r="W5" s="3733"/>
      <c r="X5" s="1354"/>
      <c r="Y5" s="3709"/>
      <c r="Z5" s="3710"/>
      <c r="AA5" s="3703"/>
      <c r="AB5" s="3703"/>
      <c r="AC5" s="3753"/>
    </row>
    <row r="6" spans="1:29" ht="15.75" thickBot="1">
      <c r="A6" s="360"/>
      <c r="B6" s="361"/>
      <c r="C6" s="3715" t="s">
        <v>1677</v>
      </c>
      <c r="D6" s="3716"/>
      <c r="E6" s="3718" t="s">
        <v>1677</v>
      </c>
      <c r="F6" s="3719"/>
      <c r="G6" s="3715" t="s">
        <v>1677</v>
      </c>
      <c r="H6" s="3716"/>
      <c r="I6" s="3715" t="s">
        <v>1677</v>
      </c>
      <c r="J6" s="3716"/>
      <c r="K6" s="559" t="s">
        <v>1678</v>
      </c>
      <c r="L6" s="2711"/>
      <c r="M6" s="2712"/>
      <c r="N6" s="2712"/>
      <c r="O6" s="2712"/>
      <c r="P6" s="3758"/>
      <c r="Q6" s="3730"/>
      <c r="R6" s="3709"/>
      <c r="S6" s="3710"/>
      <c r="T6" s="3731"/>
      <c r="U6" s="3732"/>
      <c r="V6" s="3733"/>
      <c r="W6" s="3733"/>
      <c r="X6" s="1354"/>
      <c r="Y6" s="3731"/>
      <c r="Z6" s="3732"/>
      <c r="AA6" s="3704"/>
      <c r="AB6" s="3704"/>
      <c r="AC6" s="3754"/>
    </row>
    <row r="7" spans="1:29" s="108" customFormat="1" ht="15.75" thickBot="1">
      <c r="A7" s="362" t="s">
        <v>1679</v>
      </c>
      <c r="B7" s="363"/>
      <c r="C7" s="364">
        <f>'数据-取费表'!B2</f>
        <v>45175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0" t="s">
        <v>1680</v>
      </c>
      <c r="Q7" s="3734"/>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0"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0" t="s">
        <v>1686</v>
      </c>
      <c r="Q9" s="1342"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0"/>
      <c r="Q10" s="1342"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0"/>
      <c r="Q11" s="1342"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20"/>
      <c r="Q12" s="1342">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20"/>
      <c r="Q13" s="1342">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720"/>
      <c r="Q14" s="1342">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7" t="s">
        <v>1691</v>
      </c>
      <c r="Q15" s="1351" t="str">
        <f t="shared" si="6"/>
        <v>办公集聚程度</v>
      </c>
      <c r="R15" s="705" t="s">
        <v>14</v>
      </c>
      <c r="S15" s="706">
        <f t="shared" si="0"/>
        <v>100</v>
      </c>
      <c r="T15" s="705" t="s">
        <v>14</v>
      </c>
      <c r="U15" s="706">
        <f t="shared" si="1"/>
        <v>100</v>
      </c>
      <c r="V15" s="705" t="s">
        <v>14</v>
      </c>
      <c r="W15" s="706">
        <f t="shared" si="2"/>
        <v>100</v>
      </c>
      <c r="X15" s="1354"/>
      <c r="Y15" s="3740"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8"/>
      <c r="M16" s="2712"/>
      <c r="N16" s="2712"/>
      <c r="O16" s="2712"/>
      <c r="P16" s="3748"/>
      <c r="Q16" s="1351"/>
      <c r="R16" s="705"/>
      <c r="S16" s="706"/>
      <c r="T16" s="705"/>
      <c r="U16" s="706"/>
      <c r="V16" s="705"/>
      <c r="W16" s="706"/>
      <c r="X16" s="1354"/>
      <c r="Y16" s="3741"/>
      <c r="Z16" s="1355"/>
      <c r="AA16" s="1352">
        <v>1</v>
      </c>
      <c r="AB16" s="1352">
        <v>1</v>
      </c>
      <c r="AC16" s="1959">
        <v>1</v>
      </c>
    </row>
    <row r="17" spans="1:29" ht="99.75">
      <c r="A17" s="379"/>
      <c r="B17" s="579" t="s">
        <v>1259</v>
      </c>
      <c r="C17" s="1960" t="str">
        <f>估价对象房地状况!C6</f>
        <v>周边有31路、138路、421路、486路、985路等多条公交线路，距离地铁1、14号线大望路站约600米，交通较便捷。</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8"/>
      <c r="Q17" s="1351" t="str">
        <f>B17</f>
        <v>交通便捷度</v>
      </c>
      <c r="R17" s="705" t="s">
        <v>14</v>
      </c>
      <c r="S17" s="706">
        <f>F17</f>
        <v>100</v>
      </c>
      <c r="T17" s="705" t="s">
        <v>14</v>
      </c>
      <c r="U17" s="706">
        <f>H17</f>
        <v>100</v>
      </c>
      <c r="V17" s="705" t="s">
        <v>14</v>
      </c>
      <c r="W17" s="706">
        <f>J17</f>
        <v>100</v>
      </c>
      <c r="X17" s="1354"/>
      <c r="Y17" s="3741"/>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8"/>
      <c r="M18" s="2712"/>
      <c r="N18" s="2712"/>
      <c r="O18" s="2712"/>
      <c r="P18" s="3748"/>
      <c r="Q18" s="1351"/>
      <c r="R18" s="705"/>
      <c r="S18" s="706"/>
      <c r="T18" s="705"/>
      <c r="U18" s="706"/>
      <c r="V18" s="705"/>
      <c r="W18" s="706"/>
      <c r="X18" s="1354"/>
      <c r="Y18" s="3741"/>
      <c r="Z18" s="1355"/>
      <c r="AA18" s="1352">
        <v>1</v>
      </c>
      <c r="AB18" s="1352">
        <v>1</v>
      </c>
      <c r="AC18" s="1959">
        <v>1</v>
      </c>
    </row>
    <row r="19" spans="1:29" ht="327.75">
      <c r="A19" s="379"/>
      <c r="B19" s="579" t="s">
        <v>1812</v>
      </c>
      <c r="C19" s="1960" t="str">
        <f>估价对象房地状况!C7</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8"/>
      <c r="Q19" s="1351" t="str">
        <f>B19</f>
        <v>公共配套设施</v>
      </c>
      <c r="R19" s="705" t="s">
        <v>14</v>
      </c>
      <c r="S19" s="706">
        <f>F19</f>
        <v>100</v>
      </c>
      <c r="T19" s="705" t="s">
        <v>14</v>
      </c>
      <c r="U19" s="706">
        <f>H19</f>
        <v>100</v>
      </c>
      <c r="V19" s="705" t="s">
        <v>14</v>
      </c>
      <c r="W19" s="706">
        <f>J19</f>
        <v>100</v>
      </c>
      <c r="X19" s="1354"/>
      <c r="Y19" s="3741"/>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8"/>
      <c r="M20" s="2712"/>
      <c r="N20" s="2712"/>
      <c r="O20" s="2712"/>
      <c r="P20" s="3748"/>
      <c r="Q20" s="1351"/>
      <c r="R20" s="705"/>
      <c r="S20" s="706"/>
      <c r="T20" s="705"/>
      <c r="U20" s="706"/>
      <c r="V20" s="705"/>
      <c r="W20" s="706"/>
      <c r="X20" s="1354"/>
      <c r="Y20" s="3741"/>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8"/>
      <c r="Q21" s="1351" t="str">
        <f>B21</f>
        <v>基础设施水平</v>
      </c>
      <c r="R21" s="705" t="s">
        <v>14</v>
      </c>
      <c r="S21" s="706">
        <f>F21</f>
        <v>100</v>
      </c>
      <c r="T21" s="705" t="s">
        <v>14</v>
      </c>
      <c r="U21" s="706">
        <f>H21</f>
        <v>100</v>
      </c>
      <c r="V21" s="705" t="s">
        <v>14</v>
      </c>
      <c r="W21" s="706">
        <f>J21</f>
        <v>100</v>
      </c>
      <c r="X21" s="1354"/>
      <c r="Y21" s="3741"/>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8"/>
      <c r="M22" s="2712"/>
      <c r="N22" s="2712"/>
      <c r="O22" s="2712"/>
      <c r="P22" s="3748"/>
      <c r="Q22" s="1351"/>
      <c r="R22" s="705"/>
      <c r="S22" s="706"/>
      <c r="T22" s="705"/>
      <c r="U22" s="706"/>
      <c r="V22" s="705"/>
      <c r="W22" s="706"/>
      <c r="X22" s="1354"/>
      <c r="Y22" s="3741"/>
      <c r="Z22" s="1355"/>
      <c r="AA22" s="1352">
        <v>1</v>
      </c>
      <c r="AB22" s="1352">
        <v>1</v>
      </c>
      <c r="AC22" s="1959">
        <v>1</v>
      </c>
    </row>
    <row r="23" spans="1:29" ht="114">
      <c r="A23" s="379"/>
      <c r="B23" s="579" t="s">
        <v>1814</v>
      </c>
      <c r="C23" s="1960" t="str">
        <f>估价对象房地状况!C9</f>
        <v>估价对象周边有通惠河、庆丰公园、团结湖公园等自然环境；有中央广播电视总台、首经贸大学等人文环境，综合评价自然人文环境较好。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8"/>
      <c r="Q23" s="1351" t="str">
        <f>B23</f>
        <v>环境质量</v>
      </c>
      <c r="R23" s="705" t="s">
        <v>14</v>
      </c>
      <c r="S23" s="706">
        <f>F23</f>
        <v>100</v>
      </c>
      <c r="T23" s="705" t="s">
        <v>14</v>
      </c>
      <c r="U23" s="706">
        <f>H23</f>
        <v>100</v>
      </c>
      <c r="V23" s="705" t="s">
        <v>14</v>
      </c>
      <c r="W23" s="706">
        <f>J23</f>
        <v>100</v>
      </c>
      <c r="X23" s="1354"/>
      <c r="Y23" s="3741"/>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8"/>
      <c r="M24" s="2712"/>
      <c r="N24" s="2712"/>
      <c r="O24" s="2712"/>
      <c r="P24" s="3748"/>
      <c r="Q24" s="1351"/>
      <c r="R24" s="705"/>
      <c r="S24" s="706"/>
      <c r="T24" s="705"/>
      <c r="U24" s="706"/>
      <c r="V24" s="705"/>
      <c r="W24" s="706"/>
      <c r="X24" s="1354"/>
      <c r="Y24" s="3741"/>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48"/>
      <c r="Q25" s="1351" t="str">
        <f>B25</f>
        <v>毗邻道路的类型与等级</v>
      </c>
      <c r="R25" s="705" t="s">
        <v>14</v>
      </c>
      <c r="S25" s="706">
        <f>F25</f>
        <v>100</v>
      </c>
      <c r="T25" s="705" t="s">
        <v>14</v>
      </c>
      <c r="U25" s="706">
        <f>H25</f>
        <v>100</v>
      </c>
      <c r="V25" s="705" t="s">
        <v>14</v>
      </c>
      <c r="W25" s="706">
        <f>J25</f>
        <v>100</v>
      </c>
      <c r="X25" s="1354"/>
      <c r="Y25" s="3741"/>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8"/>
      <c r="M26" s="2712"/>
      <c r="N26" s="2712"/>
      <c r="O26" s="2712"/>
      <c r="P26" s="3748"/>
      <c r="Q26" s="1351"/>
      <c r="R26" s="705"/>
      <c r="S26" s="706"/>
      <c r="T26" s="705"/>
      <c r="U26" s="706"/>
      <c r="V26" s="705"/>
      <c r="W26" s="706"/>
      <c r="X26" s="1354"/>
      <c r="Y26" s="3741"/>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48"/>
      <c r="Q27" s="1351" t="str">
        <f t="shared" ref="Q27:Q47" si="11">B27</f>
        <v>楼层</v>
      </c>
      <c r="R27" s="705" t="s">
        <v>14</v>
      </c>
      <c r="S27" s="706">
        <f>F27</f>
        <v>100</v>
      </c>
      <c r="T27" s="705" t="s">
        <v>14</v>
      </c>
      <c r="U27" s="706">
        <f>H27</f>
        <v>100</v>
      </c>
      <c r="V27" s="705" t="s">
        <v>14</v>
      </c>
      <c r="W27" s="706">
        <f>J27</f>
        <v>100</v>
      </c>
      <c r="X27" s="1354"/>
      <c r="Y27" s="3741"/>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48"/>
      <c r="Q28" s="1342" t="str">
        <f t="shared" si="11"/>
        <v>朝向</v>
      </c>
      <c r="R28" s="701" t="s">
        <v>14</v>
      </c>
      <c r="S28" s="702">
        <f>F28</f>
        <v>100</v>
      </c>
      <c r="T28" s="701" t="s">
        <v>14</v>
      </c>
      <c r="U28" s="702">
        <f>H28</f>
        <v>100</v>
      </c>
      <c r="V28" s="701" t="s">
        <v>14</v>
      </c>
      <c r="W28" s="702">
        <f>J28</f>
        <v>100</v>
      </c>
      <c r="X28" s="703"/>
      <c r="Y28" s="3741"/>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48"/>
      <c r="Q29" s="1351">
        <f t="shared" si="11"/>
        <v>111</v>
      </c>
      <c r="R29" s="705" t="s">
        <v>14</v>
      </c>
      <c r="S29" s="706">
        <f t="shared" ref="S29:S47" si="12">F29</f>
        <v>100</v>
      </c>
      <c r="T29" s="705" t="s">
        <v>14</v>
      </c>
      <c r="U29" s="706">
        <f t="shared" ref="U29:U47" si="13">H29</f>
        <v>100</v>
      </c>
      <c r="V29" s="705" t="s">
        <v>14</v>
      </c>
      <c r="W29" s="706">
        <f t="shared" ref="W29:W47" si="14">J29</f>
        <v>100</v>
      </c>
      <c r="X29" s="1354"/>
      <c r="Y29" s="3741"/>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48"/>
      <c r="Q30" s="1351">
        <f t="shared" si="11"/>
        <v>111</v>
      </c>
      <c r="R30" s="705" t="s">
        <v>14</v>
      </c>
      <c r="S30" s="706">
        <f t="shared" si="12"/>
        <v>100</v>
      </c>
      <c r="T30" s="705" t="s">
        <v>14</v>
      </c>
      <c r="U30" s="706">
        <f t="shared" si="13"/>
        <v>100</v>
      </c>
      <c r="V30" s="705" t="s">
        <v>14</v>
      </c>
      <c r="W30" s="706">
        <f t="shared" si="14"/>
        <v>100</v>
      </c>
      <c r="X30" s="1354"/>
      <c r="Y30" s="3741"/>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48"/>
      <c r="Q31" s="1351">
        <f t="shared" si="11"/>
        <v>111</v>
      </c>
      <c r="R31" s="705" t="s">
        <v>14</v>
      </c>
      <c r="S31" s="706">
        <f t="shared" si="12"/>
        <v>100</v>
      </c>
      <c r="T31" s="705" t="s">
        <v>14</v>
      </c>
      <c r="U31" s="706">
        <f t="shared" si="13"/>
        <v>100</v>
      </c>
      <c r="V31" s="705" t="s">
        <v>14</v>
      </c>
      <c r="W31" s="706">
        <f t="shared" si="14"/>
        <v>100</v>
      </c>
      <c r="X31" s="1354"/>
      <c r="Y31" s="3741"/>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48"/>
      <c r="Q32" s="1351">
        <f t="shared" si="11"/>
        <v>111</v>
      </c>
      <c r="R32" s="705" t="s">
        <v>14</v>
      </c>
      <c r="S32" s="706">
        <f t="shared" si="12"/>
        <v>100</v>
      </c>
      <c r="T32" s="705" t="s">
        <v>14</v>
      </c>
      <c r="U32" s="706">
        <f t="shared" si="13"/>
        <v>100</v>
      </c>
      <c r="V32" s="705" t="s">
        <v>14</v>
      </c>
      <c r="W32" s="706">
        <f t="shared" si="14"/>
        <v>100</v>
      </c>
      <c r="X32" s="1354"/>
      <c r="Y32" s="3741"/>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42" t="s">
        <v>1696</v>
      </c>
      <c r="Q33" s="1351" t="str">
        <f t="shared" si="11"/>
        <v>建筑类型</v>
      </c>
      <c r="R33" s="705" t="s">
        <v>14</v>
      </c>
      <c r="S33" s="706">
        <f t="shared" si="12"/>
        <v>100</v>
      </c>
      <c r="T33" s="705" t="s">
        <v>14</v>
      </c>
      <c r="U33" s="706">
        <f t="shared" si="13"/>
        <v>100</v>
      </c>
      <c r="V33" s="705" t="s">
        <v>14</v>
      </c>
      <c r="W33" s="706">
        <f t="shared" si="14"/>
        <v>100</v>
      </c>
      <c r="X33" s="1354"/>
      <c r="Y33" s="3745"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3"/>
      <c r="Q34" s="707" t="str">
        <f t="shared" si="11"/>
        <v>项目建筑规模</v>
      </c>
      <c r="R34" s="708" t="s">
        <v>14</v>
      </c>
      <c r="S34" s="709" t="e">
        <f t="shared" si="12"/>
        <v>#N/A</v>
      </c>
      <c r="T34" s="708" t="s">
        <v>14</v>
      </c>
      <c r="U34" s="709" t="e">
        <f t="shared" si="13"/>
        <v>#N/A</v>
      </c>
      <c r="V34" s="708" t="s">
        <v>14</v>
      </c>
      <c r="W34" s="709" t="e">
        <f t="shared" si="14"/>
        <v>#N/A</v>
      </c>
      <c r="X34" s="710"/>
      <c r="Y34" s="3745"/>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3"/>
      <c r="Q35" s="1351" t="str">
        <f t="shared" si="11"/>
        <v>建筑结构</v>
      </c>
      <c r="R35" s="705" t="s">
        <v>14</v>
      </c>
      <c r="S35" s="706">
        <f t="shared" si="12"/>
        <v>100</v>
      </c>
      <c r="T35" s="705" t="s">
        <v>14</v>
      </c>
      <c r="U35" s="706">
        <f t="shared" si="13"/>
        <v>100</v>
      </c>
      <c r="V35" s="705" t="s">
        <v>14</v>
      </c>
      <c r="W35" s="706">
        <f t="shared" si="14"/>
        <v>100</v>
      </c>
      <c r="X35" s="1354"/>
      <c r="Y35" s="3745"/>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3"/>
      <c r="Q36" s="1351" t="str">
        <f t="shared" si="11"/>
        <v>公共部分装修</v>
      </c>
      <c r="R36" s="705" t="s">
        <v>14</v>
      </c>
      <c r="S36" s="706">
        <f t="shared" si="12"/>
        <v>100</v>
      </c>
      <c r="T36" s="705" t="s">
        <v>14</v>
      </c>
      <c r="U36" s="706">
        <f t="shared" si="13"/>
        <v>100</v>
      </c>
      <c r="V36" s="705" t="s">
        <v>14</v>
      </c>
      <c r="W36" s="706">
        <f t="shared" si="14"/>
        <v>100</v>
      </c>
      <c r="X36" s="1354"/>
      <c r="Y36" s="3745"/>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3"/>
      <c r="Q37" s="1351" t="str">
        <f t="shared" si="11"/>
        <v>成新度</v>
      </c>
      <c r="R37" s="705" t="s">
        <v>14</v>
      </c>
      <c r="S37" s="706" t="e">
        <f t="shared" si="12"/>
        <v>#N/A</v>
      </c>
      <c r="T37" s="705" t="s">
        <v>14</v>
      </c>
      <c r="U37" s="706" t="e">
        <f t="shared" si="13"/>
        <v>#N/A</v>
      </c>
      <c r="V37" s="705" t="s">
        <v>14</v>
      </c>
      <c r="W37" s="706" t="e">
        <f t="shared" si="14"/>
        <v>#N/A</v>
      </c>
      <c r="X37" s="1354"/>
      <c r="Y37" s="3745"/>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3"/>
      <c r="Q38" s="1342" t="str">
        <f t="shared" si="11"/>
        <v>写字楼等级</v>
      </c>
      <c r="R38" s="701" t="s">
        <v>14</v>
      </c>
      <c r="S38" s="702">
        <f t="shared" si="12"/>
        <v>100</v>
      </c>
      <c r="T38" s="701" t="s">
        <v>14</v>
      </c>
      <c r="U38" s="702">
        <f t="shared" si="13"/>
        <v>100</v>
      </c>
      <c r="V38" s="701" t="s">
        <v>14</v>
      </c>
      <c r="W38" s="702">
        <f t="shared" si="14"/>
        <v>100</v>
      </c>
      <c r="X38" s="703"/>
      <c r="Y38" s="3745"/>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3" t="s">
        <v>1696</v>
      </c>
      <c r="Q39" s="1351" t="str">
        <f t="shared" si="11"/>
        <v>物业管理</v>
      </c>
      <c r="R39" s="705" t="s">
        <v>14</v>
      </c>
      <c r="S39" s="706">
        <f t="shared" si="12"/>
        <v>100</v>
      </c>
      <c r="T39" s="705" t="s">
        <v>14</v>
      </c>
      <c r="U39" s="706">
        <f t="shared" si="13"/>
        <v>100</v>
      </c>
      <c r="V39" s="705" t="s">
        <v>14</v>
      </c>
      <c r="W39" s="706">
        <f t="shared" si="14"/>
        <v>100</v>
      </c>
      <c r="X39" s="1354"/>
      <c r="Y39" s="3745"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3"/>
      <c r="Q40" s="1351" t="str">
        <f t="shared" si="11"/>
        <v>市政基础设施</v>
      </c>
      <c r="R40" s="705" t="s">
        <v>14</v>
      </c>
      <c r="S40" s="706">
        <f t="shared" si="12"/>
        <v>100</v>
      </c>
      <c r="T40" s="705" t="s">
        <v>14</v>
      </c>
      <c r="U40" s="706">
        <f t="shared" si="13"/>
        <v>100</v>
      </c>
      <c r="V40" s="705" t="s">
        <v>14</v>
      </c>
      <c r="W40" s="706">
        <f t="shared" si="14"/>
        <v>100</v>
      </c>
      <c r="X40" s="1354"/>
      <c r="Y40" s="3745"/>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3"/>
      <c r="Q41" s="1351" t="str">
        <f t="shared" si="11"/>
        <v>层高</v>
      </c>
      <c r="R41" s="705" t="s">
        <v>14</v>
      </c>
      <c r="S41" s="706">
        <f t="shared" si="12"/>
        <v>100</v>
      </c>
      <c r="T41" s="705" t="s">
        <v>14</v>
      </c>
      <c r="U41" s="706">
        <f t="shared" si="13"/>
        <v>100</v>
      </c>
      <c r="V41" s="705" t="s">
        <v>14</v>
      </c>
      <c r="W41" s="706">
        <f t="shared" si="14"/>
        <v>100</v>
      </c>
      <c r="X41" s="1354"/>
      <c r="Y41" s="3745"/>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3"/>
      <c r="Q42" s="707" t="str">
        <f t="shared" si="11"/>
        <v>单套建筑面积</v>
      </c>
      <c r="R42" s="708" t="s">
        <v>14</v>
      </c>
      <c r="S42" s="709">
        <f t="shared" si="12"/>
        <v>100</v>
      </c>
      <c r="T42" s="708" t="s">
        <v>14</v>
      </c>
      <c r="U42" s="709">
        <f t="shared" si="13"/>
        <v>100</v>
      </c>
      <c r="V42" s="708" t="s">
        <v>14</v>
      </c>
      <c r="W42" s="709">
        <f t="shared" si="14"/>
        <v>100</v>
      </c>
      <c r="X42" s="710"/>
      <c r="Y42" s="3745"/>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3"/>
      <c r="Q43" s="1351" t="str">
        <f t="shared" si="11"/>
        <v>内部装修</v>
      </c>
      <c r="R43" s="705" t="s">
        <v>14</v>
      </c>
      <c r="S43" s="706">
        <f t="shared" si="12"/>
        <v>100</v>
      </c>
      <c r="T43" s="705" t="s">
        <v>14</v>
      </c>
      <c r="U43" s="706">
        <f t="shared" si="13"/>
        <v>100</v>
      </c>
      <c r="V43" s="705" t="s">
        <v>14</v>
      </c>
      <c r="W43" s="706">
        <f t="shared" si="14"/>
        <v>100</v>
      </c>
      <c r="X43" s="1354"/>
      <c r="Y43" s="3745"/>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43"/>
      <c r="Q44" s="1351" t="str">
        <f t="shared" si="11"/>
        <v>内部装修维护情况</v>
      </c>
      <c r="R44" s="705" t="s">
        <v>14</v>
      </c>
      <c r="S44" s="706">
        <f t="shared" si="12"/>
        <v>100</v>
      </c>
      <c r="T44" s="705" t="s">
        <v>14</v>
      </c>
      <c r="U44" s="706">
        <f t="shared" si="13"/>
        <v>100</v>
      </c>
      <c r="V44" s="705" t="s">
        <v>14</v>
      </c>
      <c r="W44" s="706">
        <f t="shared" si="14"/>
        <v>100</v>
      </c>
      <c r="X44" s="1354"/>
      <c r="Y44" s="3745"/>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3"/>
      <c r="Q45" s="1342">
        <f t="shared" si="11"/>
        <v>111</v>
      </c>
      <c r="R45" s="701" t="s">
        <v>14</v>
      </c>
      <c r="S45" s="702">
        <f t="shared" si="12"/>
        <v>100</v>
      </c>
      <c r="T45" s="701" t="s">
        <v>14</v>
      </c>
      <c r="U45" s="702">
        <f t="shared" si="13"/>
        <v>100</v>
      </c>
      <c r="V45" s="701" t="s">
        <v>14</v>
      </c>
      <c r="W45" s="702">
        <f t="shared" si="14"/>
        <v>100</v>
      </c>
      <c r="X45" s="703"/>
      <c r="Y45" s="3745"/>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3"/>
      <c r="Q46" s="1351">
        <f t="shared" si="11"/>
        <v>111</v>
      </c>
      <c r="R46" s="705" t="s">
        <v>14</v>
      </c>
      <c r="S46" s="706">
        <f t="shared" si="12"/>
        <v>100</v>
      </c>
      <c r="T46" s="705" t="s">
        <v>14</v>
      </c>
      <c r="U46" s="706">
        <f t="shared" si="13"/>
        <v>100</v>
      </c>
      <c r="V46" s="705" t="s">
        <v>14</v>
      </c>
      <c r="W46" s="706">
        <f t="shared" si="14"/>
        <v>100</v>
      </c>
      <c r="X46" s="1354"/>
      <c r="Y46" s="3745"/>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4"/>
      <c r="Q47" s="1351">
        <f t="shared" si="11"/>
        <v>111</v>
      </c>
      <c r="R47" s="705" t="s">
        <v>14</v>
      </c>
      <c r="S47" s="706">
        <f t="shared" si="12"/>
        <v>100</v>
      </c>
      <c r="T47" s="705" t="s">
        <v>14</v>
      </c>
      <c r="U47" s="706">
        <f t="shared" si="13"/>
        <v>100</v>
      </c>
      <c r="V47" s="705" t="s">
        <v>14</v>
      </c>
      <c r="W47" s="706">
        <f t="shared" si="14"/>
        <v>100</v>
      </c>
      <c r="X47" s="1354"/>
      <c r="Y47" s="3746"/>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0"/>
      <c r="M48" s="2712"/>
      <c r="N48" s="2712"/>
      <c r="O48" s="2712"/>
      <c r="P48" s="3720" t="str">
        <f>A48</f>
        <v>成交单价（元/平方米）</v>
      </c>
      <c r="Q48" s="3738"/>
      <c r="R48" s="3739">
        <f>E48</f>
        <v>0</v>
      </c>
      <c r="S48" s="3739"/>
      <c r="T48" s="3739">
        <f>G48</f>
        <v>0</v>
      </c>
      <c r="U48" s="3739"/>
      <c r="V48" s="3739">
        <f>I48</f>
        <v>0</v>
      </c>
      <c r="W48" s="3739"/>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0"/>
      <c r="M49" s="2712"/>
      <c r="N49" s="2712"/>
      <c r="O49" s="2712"/>
      <c r="P49" s="3720"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48.69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1" t="s">
        <v>1770</v>
      </c>
      <c r="D4" s="3722"/>
      <c r="E4" s="3723" t="s">
        <v>1771</v>
      </c>
      <c r="F4" s="3724"/>
      <c r="G4" s="3721" t="s">
        <v>1772</v>
      </c>
      <c r="H4" s="3722"/>
      <c r="I4" s="3721" t="s">
        <v>1773</v>
      </c>
      <c r="J4" s="3722"/>
      <c r="K4" s="559" t="s">
        <v>1774</v>
      </c>
      <c r="L4" s="913"/>
      <c r="M4" s="914"/>
      <c r="N4" s="914"/>
      <c r="O4" s="914"/>
      <c r="P4" s="3725" t="s">
        <v>1775</v>
      </c>
      <c r="Q4" s="3726"/>
      <c r="R4" s="3707" t="s">
        <v>1771</v>
      </c>
      <c r="S4" s="3708"/>
      <c r="T4" s="3707" t="s">
        <v>1772</v>
      </c>
      <c r="U4" s="3708"/>
      <c r="V4" s="3733" t="s">
        <v>1773</v>
      </c>
      <c r="W4" s="3733"/>
      <c r="X4" s="1354"/>
      <c r="Y4" s="3707" t="s">
        <v>1775</v>
      </c>
      <c r="Z4" s="3708"/>
      <c r="AA4" s="3702" t="s">
        <v>1771</v>
      </c>
      <c r="AB4" s="3703" t="s">
        <v>1772</v>
      </c>
      <c r="AC4" s="3702" t="s">
        <v>1773</v>
      </c>
    </row>
    <row r="5" spans="1:29" ht="15">
      <c r="A5" s="358"/>
      <c r="B5" s="359"/>
      <c r="C5" s="3717" t="s">
        <v>1673</v>
      </c>
      <c r="D5" s="3714"/>
      <c r="E5" s="3711" t="s">
        <v>1674</v>
      </c>
      <c r="F5" s="3712"/>
      <c r="G5" s="3717" t="s">
        <v>1675</v>
      </c>
      <c r="H5" s="3714"/>
      <c r="I5" s="3717" t="s">
        <v>1676</v>
      </c>
      <c r="J5" s="3714"/>
      <c r="K5" s="559"/>
      <c r="L5" s="913"/>
      <c r="M5" s="914"/>
      <c r="N5" s="914"/>
      <c r="O5" s="914"/>
      <c r="P5" s="3727"/>
      <c r="Q5" s="3728"/>
      <c r="R5" s="3709"/>
      <c r="S5" s="3710"/>
      <c r="T5" s="3709"/>
      <c r="U5" s="3710"/>
      <c r="V5" s="3733"/>
      <c r="W5" s="3733"/>
      <c r="X5" s="1354"/>
      <c r="Y5" s="3709"/>
      <c r="Z5" s="3710"/>
      <c r="AA5" s="3703"/>
      <c r="AB5" s="3703"/>
      <c r="AC5" s="3703"/>
    </row>
    <row r="6" spans="1:29" ht="15.75" thickBot="1">
      <c r="A6" s="360"/>
      <c r="B6" s="361"/>
      <c r="C6" s="3715" t="s">
        <v>1677</v>
      </c>
      <c r="D6" s="3716"/>
      <c r="E6" s="3718" t="s">
        <v>1677</v>
      </c>
      <c r="F6" s="3719"/>
      <c r="G6" s="3715" t="s">
        <v>1677</v>
      </c>
      <c r="H6" s="3716"/>
      <c r="I6" s="3715" t="s">
        <v>1677</v>
      </c>
      <c r="J6" s="3716"/>
      <c r="K6" s="559" t="s">
        <v>1678</v>
      </c>
      <c r="L6" s="913"/>
      <c r="M6" s="914"/>
      <c r="N6" s="914"/>
      <c r="O6" s="914"/>
      <c r="P6" s="3729"/>
      <c r="Q6" s="3730"/>
      <c r="R6" s="3709"/>
      <c r="S6" s="3710"/>
      <c r="T6" s="3731"/>
      <c r="U6" s="3732"/>
      <c r="V6" s="3733"/>
      <c r="W6" s="3733"/>
      <c r="X6" s="1354"/>
      <c r="Y6" s="3731"/>
      <c r="Z6" s="3732"/>
      <c r="AA6" s="3704"/>
      <c r="AB6" s="3704"/>
      <c r="AC6" s="3704"/>
    </row>
    <row r="7" spans="1:29" s="108" customFormat="1" ht="15.75" thickBot="1">
      <c r="A7" s="362" t="s">
        <v>1679</v>
      </c>
      <c r="B7" s="363"/>
      <c r="C7" s="364">
        <f>'数据-取费表'!B2</f>
        <v>45175</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34"/>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1686</v>
      </c>
      <c r="Q9" s="1342"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38"/>
      <c r="Q10" s="1342"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2"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38"/>
      <c r="Q12" s="1342">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38"/>
      <c r="Q13" s="1342">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38"/>
      <c r="Q14" s="1342">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0" t="s">
        <v>1691</v>
      </c>
      <c r="Q15" s="1351" t="str">
        <f t="shared" si="6"/>
        <v>产业集聚程度</v>
      </c>
      <c r="R15" s="705" t="s">
        <v>14</v>
      </c>
      <c r="S15" s="706">
        <f t="shared" si="0"/>
        <v>100</v>
      </c>
      <c r="T15" s="705" t="s">
        <v>14</v>
      </c>
      <c r="U15" s="706">
        <f t="shared" si="1"/>
        <v>100</v>
      </c>
      <c r="V15" s="705" t="s">
        <v>14</v>
      </c>
      <c r="W15" s="706">
        <f t="shared" si="2"/>
        <v>100</v>
      </c>
      <c r="X15" s="1354"/>
      <c r="Y15" s="374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1"/>
      <c r="Q16" s="1351"/>
      <c r="R16" s="705"/>
      <c r="S16" s="706"/>
      <c r="T16" s="705"/>
      <c r="U16" s="706"/>
      <c r="V16" s="705"/>
      <c r="W16" s="706"/>
      <c r="X16" s="1354"/>
      <c r="Y16" s="374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1"/>
      <c r="Q17" s="1351" t="str">
        <f>B17</f>
        <v>交通便捷度</v>
      </c>
      <c r="R17" s="705" t="s">
        <v>14</v>
      </c>
      <c r="S17" s="706">
        <f>F17</f>
        <v>100</v>
      </c>
      <c r="T17" s="705" t="s">
        <v>14</v>
      </c>
      <c r="U17" s="706">
        <f>H17</f>
        <v>100</v>
      </c>
      <c r="V17" s="705" t="s">
        <v>14</v>
      </c>
      <c r="W17" s="706">
        <f>J17</f>
        <v>100</v>
      </c>
      <c r="X17" s="1354"/>
      <c r="Y17" s="374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41"/>
      <c r="Q18" s="1351"/>
      <c r="R18" s="705"/>
      <c r="S18" s="706"/>
      <c r="T18" s="705"/>
      <c r="U18" s="706"/>
      <c r="V18" s="705"/>
      <c r="W18" s="706"/>
      <c r="X18" s="1354"/>
      <c r="Y18" s="374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1"/>
      <c r="Q19" s="1351" t="str">
        <f>B19</f>
        <v>公共配套设施</v>
      </c>
      <c r="R19" s="705" t="s">
        <v>14</v>
      </c>
      <c r="S19" s="706">
        <f>F19</f>
        <v>100</v>
      </c>
      <c r="T19" s="705" t="s">
        <v>14</v>
      </c>
      <c r="U19" s="706">
        <f>H19</f>
        <v>100</v>
      </c>
      <c r="V19" s="705" t="s">
        <v>14</v>
      </c>
      <c r="W19" s="706">
        <f>J19</f>
        <v>100</v>
      </c>
      <c r="X19" s="1354"/>
      <c r="Y19" s="374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41"/>
      <c r="Q20" s="1351"/>
      <c r="R20" s="705"/>
      <c r="S20" s="706"/>
      <c r="T20" s="705"/>
      <c r="U20" s="706"/>
      <c r="V20" s="705"/>
      <c r="W20" s="706"/>
      <c r="X20" s="1354"/>
      <c r="Y20" s="3741"/>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1"/>
      <c r="Q21" s="1351" t="str">
        <f>B21</f>
        <v>基础设施水平</v>
      </c>
      <c r="R21" s="705" t="s">
        <v>14</v>
      </c>
      <c r="S21" s="706">
        <f>F21</f>
        <v>100</v>
      </c>
      <c r="T21" s="705" t="s">
        <v>14</v>
      </c>
      <c r="U21" s="706">
        <f>H21</f>
        <v>100</v>
      </c>
      <c r="V21" s="705" t="s">
        <v>14</v>
      </c>
      <c r="W21" s="706">
        <f>J21</f>
        <v>100</v>
      </c>
      <c r="X21" s="1354"/>
      <c r="Y21" s="374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41"/>
      <c r="Q22" s="1351"/>
      <c r="R22" s="705"/>
      <c r="S22" s="706"/>
      <c r="T22" s="705"/>
      <c r="U22" s="706"/>
      <c r="V22" s="705"/>
      <c r="W22" s="706"/>
      <c r="X22" s="1354"/>
      <c r="Y22" s="374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1"/>
      <c r="Q23" s="1351" t="str">
        <f>B23</f>
        <v>环境质量</v>
      </c>
      <c r="R23" s="705" t="s">
        <v>14</v>
      </c>
      <c r="S23" s="706">
        <f>F23</f>
        <v>100</v>
      </c>
      <c r="T23" s="705" t="s">
        <v>14</v>
      </c>
      <c r="U23" s="706">
        <f>H23</f>
        <v>100</v>
      </c>
      <c r="V23" s="705" t="s">
        <v>14</v>
      </c>
      <c r="W23" s="706">
        <f>J23</f>
        <v>100</v>
      </c>
      <c r="X23" s="1354"/>
      <c r="Y23" s="374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41"/>
      <c r="Q24" s="1351"/>
      <c r="R24" s="705"/>
      <c r="S24" s="706"/>
      <c r="T24" s="705"/>
      <c r="U24" s="706"/>
      <c r="V24" s="705"/>
      <c r="W24" s="706"/>
      <c r="X24" s="1354"/>
      <c r="Y24" s="374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1"/>
      <c r="Q25" s="1351">
        <f>B25</f>
        <v>111</v>
      </c>
      <c r="R25" s="705" t="s">
        <v>14</v>
      </c>
      <c r="S25" s="706">
        <f>F25</f>
        <v>100</v>
      </c>
      <c r="T25" s="705" t="s">
        <v>14</v>
      </c>
      <c r="U25" s="706">
        <f>H25</f>
        <v>100</v>
      </c>
      <c r="V25" s="705" t="s">
        <v>14</v>
      </c>
      <c r="W25" s="706">
        <f>J25</f>
        <v>100</v>
      </c>
      <c r="X25" s="1354"/>
      <c r="Y25" s="374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1"/>
      <c r="Q26" s="1351">
        <f t="shared" ref="Q26:Q40" si="11">B26</f>
        <v>111</v>
      </c>
      <c r="R26" s="705" t="s">
        <v>14</v>
      </c>
      <c r="S26" s="706">
        <f>F26</f>
        <v>100</v>
      </c>
      <c r="T26" s="705" t="s">
        <v>14</v>
      </c>
      <c r="U26" s="706">
        <f>H26</f>
        <v>100</v>
      </c>
      <c r="V26" s="705" t="s">
        <v>14</v>
      </c>
      <c r="W26" s="706">
        <f>J26</f>
        <v>100</v>
      </c>
      <c r="X26" s="1354"/>
      <c r="Y26" s="374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1"/>
      <c r="Q27" s="1342">
        <f t="shared" si="11"/>
        <v>111</v>
      </c>
      <c r="R27" s="701" t="s">
        <v>14</v>
      </c>
      <c r="S27" s="702">
        <f>F27</f>
        <v>100</v>
      </c>
      <c r="T27" s="701" t="s">
        <v>14</v>
      </c>
      <c r="U27" s="702">
        <f>H27</f>
        <v>100</v>
      </c>
      <c r="V27" s="701" t="s">
        <v>14</v>
      </c>
      <c r="W27" s="702">
        <f>J27</f>
        <v>100</v>
      </c>
      <c r="X27" s="703"/>
      <c r="Y27" s="374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1"/>
      <c r="Q28" s="1351">
        <f t="shared" si="11"/>
        <v>111</v>
      </c>
      <c r="R28" s="705" t="s">
        <v>14</v>
      </c>
      <c r="S28" s="706">
        <f t="shared" ref="S28:S40" si="12">F28</f>
        <v>100</v>
      </c>
      <c r="T28" s="705" t="s">
        <v>14</v>
      </c>
      <c r="U28" s="706">
        <f t="shared" ref="U28:U40" si="13">H28</f>
        <v>100</v>
      </c>
      <c r="V28" s="705" t="s">
        <v>14</v>
      </c>
      <c r="W28" s="706">
        <f t="shared" ref="W28:W40" si="14">J28</f>
        <v>100</v>
      </c>
      <c r="X28" s="1354"/>
      <c r="Y28" s="3741"/>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4" t="s">
        <v>1696</v>
      </c>
      <c r="Q29" s="1351" t="str">
        <f t="shared" si="11"/>
        <v>建筑类型</v>
      </c>
      <c r="R29" s="705" t="s">
        <v>14</v>
      </c>
      <c r="S29" s="706">
        <f t="shared" si="12"/>
        <v>100</v>
      </c>
      <c r="T29" s="705" t="s">
        <v>14</v>
      </c>
      <c r="U29" s="706">
        <f t="shared" si="13"/>
        <v>100</v>
      </c>
      <c r="V29" s="705" t="s">
        <v>14</v>
      </c>
      <c r="W29" s="706">
        <f t="shared" si="14"/>
        <v>100</v>
      </c>
      <c r="X29" s="1354"/>
      <c r="Y29" s="374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5"/>
      <c r="Q30" s="707" t="str">
        <f t="shared" si="11"/>
        <v>项目建筑规模</v>
      </c>
      <c r="R30" s="708" t="s">
        <v>14</v>
      </c>
      <c r="S30" s="709" t="e">
        <f t="shared" si="12"/>
        <v>#N/A</v>
      </c>
      <c r="T30" s="708" t="s">
        <v>14</v>
      </c>
      <c r="U30" s="709" t="e">
        <f t="shared" si="13"/>
        <v>#N/A</v>
      </c>
      <c r="V30" s="708" t="s">
        <v>14</v>
      </c>
      <c r="W30" s="709" t="e">
        <f t="shared" si="14"/>
        <v>#N/A</v>
      </c>
      <c r="X30" s="710"/>
      <c r="Y30" s="374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5"/>
      <c r="Q31" s="1351" t="str">
        <f t="shared" si="11"/>
        <v>建筑结构</v>
      </c>
      <c r="R31" s="705" t="s">
        <v>14</v>
      </c>
      <c r="S31" s="706">
        <f t="shared" si="12"/>
        <v>100</v>
      </c>
      <c r="T31" s="705" t="s">
        <v>14</v>
      </c>
      <c r="U31" s="706">
        <f t="shared" si="13"/>
        <v>100</v>
      </c>
      <c r="V31" s="705" t="s">
        <v>14</v>
      </c>
      <c r="W31" s="706">
        <f t="shared" si="14"/>
        <v>100</v>
      </c>
      <c r="X31" s="1354"/>
      <c r="Y31" s="374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5"/>
      <c r="Q32" s="1351" t="str">
        <f t="shared" si="11"/>
        <v>公共部分装修</v>
      </c>
      <c r="R32" s="705" t="s">
        <v>14</v>
      </c>
      <c r="S32" s="706">
        <f t="shared" si="12"/>
        <v>100</v>
      </c>
      <c r="T32" s="705" t="s">
        <v>14</v>
      </c>
      <c r="U32" s="706">
        <f t="shared" si="13"/>
        <v>100</v>
      </c>
      <c r="V32" s="705" t="s">
        <v>14</v>
      </c>
      <c r="W32" s="706">
        <f t="shared" si="14"/>
        <v>100</v>
      </c>
      <c r="X32" s="1354"/>
      <c r="Y32" s="374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5"/>
      <c r="Q33" s="1351" t="str">
        <f t="shared" si="11"/>
        <v>成新度</v>
      </c>
      <c r="R33" s="705" t="s">
        <v>14</v>
      </c>
      <c r="S33" s="706" t="e">
        <f t="shared" si="12"/>
        <v>#N/A</v>
      </c>
      <c r="T33" s="705" t="s">
        <v>14</v>
      </c>
      <c r="U33" s="706" t="e">
        <f t="shared" si="13"/>
        <v>#N/A</v>
      </c>
      <c r="V33" s="705" t="s">
        <v>14</v>
      </c>
      <c r="W33" s="706" t="e">
        <f t="shared" si="14"/>
        <v>#N/A</v>
      </c>
      <c r="X33" s="1354"/>
      <c r="Y33" s="374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5"/>
      <c r="Q34" s="1342" t="str">
        <f t="shared" si="11"/>
        <v>物业管理</v>
      </c>
      <c r="R34" s="701" t="s">
        <v>14</v>
      </c>
      <c r="S34" s="702">
        <f t="shared" si="12"/>
        <v>100</v>
      </c>
      <c r="T34" s="701" t="s">
        <v>14</v>
      </c>
      <c r="U34" s="702">
        <f t="shared" si="13"/>
        <v>100</v>
      </c>
      <c r="V34" s="701" t="s">
        <v>14</v>
      </c>
      <c r="W34" s="702">
        <f t="shared" si="14"/>
        <v>100</v>
      </c>
      <c r="X34" s="703"/>
      <c r="Y34" s="374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5" t="s">
        <v>1696</v>
      </c>
      <c r="Q35" s="1351" t="str">
        <f t="shared" si="11"/>
        <v>市政基础设施</v>
      </c>
      <c r="R35" s="705" t="s">
        <v>14</v>
      </c>
      <c r="S35" s="706">
        <f t="shared" si="12"/>
        <v>100</v>
      </c>
      <c r="T35" s="705" t="s">
        <v>14</v>
      </c>
      <c r="U35" s="706">
        <f t="shared" si="13"/>
        <v>100</v>
      </c>
      <c r="V35" s="705" t="s">
        <v>14</v>
      </c>
      <c r="W35" s="706">
        <f t="shared" si="14"/>
        <v>100</v>
      </c>
      <c r="X35" s="1354"/>
      <c r="Y35" s="374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5"/>
      <c r="Q36" s="1351" t="str">
        <f t="shared" si="11"/>
        <v>内部装修</v>
      </c>
      <c r="R36" s="705" t="s">
        <v>14</v>
      </c>
      <c r="S36" s="706">
        <f t="shared" si="12"/>
        <v>100</v>
      </c>
      <c r="T36" s="705" t="s">
        <v>14</v>
      </c>
      <c r="U36" s="706">
        <f t="shared" si="13"/>
        <v>100</v>
      </c>
      <c r="V36" s="705" t="s">
        <v>14</v>
      </c>
      <c r="W36" s="706">
        <f t="shared" si="14"/>
        <v>100</v>
      </c>
      <c r="X36" s="1354"/>
      <c r="Y36" s="374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5"/>
      <c r="Q37" s="1351" t="str">
        <f t="shared" si="11"/>
        <v>内部装修状况</v>
      </c>
      <c r="R37" s="705" t="s">
        <v>14</v>
      </c>
      <c r="S37" s="706">
        <f t="shared" si="12"/>
        <v>100</v>
      </c>
      <c r="T37" s="705" t="s">
        <v>14</v>
      </c>
      <c r="U37" s="706">
        <f t="shared" si="13"/>
        <v>100</v>
      </c>
      <c r="V37" s="705" t="s">
        <v>14</v>
      </c>
      <c r="W37" s="706">
        <f t="shared" si="14"/>
        <v>100</v>
      </c>
      <c r="X37" s="1354"/>
      <c r="Y37" s="374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5"/>
      <c r="Q38" s="707">
        <f t="shared" si="11"/>
        <v>111</v>
      </c>
      <c r="R38" s="708" t="s">
        <v>14</v>
      </c>
      <c r="S38" s="709">
        <f t="shared" si="12"/>
        <v>100</v>
      </c>
      <c r="T38" s="708" t="s">
        <v>14</v>
      </c>
      <c r="U38" s="709">
        <f t="shared" si="13"/>
        <v>100</v>
      </c>
      <c r="V38" s="708" t="s">
        <v>14</v>
      </c>
      <c r="W38" s="709">
        <f t="shared" si="14"/>
        <v>100</v>
      </c>
      <c r="X38" s="710"/>
      <c r="Y38" s="374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5"/>
      <c r="Q39" s="1351">
        <f t="shared" si="11"/>
        <v>111</v>
      </c>
      <c r="R39" s="705" t="s">
        <v>14</v>
      </c>
      <c r="S39" s="706">
        <f t="shared" si="12"/>
        <v>100</v>
      </c>
      <c r="T39" s="705" t="s">
        <v>14</v>
      </c>
      <c r="U39" s="706">
        <f t="shared" si="13"/>
        <v>100</v>
      </c>
      <c r="V39" s="705" t="s">
        <v>14</v>
      </c>
      <c r="W39" s="706">
        <f t="shared" si="14"/>
        <v>100</v>
      </c>
      <c r="X39" s="1354"/>
      <c r="Y39" s="374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6"/>
      <c r="Q40" s="1351">
        <f t="shared" si="11"/>
        <v>111</v>
      </c>
      <c r="R40" s="705" t="s">
        <v>14</v>
      </c>
      <c r="S40" s="706">
        <f t="shared" si="12"/>
        <v>100</v>
      </c>
      <c r="T40" s="705" t="s">
        <v>14</v>
      </c>
      <c r="U40" s="706">
        <f t="shared" si="13"/>
        <v>100</v>
      </c>
      <c r="V40" s="705" t="s">
        <v>14</v>
      </c>
      <c r="W40" s="706">
        <f t="shared" si="14"/>
        <v>100</v>
      </c>
      <c r="X40" s="1354"/>
      <c r="Y40" s="3746"/>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21" t="s">
        <v>1770</v>
      </c>
      <c r="D4" s="3722"/>
      <c r="E4" s="3723" t="s">
        <v>1771</v>
      </c>
      <c r="F4" s="3724"/>
      <c r="G4" s="3721" t="s">
        <v>1772</v>
      </c>
      <c r="H4" s="3722"/>
      <c r="I4" s="3721" t="s">
        <v>1773</v>
      </c>
      <c r="J4" s="3722"/>
      <c r="K4" s="559" t="s">
        <v>1774</v>
      </c>
      <c r="L4" s="2711"/>
      <c r="M4" s="2712"/>
      <c r="N4" s="2712"/>
      <c r="O4" s="2712"/>
      <c r="P4" s="3725" t="s">
        <v>1775</v>
      </c>
      <c r="Q4" s="3726"/>
      <c r="R4" s="3707" t="s">
        <v>1771</v>
      </c>
      <c r="S4" s="3708"/>
      <c r="T4" s="3707" t="s">
        <v>1772</v>
      </c>
      <c r="U4" s="3708"/>
      <c r="V4" s="3733" t="s">
        <v>1773</v>
      </c>
      <c r="W4" s="3733"/>
      <c r="X4" s="1354"/>
      <c r="Y4" s="3707" t="s">
        <v>1775</v>
      </c>
      <c r="Z4" s="3708"/>
      <c r="AA4" s="3702" t="s">
        <v>1771</v>
      </c>
      <c r="AB4" s="3703" t="s">
        <v>1772</v>
      </c>
      <c r="AC4" s="3702" t="s">
        <v>1773</v>
      </c>
    </row>
    <row r="5" spans="1:29" ht="15">
      <c r="A5" s="358"/>
      <c r="B5" s="359"/>
      <c r="C5" s="3717" t="s">
        <v>1673</v>
      </c>
      <c r="D5" s="3714"/>
      <c r="E5" s="3711" t="s">
        <v>1674</v>
      </c>
      <c r="F5" s="3712"/>
      <c r="G5" s="3717" t="s">
        <v>1675</v>
      </c>
      <c r="H5" s="3714"/>
      <c r="I5" s="3717" t="s">
        <v>1676</v>
      </c>
      <c r="J5" s="3714"/>
      <c r="K5" s="559"/>
      <c r="L5" s="2711"/>
      <c r="M5" s="2712"/>
      <c r="N5" s="2712"/>
      <c r="O5" s="2712"/>
      <c r="P5" s="3727"/>
      <c r="Q5" s="3728"/>
      <c r="R5" s="3709"/>
      <c r="S5" s="3710"/>
      <c r="T5" s="3709"/>
      <c r="U5" s="3710"/>
      <c r="V5" s="3733"/>
      <c r="W5" s="3733"/>
      <c r="X5" s="1354"/>
      <c r="Y5" s="3709"/>
      <c r="Z5" s="3710"/>
      <c r="AA5" s="3703"/>
      <c r="AB5" s="3703"/>
      <c r="AC5" s="3703"/>
    </row>
    <row r="6" spans="1:29" ht="15.75" thickBot="1">
      <c r="A6" s="360"/>
      <c r="B6" s="361"/>
      <c r="C6" s="3715" t="s">
        <v>1677</v>
      </c>
      <c r="D6" s="3716"/>
      <c r="E6" s="3718" t="s">
        <v>1677</v>
      </c>
      <c r="F6" s="3719"/>
      <c r="G6" s="3715" t="s">
        <v>1677</v>
      </c>
      <c r="H6" s="3716"/>
      <c r="I6" s="3715" t="s">
        <v>1677</v>
      </c>
      <c r="J6" s="3716"/>
      <c r="K6" s="559" t="s">
        <v>1678</v>
      </c>
      <c r="L6" s="2711"/>
      <c r="M6" s="2712"/>
      <c r="N6" s="2712"/>
      <c r="O6" s="2712"/>
      <c r="P6" s="3729"/>
      <c r="Q6" s="3730"/>
      <c r="R6" s="3709"/>
      <c r="S6" s="3710"/>
      <c r="T6" s="3731"/>
      <c r="U6" s="3732"/>
      <c r="V6" s="3733"/>
      <c r="W6" s="3733"/>
      <c r="X6" s="1354"/>
      <c r="Y6" s="3731"/>
      <c r="Z6" s="3732"/>
      <c r="AA6" s="3704"/>
      <c r="AB6" s="3704"/>
      <c r="AC6" s="3704"/>
    </row>
    <row r="7" spans="1:29" s="108" customFormat="1" ht="15.75" thickBot="1">
      <c r="A7" s="362" t="s">
        <v>1679</v>
      </c>
      <c r="B7" s="363"/>
      <c r="C7" s="364">
        <f>'数据-取费表'!B2</f>
        <v>45175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5" t="s">
        <v>1680</v>
      </c>
      <c r="Q7" s="3734"/>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38" t="s">
        <v>1686</v>
      </c>
      <c r="Q9" s="1342" t="str">
        <f t="shared" ref="Q9:Q14" si="6">B9</f>
        <v>用途</v>
      </c>
      <c r="R9" s="701" t="s">
        <v>14</v>
      </c>
      <c r="S9" s="702">
        <f t="shared" si="0"/>
        <v>100</v>
      </c>
      <c r="T9" s="701" t="s">
        <v>14</v>
      </c>
      <c r="U9" s="702">
        <f t="shared" si="1"/>
        <v>100</v>
      </c>
      <c r="V9" s="701" t="s">
        <v>14</v>
      </c>
      <c r="W9" s="702">
        <f t="shared" si="2"/>
        <v>100</v>
      </c>
      <c r="X9" s="703"/>
      <c r="Y9" s="3649"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38"/>
      <c r="Q10" s="1342"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38"/>
      <c r="Q11" s="1342">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38"/>
      <c r="Q12" s="1342">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38"/>
      <c r="Q13" s="1342">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14">
      <c r="A14" s="355" t="s">
        <v>1690</v>
      </c>
      <c r="B14" s="577" t="s">
        <v>1833</v>
      </c>
      <c r="C14" s="1968" t="str">
        <f>IF(B1="工业",估价对象房地状况!G4,估价对象房地状况!C6)</f>
        <v>周边有31路、138路、421路、486路、985路等多条公交线路，距离地铁1、14号线大望路站约600米，交通较便捷。</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0" t="s">
        <v>1691</v>
      </c>
      <c r="Q14" s="1351" t="str">
        <f t="shared" si="6"/>
        <v>交通便捷度</v>
      </c>
      <c r="R14" s="705" t="s">
        <v>14</v>
      </c>
      <c r="S14" s="706">
        <f t="shared" si="0"/>
        <v>100</v>
      </c>
      <c r="T14" s="705" t="s">
        <v>14</v>
      </c>
      <c r="U14" s="706">
        <f t="shared" si="1"/>
        <v>100</v>
      </c>
      <c r="V14" s="705" t="s">
        <v>14</v>
      </c>
      <c r="W14" s="706">
        <f t="shared" si="2"/>
        <v>100</v>
      </c>
      <c r="X14" s="1354"/>
      <c r="Y14" s="374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41"/>
      <c r="Q15" s="1351"/>
      <c r="R15" s="705"/>
      <c r="S15" s="706"/>
      <c r="T15" s="705"/>
      <c r="U15" s="706"/>
      <c r="V15" s="705"/>
      <c r="W15" s="706"/>
      <c r="X15" s="1354"/>
      <c r="Y15" s="3741"/>
      <c r="Z15" s="1355"/>
      <c r="AA15" s="1352">
        <v>1</v>
      </c>
      <c r="AB15" s="1352">
        <v>1</v>
      </c>
      <c r="AC15" s="1352">
        <v>1</v>
      </c>
    </row>
    <row r="16" spans="1:29" ht="370.5">
      <c r="A16" s="358"/>
      <c r="B16" s="579" t="s">
        <v>1812</v>
      </c>
      <c r="C16" s="1899" t="str">
        <f>IF(B1="工业",估价对象房地状况!G5,估价对象房地状况!C7)</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1"/>
      <c r="Q16" s="1351" t="str">
        <f>B16</f>
        <v>公共配套设施</v>
      </c>
      <c r="R16" s="705" t="s">
        <v>14</v>
      </c>
      <c r="S16" s="706">
        <f>F16</f>
        <v>100</v>
      </c>
      <c r="T16" s="705" t="s">
        <v>14</v>
      </c>
      <c r="U16" s="706">
        <f>H16</f>
        <v>100</v>
      </c>
      <c r="V16" s="705" t="s">
        <v>14</v>
      </c>
      <c r="W16" s="706">
        <f>J16</f>
        <v>100</v>
      </c>
      <c r="X16" s="1354"/>
      <c r="Y16" s="374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741"/>
      <c r="Q17" s="1351"/>
      <c r="R17" s="705"/>
      <c r="S17" s="706"/>
      <c r="T17" s="705"/>
      <c r="U17" s="706"/>
      <c r="V17" s="705"/>
      <c r="W17" s="706"/>
      <c r="X17" s="1354"/>
      <c r="Y17" s="374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1"/>
      <c r="Q18" s="1351" t="str">
        <f>B18</f>
        <v>基础设施水平</v>
      </c>
      <c r="R18" s="705" t="s">
        <v>14</v>
      </c>
      <c r="S18" s="706">
        <f>F18</f>
        <v>100</v>
      </c>
      <c r="T18" s="705" t="s">
        <v>14</v>
      </c>
      <c r="U18" s="706">
        <f>H18</f>
        <v>100</v>
      </c>
      <c r="V18" s="705" t="s">
        <v>14</v>
      </c>
      <c r="W18" s="706">
        <f>J18</f>
        <v>100</v>
      </c>
      <c r="X18" s="1354"/>
      <c r="Y18" s="374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8"/>
      <c r="M19" s="2712"/>
      <c r="N19" s="2712"/>
      <c r="O19" s="2712"/>
      <c r="P19" s="3741"/>
      <c r="Q19" s="1351"/>
      <c r="R19" s="705"/>
      <c r="S19" s="706"/>
      <c r="T19" s="705"/>
      <c r="U19" s="706"/>
      <c r="V19" s="705"/>
      <c r="W19" s="706"/>
      <c r="X19" s="1354"/>
      <c r="Y19" s="3741"/>
      <c r="Z19" s="1355"/>
      <c r="AA19" s="1352">
        <v>1</v>
      </c>
      <c r="AB19" s="1352">
        <v>1</v>
      </c>
      <c r="AC19" s="1352">
        <v>1</v>
      </c>
    </row>
    <row r="20" spans="1:29" ht="128.25">
      <c r="A20" s="358"/>
      <c r="B20" s="579" t="s">
        <v>1834</v>
      </c>
      <c r="C20" s="1899" t="str">
        <f>IF(B1="工业",估价对象房地状况!G7,估价对象房地状况!C9)</f>
        <v>估价对象周边有通惠河、庆丰公园、团结湖公园等自然环境；有中央广播电视总台、首经贸大学等人文环境，综合评价自然人文环境较好。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1"/>
      <c r="Q20" s="1351" t="str">
        <f>B20</f>
        <v>自然及人文环境</v>
      </c>
      <c r="R20" s="705" t="s">
        <v>14</v>
      </c>
      <c r="S20" s="706">
        <f>F20</f>
        <v>100</v>
      </c>
      <c r="T20" s="705" t="s">
        <v>14</v>
      </c>
      <c r="U20" s="706">
        <f>H20</f>
        <v>100</v>
      </c>
      <c r="V20" s="705" t="s">
        <v>14</v>
      </c>
      <c r="W20" s="706">
        <f>J20</f>
        <v>100</v>
      </c>
      <c r="X20" s="1354"/>
      <c r="Y20" s="374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41"/>
      <c r="Q21" s="1351"/>
      <c r="R21" s="705"/>
      <c r="S21" s="706"/>
      <c r="T21" s="705"/>
      <c r="U21" s="706"/>
      <c r="V21" s="705"/>
      <c r="W21" s="706"/>
      <c r="X21" s="1354"/>
      <c r="Y21" s="374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1"/>
      <c r="Q22" s="1351" t="str">
        <f>B22</f>
        <v>楼层</v>
      </c>
      <c r="R22" s="705" t="s">
        <v>14</v>
      </c>
      <c r="S22" s="706">
        <f>F22</f>
        <v>100</v>
      </c>
      <c r="T22" s="705" t="s">
        <v>14</v>
      </c>
      <c r="U22" s="706">
        <f>H22</f>
        <v>100</v>
      </c>
      <c r="V22" s="705" t="s">
        <v>14</v>
      </c>
      <c r="W22" s="706">
        <f>J22</f>
        <v>100</v>
      </c>
      <c r="X22" s="1354"/>
      <c r="Y22" s="374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1"/>
      <c r="Q23" s="1351">
        <f>B23</f>
        <v>111</v>
      </c>
      <c r="R23" s="705" t="s">
        <v>14</v>
      </c>
      <c r="S23" s="706">
        <f>F23</f>
        <v>100</v>
      </c>
      <c r="T23" s="705" t="s">
        <v>14</v>
      </c>
      <c r="U23" s="706">
        <f>H23</f>
        <v>100</v>
      </c>
      <c r="V23" s="705" t="s">
        <v>14</v>
      </c>
      <c r="W23" s="706">
        <f>J23</f>
        <v>100</v>
      </c>
      <c r="X23" s="1354"/>
      <c r="Y23" s="374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1"/>
      <c r="Q24" s="1351">
        <f t="shared" ref="Q24:Q36" si="11">B24</f>
        <v>111</v>
      </c>
      <c r="R24" s="705" t="s">
        <v>14</v>
      </c>
      <c r="S24" s="706">
        <f>F24</f>
        <v>100</v>
      </c>
      <c r="T24" s="705" t="s">
        <v>14</v>
      </c>
      <c r="U24" s="706">
        <f>H24</f>
        <v>100</v>
      </c>
      <c r="V24" s="705" t="s">
        <v>14</v>
      </c>
      <c r="W24" s="706">
        <f>J24</f>
        <v>100</v>
      </c>
      <c r="X24" s="1354"/>
      <c r="Y24" s="374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41"/>
      <c r="Q25" s="1342">
        <f t="shared" si="11"/>
        <v>111</v>
      </c>
      <c r="R25" s="701" t="s">
        <v>14</v>
      </c>
      <c r="S25" s="702">
        <f>F25</f>
        <v>100</v>
      </c>
      <c r="T25" s="701" t="s">
        <v>14</v>
      </c>
      <c r="U25" s="702">
        <f>H25</f>
        <v>100</v>
      </c>
      <c r="V25" s="701" t="s">
        <v>14</v>
      </c>
      <c r="W25" s="702">
        <f>J25</f>
        <v>100</v>
      </c>
      <c r="X25" s="703"/>
      <c r="Y25" s="3741"/>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4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5"/>
      <c r="Q27" s="707" t="str">
        <f t="shared" si="11"/>
        <v>项目停车位配比</v>
      </c>
      <c r="R27" s="708" t="s">
        <v>14</v>
      </c>
      <c r="S27" s="709">
        <f t="shared" si="12"/>
        <v>100</v>
      </c>
      <c r="T27" s="708" t="s">
        <v>14</v>
      </c>
      <c r="U27" s="709">
        <f t="shared" si="13"/>
        <v>100</v>
      </c>
      <c r="V27" s="708" t="s">
        <v>14</v>
      </c>
      <c r="W27" s="709">
        <f t="shared" si="14"/>
        <v>100</v>
      </c>
      <c r="X27" s="710"/>
      <c r="Y27" s="374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5"/>
      <c r="Q28" s="1351" t="str">
        <f t="shared" si="11"/>
        <v>公共部分装修</v>
      </c>
      <c r="R28" s="705" t="s">
        <v>14</v>
      </c>
      <c r="S28" s="706">
        <f t="shared" si="12"/>
        <v>100</v>
      </c>
      <c r="T28" s="705" t="s">
        <v>14</v>
      </c>
      <c r="U28" s="706">
        <f t="shared" si="13"/>
        <v>100</v>
      </c>
      <c r="V28" s="705" t="s">
        <v>14</v>
      </c>
      <c r="W28" s="706">
        <f t="shared" si="14"/>
        <v>100</v>
      </c>
      <c r="X28" s="1354"/>
      <c r="Y28" s="374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5"/>
      <c r="Q29" s="1351" t="str">
        <f t="shared" si="11"/>
        <v>成新率</v>
      </c>
      <c r="R29" s="705" t="s">
        <v>14</v>
      </c>
      <c r="S29" s="706" t="e">
        <f t="shared" si="12"/>
        <v>#N/A</v>
      </c>
      <c r="T29" s="705" t="s">
        <v>14</v>
      </c>
      <c r="U29" s="706" t="e">
        <f t="shared" si="13"/>
        <v>#N/A</v>
      </c>
      <c r="V29" s="705" t="s">
        <v>14</v>
      </c>
      <c r="W29" s="706" t="e">
        <f t="shared" si="14"/>
        <v>#N/A</v>
      </c>
      <c r="X29" s="1354"/>
      <c r="Y29" s="374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5"/>
      <c r="Q30" s="1351" t="str">
        <f t="shared" si="11"/>
        <v>物业等级</v>
      </c>
      <c r="R30" s="705" t="s">
        <v>14</v>
      </c>
      <c r="S30" s="706">
        <f t="shared" si="12"/>
        <v>100</v>
      </c>
      <c r="T30" s="705" t="s">
        <v>14</v>
      </c>
      <c r="U30" s="706">
        <f t="shared" si="13"/>
        <v>100</v>
      </c>
      <c r="V30" s="705" t="s">
        <v>14</v>
      </c>
      <c r="W30" s="706">
        <f t="shared" si="14"/>
        <v>100</v>
      </c>
      <c r="X30" s="1354"/>
      <c r="Y30" s="374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5"/>
      <c r="Q31" s="1342" t="str">
        <f t="shared" si="11"/>
        <v>停车位面积</v>
      </c>
      <c r="R31" s="701" t="s">
        <v>14</v>
      </c>
      <c r="S31" s="702" t="e">
        <f t="shared" si="12"/>
        <v>#N/A</v>
      </c>
      <c r="T31" s="701" t="s">
        <v>14</v>
      </c>
      <c r="U31" s="702" t="e">
        <f t="shared" si="13"/>
        <v>#N/A</v>
      </c>
      <c r="V31" s="701" t="s">
        <v>14</v>
      </c>
      <c r="W31" s="702" t="e">
        <f t="shared" si="14"/>
        <v>#N/A</v>
      </c>
      <c r="X31" s="703"/>
      <c r="Y31" s="374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5" t="s">
        <v>1696</v>
      </c>
      <c r="Q32" s="1351" t="str">
        <f t="shared" si="11"/>
        <v>车位类型</v>
      </c>
      <c r="R32" s="705" t="s">
        <v>14</v>
      </c>
      <c r="S32" s="706">
        <f t="shared" si="12"/>
        <v>100</v>
      </c>
      <c r="T32" s="705" t="s">
        <v>14</v>
      </c>
      <c r="U32" s="706">
        <f t="shared" si="13"/>
        <v>100</v>
      </c>
      <c r="V32" s="705" t="s">
        <v>14</v>
      </c>
      <c r="W32" s="706">
        <f t="shared" si="14"/>
        <v>100</v>
      </c>
      <c r="X32" s="1354"/>
      <c r="Y32" s="374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5"/>
      <c r="Q33" s="1351" t="str">
        <f t="shared" si="11"/>
        <v>是否直接入户</v>
      </c>
      <c r="R33" s="705" t="s">
        <v>14</v>
      </c>
      <c r="S33" s="706">
        <f t="shared" si="12"/>
        <v>100</v>
      </c>
      <c r="T33" s="705" t="s">
        <v>14</v>
      </c>
      <c r="U33" s="706">
        <f t="shared" si="13"/>
        <v>100</v>
      </c>
      <c r="V33" s="705" t="s">
        <v>14</v>
      </c>
      <c r="W33" s="706">
        <f t="shared" si="14"/>
        <v>100</v>
      </c>
      <c r="X33" s="1354"/>
      <c r="Y33" s="374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5"/>
      <c r="Q34" s="1351">
        <f t="shared" si="11"/>
        <v>111</v>
      </c>
      <c r="R34" s="705" t="s">
        <v>14</v>
      </c>
      <c r="S34" s="706">
        <f t="shared" si="12"/>
        <v>100</v>
      </c>
      <c r="T34" s="705" t="s">
        <v>14</v>
      </c>
      <c r="U34" s="706">
        <f t="shared" si="13"/>
        <v>100</v>
      </c>
      <c r="V34" s="705" t="s">
        <v>14</v>
      </c>
      <c r="W34" s="706">
        <f t="shared" si="14"/>
        <v>100</v>
      </c>
      <c r="X34" s="1354"/>
      <c r="Y34" s="374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5"/>
      <c r="Q35" s="707">
        <f t="shared" si="11"/>
        <v>111</v>
      </c>
      <c r="R35" s="708" t="s">
        <v>14</v>
      </c>
      <c r="S35" s="709">
        <f t="shared" si="12"/>
        <v>100</v>
      </c>
      <c r="T35" s="708" t="s">
        <v>14</v>
      </c>
      <c r="U35" s="709">
        <f t="shared" si="13"/>
        <v>100</v>
      </c>
      <c r="V35" s="708" t="s">
        <v>14</v>
      </c>
      <c r="W35" s="709">
        <f t="shared" si="14"/>
        <v>100</v>
      </c>
      <c r="X35" s="710"/>
      <c r="Y35" s="374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5"/>
      <c r="Q36" s="1351">
        <f t="shared" si="11"/>
        <v>111</v>
      </c>
      <c r="R36" s="705" t="s">
        <v>14</v>
      </c>
      <c r="S36" s="706">
        <f t="shared" si="12"/>
        <v>100</v>
      </c>
      <c r="T36" s="705" t="s">
        <v>14</v>
      </c>
      <c r="U36" s="706">
        <f t="shared" si="13"/>
        <v>100</v>
      </c>
      <c r="V36" s="705" t="s">
        <v>14</v>
      </c>
      <c r="W36" s="706">
        <f t="shared" si="14"/>
        <v>100</v>
      </c>
      <c r="X36" s="1354"/>
      <c r="Y36" s="3745"/>
      <c r="Z36" s="1355">
        <f t="shared" si="15"/>
        <v>111</v>
      </c>
      <c r="AA36" s="1352">
        <f t="shared" si="3"/>
        <v>1</v>
      </c>
      <c r="AB36" s="1352">
        <f t="shared" si="4"/>
        <v>1</v>
      </c>
      <c r="AC36" s="1352">
        <f t="shared" si="5"/>
        <v>1</v>
      </c>
    </row>
    <row r="37" spans="1:29" ht="15">
      <c r="A37" s="430" t="s">
        <v>1844</v>
      </c>
      <c r="B37" s="1970" t="s">
        <v>3357</v>
      </c>
      <c r="C37" s="1154" t="s">
        <v>0</v>
      </c>
      <c r="D37" s="1155"/>
      <c r="E37" s="1156"/>
      <c r="F37" s="1157"/>
      <c r="G37" s="1158"/>
      <c r="H37" s="1159"/>
      <c r="I37" s="1156"/>
      <c r="J37" s="1159"/>
      <c r="K37" s="568"/>
      <c r="L37" s="2720"/>
      <c r="M37" s="2721"/>
      <c r="N37" s="2712"/>
      <c r="O37" s="2721"/>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0"/>
      <c r="M38" s="2721"/>
      <c r="N38" s="2721"/>
      <c r="O38" s="2721"/>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5" t="str">
        <f>A39</f>
        <v>估价对象XX用房的比较价值（楼面单价，元/平方米）</v>
      </c>
      <c r="Q39" s="3736"/>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估价对象为北京市房地产，为所有。根据《国有土地使用证》[]，估价对象（分摊）出让国有建设用地使用权面积为0平方米，建筑面积为48.69平方米。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估价对象为北京市房地产,属开发建设的，该项目尚在开发建设中。根据《国有土地使用证》[]，估价对象（分摊）出让国有建设用地使用权面积为0平方米，规划建筑面积为48.69平方米。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2023年9月6日（评估专业人员实地查勘之日）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1" t="s">
        <v>1770</v>
      </c>
      <c r="D4" s="3722"/>
      <c r="E4" s="3723" t="s">
        <v>1771</v>
      </c>
      <c r="F4" s="3724"/>
      <c r="G4" s="3721" t="s">
        <v>1772</v>
      </c>
      <c r="H4" s="3722"/>
      <c r="I4" s="3721" t="s">
        <v>1773</v>
      </c>
      <c r="J4" s="3722"/>
      <c r="K4" s="559" t="s">
        <v>1774</v>
      </c>
      <c r="L4" s="2711"/>
      <c r="M4" s="2712"/>
      <c r="N4" s="2712"/>
      <c r="O4" s="2712"/>
      <c r="P4" s="3725" t="s">
        <v>1775</v>
      </c>
      <c r="Q4" s="3726"/>
      <c r="R4" s="3707" t="s">
        <v>1771</v>
      </c>
      <c r="S4" s="3708"/>
      <c r="T4" s="3707" t="s">
        <v>1772</v>
      </c>
      <c r="U4" s="3708"/>
      <c r="V4" s="3733" t="s">
        <v>1773</v>
      </c>
      <c r="W4" s="3733"/>
      <c r="X4" s="1354"/>
      <c r="Y4" s="3707" t="s">
        <v>1775</v>
      </c>
      <c r="Z4" s="3708"/>
      <c r="AA4" s="3702" t="s">
        <v>1771</v>
      </c>
      <c r="AB4" s="3703" t="s">
        <v>1772</v>
      </c>
      <c r="AC4" s="3702" t="s">
        <v>1773</v>
      </c>
    </row>
    <row r="5" spans="1:29" ht="15">
      <c r="A5" s="358"/>
      <c r="B5" s="359"/>
      <c r="C5" s="3717" t="s">
        <v>1673</v>
      </c>
      <c r="D5" s="3714"/>
      <c r="E5" s="3711" t="s">
        <v>1674</v>
      </c>
      <c r="F5" s="3712"/>
      <c r="G5" s="3717" t="s">
        <v>1675</v>
      </c>
      <c r="H5" s="3714"/>
      <c r="I5" s="3717" t="s">
        <v>1676</v>
      </c>
      <c r="J5" s="3714"/>
      <c r="K5" s="559"/>
      <c r="L5" s="2711"/>
      <c r="M5" s="2712"/>
      <c r="N5" s="2712"/>
      <c r="O5" s="2712"/>
      <c r="P5" s="3727"/>
      <c r="Q5" s="3728"/>
      <c r="R5" s="3709"/>
      <c r="S5" s="3710"/>
      <c r="T5" s="3709"/>
      <c r="U5" s="3710"/>
      <c r="V5" s="3733"/>
      <c r="W5" s="3733"/>
      <c r="X5" s="1354"/>
      <c r="Y5" s="3709"/>
      <c r="Z5" s="3710"/>
      <c r="AA5" s="3703"/>
      <c r="AB5" s="3703"/>
      <c r="AC5" s="3703"/>
    </row>
    <row r="6" spans="1:29" ht="15.75" thickBot="1">
      <c r="A6" s="360"/>
      <c r="B6" s="361"/>
      <c r="C6" s="3715" t="s">
        <v>1677</v>
      </c>
      <c r="D6" s="3716"/>
      <c r="E6" s="3718" t="s">
        <v>1677</v>
      </c>
      <c r="F6" s="3719"/>
      <c r="G6" s="3715" t="s">
        <v>1677</v>
      </c>
      <c r="H6" s="3716"/>
      <c r="I6" s="3715" t="s">
        <v>1677</v>
      </c>
      <c r="J6" s="3716"/>
      <c r="K6" s="559" t="s">
        <v>1678</v>
      </c>
      <c r="L6" s="2711"/>
      <c r="M6" s="2712"/>
      <c r="N6" s="2712"/>
      <c r="O6" s="2712"/>
      <c r="P6" s="3729"/>
      <c r="Q6" s="3730"/>
      <c r="R6" s="3709"/>
      <c r="S6" s="3710"/>
      <c r="T6" s="3731"/>
      <c r="U6" s="3732"/>
      <c r="V6" s="3733"/>
      <c r="W6" s="3733"/>
      <c r="X6" s="1354"/>
      <c r="Y6" s="3731"/>
      <c r="Z6" s="3732"/>
      <c r="AA6" s="3704"/>
      <c r="AB6" s="3704"/>
      <c r="AC6" s="3704"/>
    </row>
    <row r="7" spans="1:29" s="108" customFormat="1" ht="15.75" thickBot="1">
      <c r="A7" s="362" t="s">
        <v>1679</v>
      </c>
      <c r="B7" s="363"/>
      <c r="C7" s="364">
        <f>'数据-取费表'!B2</f>
        <v>45175</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05" t="s">
        <v>1680</v>
      </c>
      <c r="Q7" s="3734"/>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38" t="s">
        <v>1686</v>
      </c>
      <c r="Q9" s="1342" t="str">
        <f t="shared" ref="Q9:Q14" si="6">B9</f>
        <v>用途</v>
      </c>
      <c r="R9" s="701" t="s">
        <v>14</v>
      </c>
      <c r="S9" s="702">
        <f t="shared" si="0"/>
        <v>100</v>
      </c>
      <c r="T9" s="701" t="s">
        <v>14</v>
      </c>
      <c r="U9" s="702">
        <f t="shared" si="1"/>
        <v>100</v>
      </c>
      <c r="V9" s="701" t="s">
        <v>14</v>
      </c>
      <c r="W9" s="702">
        <f t="shared" si="2"/>
        <v>100</v>
      </c>
      <c r="X9" s="703"/>
      <c r="Y9" s="3649"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38"/>
      <c r="Q10" s="1342"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38"/>
      <c r="Q11" s="1342">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38"/>
      <c r="Q12" s="1342">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38"/>
      <c r="Q13" s="1342">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14">
      <c r="A14" s="391" t="s">
        <v>1690</v>
      </c>
      <c r="B14" s="61" t="s">
        <v>1833</v>
      </c>
      <c r="C14" s="1968" t="str">
        <f>IF(B1="工业",估价对象房地状况!G4,估价对象房地状况!C6)</f>
        <v>周边有31路、138路、421路、486路、985路等多条公交线路，距离地铁1、14号线大望路站约600米，交通较便捷。</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0" t="s">
        <v>1691</v>
      </c>
      <c r="Q14" s="1351" t="str">
        <f t="shared" si="6"/>
        <v>交通便捷度</v>
      </c>
      <c r="R14" s="705" t="s">
        <v>14</v>
      </c>
      <c r="S14" s="706">
        <f t="shared" si="0"/>
        <v>100</v>
      </c>
      <c r="T14" s="705" t="s">
        <v>14</v>
      </c>
      <c r="U14" s="706">
        <f t="shared" si="1"/>
        <v>100</v>
      </c>
      <c r="V14" s="705" t="s">
        <v>14</v>
      </c>
      <c r="W14" s="706">
        <f t="shared" si="2"/>
        <v>100</v>
      </c>
      <c r="X14" s="1354"/>
      <c r="Y14" s="374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41"/>
      <c r="Q15" s="1351"/>
      <c r="R15" s="705"/>
      <c r="S15" s="706"/>
      <c r="T15" s="705"/>
      <c r="U15" s="706"/>
      <c r="V15" s="705"/>
      <c r="W15" s="706"/>
      <c r="X15" s="1354"/>
      <c r="Y15" s="3741"/>
      <c r="Z15" s="1355"/>
      <c r="AA15" s="1352">
        <v>1</v>
      </c>
      <c r="AB15" s="1352">
        <v>1</v>
      </c>
      <c r="AC15" s="1352">
        <v>1</v>
      </c>
    </row>
    <row r="16" spans="1:29" ht="370.5">
      <c r="A16" s="379"/>
      <c r="B16" s="402" t="s">
        <v>1812</v>
      </c>
      <c r="C16" s="1899" t="str">
        <f>IF(B1="工业",估价对象房地状况!G5,估价对象房地状况!C7)</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1"/>
      <c r="Q16" s="1351" t="str">
        <f>B16</f>
        <v>公共配套设施</v>
      </c>
      <c r="R16" s="705" t="s">
        <v>14</v>
      </c>
      <c r="S16" s="706">
        <f>F16</f>
        <v>100</v>
      </c>
      <c r="T16" s="705" t="s">
        <v>14</v>
      </c>
      <c r="U16" s="706">
        <f>H16</f>
        <v>100</v>
      </c>
      <c r="V16" s="705" t="s">
        <v>14</v>
      </c>
      <c r="W16" s="706">
        <f>J16</f>
        <v>100</v>
      </c>
      <c r="X16" s="1354"/>
      <c r="Y16" s="374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741"/>
      <c r="Q17" s="1351"/>
      <c r="R17" s="705"/>
      <c r="S17" s="706"/>
      <c r="T17" s="705"/>
      <c r="U17" s="706"/>
      <c r="V17" s="705"/>
      <c r="W17" s="706"/>
      <c r="X17" s="1354"/>
      <c r="Y17" s="3741"/>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1"/>
      <c r="Q18" s="1351" t="str">
        <f>B18</f>
        <v>基础设施水平</v>
      </c>
      <c r="R18" s="705" t="s">
        <v>14</v>
      </c>
      <c r="S18" s="706">
        <f>F18</f>
        <v>100</v>
      </c>
      <c r="T18" s="705" t="s">
        <v>14</v>
      </c>
      <c r="U18" s="706">
        <f>H18</f>
        <v>100</v>
      </c>
      <c r="V18" s="705" t="s">
        <v>14</v>
      </c>
      <c r="W18" s="706">
        <f>J18</f>
        <v>100</v>
      </c>
      <c r="X18" s="1354"/>
      <c r="Y18" s="374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8"/>
      <c r="M19" s="2712"/>
      <c r="N19" s="2712"/>
      <c r="O19" s="2770"/>
      <c r="P19" s="3741"/>
      <c r="Q19" s="1351"/>
      <c r="R19" s="705"/>
      <c r="S19" s="706"/>
      <c r="T19" s="705"/>
      <c r="U19" s="706"/>
      <c r="V19" s="705"/>
      <c r="W19" s="706"/>
      <c r="X19" s="1354"/>
      <c r="Y19" s="3741"/>
      <c r="Z19" s="1355"/>
      <c r="AA19" s="1352">
        <v>1</v>
      </c>
      <c r="AB19" s="1352">
        <v>1</v>
      </c>
      <c r="AC19" s="1352">
        <v>1</v>
      </c>
    </row>
    <row r="20" spans="1:29" ht="128.25">
      <c r="A20" s="379"/>
      <c r="B20" s="402" t="s">
        <v>1834</v>
      </c>
      <c r="C20" s="1899" t="str">
        <f>IF(B1="工业",估价对象房地状况!G7,估价对象房地状况!C9)</f>
        <v>估价对象周边有通惠河、庆丰公园、团结湖公园等自然环境；有中央广播电视总台、首经贸大学等人文环境，综合评价自然人文环境较好。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1"/>
      <c r="Q20" s="1351" t="str">
        <f>B20</f>
        <v>自然及人文环境</v>
      </c>
      <c r="R20" s="705" t="s">
        <v>14</v>
      </c>
      <c r="S20" s="706">
        <f>F20</f>
        <v>100</v>
      </c>
      <c r="T20" s="705" t="s">
        <v>14</v>
      </c>
      <c r="U20" s="706">
        <f>H20</f>
        <v>100</v>
      </c>
      <c r="V20" s="705" t="s">
        <v>14</v>
      </c>
      <c r="W20" s="706">
        <f>J20</f>
        <v>100</v>
      </c>
      <c r="X20" s="1354"/>
      <c r="Y20" s="374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41"/>
      <c r="Q21" s="1351"/>
      <c r="R21" s="705"/>
      <c r="S21" s="706"/>
      <c r="T21" s="705"/>
      <c r="U21" s="706"/>
      <c r="V21" s="705"/>
      <c r="W21" s="706"/>
      <c r="X21" s="1354"/>
      <c r="Y21" s="374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1"/>
      <c r="Q22" s="1351" t="str">
        <f>B22</f>
        <v>楼层</v>
      </c>
      <c r="R22" s="705" t="s">
        <v>14</v>
      </c>
      <c r="S22" s="706">
        <f>F22</f>
        <v>100</v>
      </c>
      <c r="T22" s="705" t="s">
        <v>14</v>
      </c>
      <c r="U22" s="706">
        <f>H22</f>
        <v>100</v>
      </c>
      <c r="V22" s="705" t="s">
        <v>14</v>
      </c>
      <c r="W22" s="706">
        <f>J22</f>
        <v>100</v>
      </c>
      <c r="X22" s="1354"/>
      <c r="Y22" s="374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1"/>
      <c r="Q23" s="1351">
        <f>B23</f>
        <v>111</v>
      </c>
      <c r="R23" s="705" t="s">
        <v>14</v>
      </c>
      <c r="S23" s="706">
        <f>F23</f>
        <v>100</v>
      </c>
      <c r="T23" s="705" t="s">
        <v>14</v>
      </c>
      <c r="U23" s="706">
        <f>H23</f>
        <v>100</v>
      </c>
      <c r="V23" s="705" t="s">
        <v>14</v>
      </c>
      <c r="W23" s="706">
        <f>J23</f>
        <v>100</v>
      </c>
      <c r="X23" s="1354"/>
      <c r="Y23" s="374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1"/>
      <c r="Q24" s="1351">
        <f t="shared" ref="Q24:Q34" si="11">B24</f>
        <v>111</v>
      </c>
      <c r="R24" s="705" t="s">
        <v>14</v>
      </c>
      <c r="S24" s="706">
        <f>F24</f>
        <v>100</v>
      </c>
      <c r="T24" s="705" t="s">
        <v>14</v>
      </c>
      <c r="U24" s="706">
        <f>H24</f>
        <v>100</v>
      </c>
      <c r="V24" s="705" t="s">
        <v>14</v>
      </c>
      <c r="W24" s="706">
        <f>J24</f>
        <v>100</v>
      </c>
      <c r="X24" s="1354"/>
      <c r="Y24" s="3741"/>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41"/>
      <c r="Q25" s="1342">
        <f t="shared" si="11"/>
        <v>111</v>
      </c>
      <c r="R25" s="701" t="s">
        <v>14</v>
      </c>
      <c r="S25" s="702">
        <f>F25</f>
        <v>100</v>
      </c>
      <c r="T25" s="701" t="s">
        <v>14</v>
      </c>
      <c r="U25" s="702">
        <f>H25</f>
        <v>100</v>
      </c>
      <c r="V25" s="701" t="s">
        <v>14</v>
      </c>
      <c r="W25" s="702">
        <f>J25</f>
        <v>100</v>
      </c>
      <c r="X25" s="703"/>
      <c r="Y25" s="3741"/>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6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4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5"/>
      <c r="Q27" s="707" t="str">
        <f t="shared" si="11"/>
        <v>成新率</v>
      </c>
      <c r="R27" s="708" t="s">
        <v>14</v>
      </c>
      <c r="S27" s="709" t="e">
        <f t="shared" si="12"/>
        <v>#N/A</v>
      </c>
      <c r="T27" s="708" t="s">
        <v>14</v>
      </c>
      <c r="U27" s="709" t="e">
        <f t="shared" si="13"/>
        <v>#N/A</v>
      </c>
      <c r="V27" s="708" t="s">
        <v>14</v>
      </c>
      <c r="W27" s="709" t="e">
        <f t="shared" si="14"/>
        <v>#N/A</v>
      </c>
      <c r="X27" s="710"/>
      <c r="Y27" s="374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5"/>
      <c r="Q28" s="1351" t="str">
        <f t="shared" si="11"/>
        <v>物业等级</v>
      </c>
      <c r="R28" s="705" t="s">
        <v>14</v>
      </c>
      <c r="S28" s="706">
        <f t="shared" si="12"/>
        <v>100</v>
      </c>
      <c r="T28" s="705" t="s">
        <v>14</v>
      </c>
      <c r="U28" s="706">
        <f t="shared" si="13"/>
        <v>100</v>
      </c>
      <c r="V28" s="705" t="s">
        <v>14</v>
      </c>
      <c r="W28" s="706">
        <f t="shared" si="14"/>
        <v>100</v>
      </c>
      <c r="X28" s="1354"/>
      <c r="Y28" s="374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5"/>
      <c r="Q29" s="1351" t="str">
        <f t="shared" si="11"/>
        <v>有无电梯</v>
      </c>
      <c r="R29" s="705" t="s">
        <v>14</v>
      </c>
      <c r="S29" s="706">
        <f t="shared" si="12"/>
        <v>100</v>
      </c>
      <c r="T29" s="705" t="s">
        <v>14</v>
      </c>
      <c r="U29" s="706">
        <f t="shared" si="13"/>
        <v>100</v>
      </c>
      <c r="V29" s="705" t="s">
        <v>14</v>
      </c>
      <c r="W29" s="706">
        <f t="shared" si="14"/>
        <v>100</v>
      </c>
      <c r="X29" s="1354"/>
      <c r="Y29" s="374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5"/>
      <c r="Q30" s="1351" t="str">
        <f t="shared" si="11"/>
        <v>建筑面积</v>
      </c>
      <c r="R30" s="705" t="s">
        <v>14</v>
      </c>
      <c r="S30" s="706" t="e">
        <f t="shared" si="12"/>
        <v>#N/A</v>
      </c>
      <c r="T30" s="705" t="s">
        <v>14</v>
      </c>
      <c r="U30" s="706" t="e">
        <f t="shared" si="13"/>
        <v>#N/A</v>
      </c>
      <c r="V30" s="705" t="s">
        <v>14</v>
      </c>
      <c r="W30" s="706" t="e">
        <f t="shared" si="14"/>
        <v>#N/A</v>
      </c>
      <c r="X30" s="1354"/>
      <c r="Y30" s="374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5"/>
      <c r="Q31" s="1342" t="str">
        <f t="shared" si="11"/>
        <v>是否封闭</v>
      </c>
      <c r="R31" s="701" t="s">
        <v>14</v>
      </c>
      <c r="S31" s="702">
        <f t="shared" si="12"/>
        <v>100</v>
      </c>
      <c r="T31" s="701" t="s">
        <v>14</v>
      </c>
      <c r="U31" s="702">
        <f t="shared" si="13"/>
        <v>100</v>
      </c>
      <c r="V31" s="701" t="s">
        <v>14</v>
      </c>
      <c r="W31" s="702">
        <f t="shared" si="14"/>
        <v>100</v>
      </c>
      <c r="X31" s="703"/>
      <c r="Y31" s="374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5" t="s">
        <v>1696</v>
      </c>
      <c r="Q32" s="1351">
        <f t="shared" si="11"/>
        <v>111</v>
      </c>
      <c r="R32" s="705" t="s">
        <v>14</v>
      </c>
      <c r="S32" s="706">
        <f t="shared" si="12"/>
        <v>100</v>
      </c>
      <c r="T32" s="705" t="s">
        <v>14</v>
      </c>
      <c r="U32" s="706">
        <f t="shared" si="13"/>
        <v>100</v>
      </c>
      <c r="V32" s="705" t="s">
        <v>14</v>
      </c>
      <c r="W32" s="706">
        <f t="shared" si="14"/>
        <v>100</v>
      </c>
      <c r="X32" s="1354"/>
      <c r="Y32" s="374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5"/>
      <c r="Q33" s="1351">
        <f t="shared" si="11"/>
        <v>111</v>
      </c>
      <c r="R33" s="705" t="s">
        <v>14</v>
      </c>
      <c r="S33" s="706">
        <f t="shared" si="12"/>
        <v>100</v>
      </c>
      <c r="T33" s="705" t="s">
        <v>14</v>
      </c>
      <c r="U33" s="706">
        <f t="shared" si="13"/>
        <v>100</v>
      </c>
      <c r="V33" s="705" t="s">
        <v>14</v>
      </c>
      <c r="W33" s="706">
        <f t="shared" si="14"/>
        <v>100</v>
      </c>
      <c r="X33" s="1354"/>
      <c r="Y33" s="3745"/>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45"/>
      <c r="Q34" s="1351">
        <f t="shared" si="11"/>
        <v>111</v>
      </c>
      <c r="R34" s="705" t="s">
        <v>14</v>
      </c>
      <c r="S34" s="706">
        <f t="shared" si="12"/>
        <v>100</v>
      </c>
      <c r="T34" s="705" t="s">
        <v>14</v>
      </c>
      <c r="U34" s="706">
        <f t="shared" si="13"/>
        <v>100</v>
      </c>
      <c r="V34" s="705" t="s">
        <v>14</v>
      </c>
      <c r="W34" s="706">
        <f t="shared" si="14"/>
        <v>100</v>
      </c>
      <c r="X34" s="1354"/>
      <c r="Y34" s="374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0"/>
      <c r="M36" s="2721"/>
      <c r="N36" s="2712"/>
      <c r="O36" s="2721"/>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5" t="str">
        <f>A37</f>
        <v>估价对象XX用房的比较价值（楼面单价，元/平方米）</v>
      </c>
      <c r="Q37" s="3736"/>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21" t="s">
        <v>1770</v>
      </c>
      <c r="D4" s="3722"/>
      <c r="E4" s="3723" t="s">
        <v>1771</v>
      </c>
      <c r="F4" s="3724"/>
      <c r="G4" s="3721" t="s">
        <v>1772</v>
      </c>
      <c r="H4" s="3722"/>
      <c r="I4" s="3721" t="s">
        <v>1773</v>
      </c>
      <c r="J4" s="3722"/>
      <c r="K4" s="559" t="s">
        <v>1774</v>
      </c>
      <c r="L4" s="2711"/>
      <c r="M4" s="2712"/>
      <c r="N4" s="2712"/>
      <c r="O4" s="2712"/>
      <c r="P4" s="3725" t="s">
        <v>1775</v>
      </c>
      <c r="Q4" s="3726"/>
      <c r="R4" s="3707" t="s">
        <v>1771</v>
      </c>
      <c r="S4" s="3708"/>
      <c r="T4" s="3707" t="s">
        <v>1772</v>
      </c>
      <c r="U4" s="3708"/>
      <c r="V4" s="3733" t="s">
        <v>1773</v>
      </c>
      <c r="W4" s="3733"/>
      <c r="X4" s="1354"/>
      <c r="Y4" s="3707" t="s">
        <v>1775</v>
      </c>
      <c r="Z4" s="3708"/>
      <c r="AA4" s="3702" t="s">
        <v>1771</v>
      </c>
      <c r="AB4" s="3703" t="s">
        <v>1772</v>
      </c>
      <c r="AC4" s="3702" t="s">
        <v>1773</v>
      </c>
    </row>
    <row r="5" spans="1:30" ht="15">
      <c r="A5" s="358"/>
      <c r="B5" s="359"/>
      <c r="C5" s="3717" t="s">
        <v>1673</v>
      </c>
      <c r="D5" s="3714"/>
      <c r="E5" s="3711" t="s">
        <v>1674</v>
      </c>
      <c r="F5" s="3712"/>
      <c r="G5" s="3717" t="s">
        <v>1675</v>
      </c>
      <c r="H5" s="3714"/>
      <c r="I5" s="3717" t="s">
        <v>1676</v>
      </c>
      <c r="J5" s="3714"/>
      <c r="K5" s="559"/>
      <c r="L5" s="2711"/>
      <c r="M5" s="2712"/>
      <c r="N5" s="2712"/>
      <c r="O5" s="2712"/>
      <c r="P5" s="3727"/>
      <c r="Q5" s="3728"/>
      <c r="R5" s="3709"/>
      <c r="S5" s="3710"/>
      <c r="T5" s="3709"/>
      <c r="U5" s="3710"/>
      <c r="V5" s="3733"/>
      <c r="W5" s="3733"/>
      <c r="X5" s="1354"/>
      <c r="Y5" s="3709"/>
      <c r="Z5" s="3710"/>
      <c r="AA5" s="3703"/>
      <c r="AB5" s="3703"/>
      <c r="AC5" s="3703"/>
    </row>
    <row r="6" spans="1:30" ht="15.75" thickBot="1">
      <c r="A6" s="360"/>
      <c r="B6" s="361"/>
      <c r="C6" s="3715" t="s">
        <v>1677</v>
      </c>
      <c r="D6" s="3716"/>
      <c r="E6" s="3718" t="s">
        <v>1677</v>
      </c>
      <c r="F6" s="3719"/>
      <c r="G6" s="3715" t="s">
        <v>1677</v>
      </c>
      <c r="H6" s="3716"/>
      <c r="I6" s="3715" t="s">
        <v>1677</v>
      </c>
      <c r="J6" s="3716"/>
      <c r="K6" s="559" t="s">
        <v>1678</v>
      </c>
      <c r="L6" s="2711"/>
      <c r="M6" s="2712"/>
      <c r="N6" s="2712"/>
      <c r="O6" s="2712"/>
      <c r="P6" s="3729"/>
      <c r="Q6" s="3730"/>
      <c r="R6" s="3709"/>
      <c r="S6" s="3710"/>
      <c r="T6" s="3731"/>
      <c r="U6" s="3732"/>
      <c r="V6" s="3733"/>
      <c r="W6" s="3733"/>
      <c r="X6" s="1354"/>
      <c r="Y6" s="3731"/>
      <c r="Z6" s="3732"/>
      <c r="AA6" s="3704"/>
      <c r="AB6" s="3704"/>
      <c r="AC6" s="3704"/>
    </row>
    <row r="7" spans="1:30" s="108" customFormat="1" ht="15.75" thickBot="1">
      <c r="A7" s="362" t="s">
        <v>1679</v>
      </c>
      <c r="B7" s="363"/>
      <c r="C7" s="364">
        <f>'数据-取费表'!B2</f>
        <v>45175</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05" t="s">
        <v>1680</v>
      </c>
      <c r="Q7" s="3734"/>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38" t="s">
        <v>1686</v>
      </c>
      <c r="Q9" s="1342"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5"/>
      <c r="M10" s="2716"/>
      <c r="N10" s="2716"/>
      <c r="O10" s="2769"/>
      <c r="P10" s="3738"/>
      <c r="Q10" s="1342" t="str">
        <f t="shared" si="6"/>
        <v>土地使用年限（年）</v>
      </c>
      <c r="R10" s="701" t="s">
        <v>14</v>
      </c>
      <c r="S10" s="702">
        <f t="shared" si="0"/>
        <v>109</v>
      </c>
      <c r="T10" s="701" t="s">
        <v>14</v>
      </c>
      <c r="U10" s="702">
        <f t="shared" si="1"/>
        <v>109</v>
      </c>
      <c r="V10" s="701" t="s">
        <v>14</v>
      </c>
      <c r="W10" s="702">
        <f t="shared" si="2"/>
        <v>109</v>
      </c>
      <c r="X10" s="703"/>
      <c r="Y10" s="3649"/>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38"/>
      <c r="Q11" s="1342"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38"/>
      <c r="Q12" s="1342"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38"/>
      <c r="Q13" s="1342">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38"/>
      <c r="Q14" s="1342">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85.5">
      <c r="A15" s="391" t="s">
        <v>1690</v>
      </c>
      <c r="B15" s="61" t="s">
        <v>1257</v>
      </c>
      <c r="C15" s="1895" t="str">
        <f>估价对象房地状况!C15</f>
        <v>周边有金地国际花园、蓝堡国际公寓、温特莱中心等住宅项目，居住社区成熟度较好。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40" t="s">
        <v>1691</v>
      </c>
      <c r="Q15" s="1351" t="str">
        <f t="shared" si="6"/>
        <v>居住社区成熟度</v>
      </c>
      <c r="R15" s="705" t="s">
        <v>14</v>
      </c>
      <c r="S15" s="706">
        <f t="shared" si="0"/>
        <v>100</v>
      </c>
      <c r="T15" s="705" t="s">
        <v>14</v>
      </c>
      <c r="U15" s="706">
        <f t="shared" si="1"/>
        <v>100</v>
      </c>
      <c r="V15" s="705" t="s">
        <v>14</v>
      </c>
      <c r="W15" s="706">
        <f t="shared" si="2"/>
        <v>100</v>
      </c>
      <c r="X15" s="1354"/>
      <c r="Y15" s="374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741"/>
      <c r="Q16" s="1351"/>
      <c r="R16" s="705"/>
      <c r="S16" s="706"/>
      <c r="T16" s="705"/>
      <c r="U16" s="706"/>
      <c r="V16" s="705"/>
      <c r="W16" s="706"/>
      <c r="X16" s="1354"/>
      <c r="Y16" s="3741"/>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41"/>
      <c r="Q17" s="1351" t="str">
        <f>B17</f>
        <v>商业繁华度</v>
      </c>
      <c r="R17" s="705" t="s">
        <v>14</v>
      </c>
      <c r="S17" s="706">
        <f>F17</f>
        <v>100</v>
      </c>
      <c r="T17" s="705" t="s">
        <v>14</v>
      </c>
      <c r="U17" s="706">
        <f>H17</f>
        <v>100</v>
      </c>
      <c r="V17" s="705" t="s">
        <v>14</v>
      </c>
      <c r="W17" s="706">
        <f>J17</f>
        <v>100</v>
      </c>
      <c r="X17" s="1354"/>
      <c r="Y17" s="374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741"/>
      <c r="Q18" s="1351"/>
      <c r="R18" s="705"/>
      <c r="S18" s="706"/>
      <c r="T18" s="705"/>
      <c r="U18" s="706"/>
      <c r="V18" s="705"/>
      <c r="W18" s="706"/>
      <c r="X18" s="1354"/>
      <c r="Y18" s="3741"/>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41"/>
      <c r="Q19" s="1351" t="str">
        <f>B19</f>
        <v>办公集聚程度</v>
      </c>
      <c r="R19" s="705" t="s">
        <v>14</v>
      </c>
      <c r="S19" s="706">
        <f>F19</f>
        <v>100</v>
      </c>
      <c r="T19" s="705" t="s">
        <v>14</v>
      </c>
      <c r="U19" s="706">
        <f>H19</f>
        <v>100</v>
      </c>
      <c r="V19" s="705" t="s">
        <v>14</v>
      </c>
      <c r="W19" s="706">
        <f>J19</f>
        <v>100</v>
      </c>
      <c r="X19" s="1354"/>
      <c r="Y19" s="374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741"/>
      <c r="Q20" s="1351"/>
      <c r="R20" s="705"/>
      <c r="S20" s="706"/>
      <c r="T20" s="705"/>
      <c r="U20" s="706"/>
      <c r="V20" s="705"/>
      <c r="W20" s="706"/>
      <c r="X20" s="1354"/>
      <c r="Y20" s="3741"/>
      <c r="Z20" s="1355"/>
      <c r="AA20" s="1352">
        <v>1</v>
      </c>
      <c r="AB20" s="1352">
        <v>1</v>
      </c>
      <c r="AC20" s="1352">
        <v>1</v>
      </c>
    </row>
    <row r="21" spans="1:29" ht="114">
      <c r="A21" s="379"/>
      <c r="B21" s="402" t="s">
        <v>1833</v>
      </c>
      <c r="C21" s="1899" t="str">
        <f>估价对象房地状况!C18</f>
        <v>周边有31路、138路、421路、486路、985路等多条公交线路，距离地铁1、14号线大望路站约600米，交通较便捷。</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41"/>
      <c r="Q21" s="1351" t="str">
        <f>B21</f>
        <v>交通便捷度</v>
      </c>
      <c r="R21" s="705" t="s">
        <v>14</v>
      </c>
      <c r="S21" s="706">
        <f>F21</f>
        <v>100</v>
      </c>
      <c r="T21" s="705" t="s">
        <v>14</v>
      </c>
      <c r="U21" s="706">
        <f>H21</f>
        <v>100</v>
      </c>
      <c r="V21" s="705" t="s">
        <v>14</v>
      </c>
      <c r="W21" s="706">
        <f>J21</f>
        <v>100</v>
      </c>
      <c r="X21" s="1354"/>
      <c r="Y21" s="3741"/>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8"/>
      <c r="M22" s="2712"/>
      <c r="N22" s="2712"/>
      <c r="O22" s="2770"/>
      <c r="P22" s="3741"/>
      <c r="Q22" s="1351"/>
      <c r="R22" s="705"/>
      <c r="S22" s="706"/>
      <c r="T22" s="705"/>
      <c r="U22" s="706"/>
      <c r="V22" s="705"/>
      <c r="W22" s="706"/>
      <c r="X22" s="1354"/>
      <c r="Y22" s="3741"/>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41"/>
      <c r="Q23" s="1351" t="str">
        <f t="shared" ref="Q23:Q37" si="8">B23</f>
        <v>区域土地利用方向</v>
      </c>
      <c r="R23" s="705" t="s">
        <v>14</v>
      </c>
      <c r="S23" s="706">
        <f>F23</f>
        <v>100</v>
      </c>
      <c r="T23" s="705" t="s">
        <v>14</v>
      </c>
      <c r="U23" s="706">
        <f>H23</f>
        <v>100</v>
      </c>
      <c r="V23" s="705" t="s">
        <v>14</v>
      </c>
      <c r="W23" s="706">
        <f>J23</f>
        <v>100</v>
      </c>
      <c r="X23" s="1354"/>
      <c r="Y23" s="374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8"/>
      <c r="M24" s="2712"/>
      <c r="N24" s="2712"/>
      <c r="O24" s="2770"/>
      <c r="P24" s="3741"/>
      <c r="Q24" s="1351"/>
      <c r="R24" s="705"/>
      <c r="S24" s="706"/>
      <c r="T24" s="705"/>
      <c r="U24" s="706"/>
      <c r="V24" s="705"/>
      <c r="W24" s="706"/>
      <c r="X24" s="1354"/>
      <c r="Y24" s="3741"/>
      <c r="Z24" s="1355"/>
      <c r="AA24" s="1352"/>
      <c r="AB24" s="1352"/>
      <c r="AC24" s="1352"/>
    </row>
    <row r="25" spans="1:29" ht="128.25">
      <c r="A25" s="358"/>
      <c r="B25" s="1131" t="s">
        <v>1872</v>
      </c>
      <c r="C25" s="1952" t="str">
        <f>估价对象房地状况!C20</f>
        <v>估价对象周边有通惠河、庆丰公园、团结湖公园等自然环境；有中央广播电视总台、首经贸大学等人文环境，综合评价自然人文环境较好。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41"/>
      <c r="Q25" s="1351" t="str">
        <f t="shared" si="8"/>
        <v>自然及人文环境状况</v>
      </c>
      <c r="R25" s="705" t="s">
        <v>14</v>
      </c>
      <c r="S25" s="706">
        <f>F25</f>
        <v>100</v>
      </c>
      <c r="T25" s="705" t="s">
        <v>14</v>
      </c>
      <c r="U25" s="706">
        <f>H25</f>
        <v>100</v>
      </c>
      <c r="V25" s="705" t="s">
        <v>14</v>
      </c>
      <c r="W25" s="706">
        <f>J25</f>
        <v>100</v>
      </c>
      <c r="X25" s="1354"/>
      <c r="Y25" s="374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741"/>
      <c r="Q26" s="1351"/>
      <c r="R26" s="705"/>
      <c r="S26" s="706"/>
      <c r="T26" s="705"/>
      <c r="U26" s="706"/>
      <c r="V26" s="705"/>
      <c r="W26" s="706"/>
      <c r="X26" s="1354"/>
      <c r="Y26" s="3741"/>
      <c r="Z26" s="1355"/>
      <c r="AA26" s="1352">
        <v>1</v>
      </c>
      <c r="AB26" s="1352">
        <v>1</v>
      </c>
      <c r="AC26" s="1352">
        <v>1</v>
      </c>
    </row>
    <row r="27" spans="1:29" s="108" customFormat="1" ht="370.5">
      <c r="A27" s="597"/>
      <c r="B27" s="1131" t="s">
        <v>1778</v>
      </c>
      <c r="C27" s="1899" t="str">
        <f>估价对象房地状况!C21</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41"/>
      <c r="Q27" s="1342" t="str">
        <f t="shared" si="8"/>
        <v>公共配套设施</v>
      </c>
      <c r="R27" s="701" t="s">
        <v>14</v>
      </c>
      <c r="S27" s="702">
        <f>F27</f>
        <v>100</v>
      </c>
      <c r="T27" s="701" t="s">
        <v>14</v>
      </c>
      <c r="U27" s="702">
        <f>H27</f>
        <v>100</v>
      </c>
      <c r="V27" s="701" t="s">
        <v>14</v>
      </c>
      <c r="W27" s="702">
        <f>J27</f>
        <v>100</v>
      </c>
      <c r="X27" s="703"/>
      <c r="Y27" s="3741"/>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3"/>
      <c r="M28" s="2714"/>
      <c r="N28" s="2714"/>
      <c r="O28" s="2768"/>
      <c r="P28" s="3741"/>
      <c r="Q28" s="1342"/>
      <c r="R28" s="701"/>
      <c r="S28" s="702"/>
      <c r="T28" s="701"/>
      <c r="U28" s="702"/>
      <c r="V28" s="701"/>
      <c r="W28" s="702"/>
      <c r="X28" s="703"/>
      <c r="Y28" s="3741"/>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41"/>
      <c r="Q29" s="1342" t="str">
        <f t="shared" ref="Q29" si="9">B29</f>
        <v>基础设施水平</v>
      </c>
      <c r="R29" s="701" t="s">
        <v>14</v>
      </c>
      <c r="S29" s="702">
        <f>F29</f>
        <v>100</v>
      </c>
      <c r="T29" s="701" t="s">
        <v>14</v>
      </c>
      <c r="U29" s="702">
        <f>H29</f>
        <v>100</v>
      </c>
      <c r="V29" s="701" t="s">
        <v>14</v>
      </c>
      <c r="W29" s="702">
        <f>J29</f>
        <v>100</v>
      </c>
      <c r="X29" s="703"/>
      <c r="Y29" s="3741"/>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3"/>
      <c r="M30" s="2714"/>
      <c r="N30" s="2714"/>
      <c r="O30" s="2768"/>
      <c r="P30" s="3741"/>
      <c r="Q30" s="1342"/>
      <c r="R30" s="701"/>
      <c r="S30" s="702"/>
      <c r="T30" s="701"/>
      <c r="U30" s="702"/>
      <c r="V30" s="701"/>
      <c r="W30" s="702"/>
      <c r="X30" s="703"/>
      <c r="Y30" s="374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4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1"/>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41"/>
      <c r="Q32" s="1351" t="str">
        <f t="shared" si="8"/>
        <v>毗邻道路的类型与等级</v>
      </c>
      <c r="R32" s="705" t="s">
        <v>14</v>
      </c>
      <c r="S32" s="706">
        <f t="shared" si="10"/>
        <v>100</v>
      </c>
      <c r="T32" s="705" t="s">
        <v>14</v>
      </c>
      <c r="U32" s="706">
        <f t="shared" si="11"/>
        <v>100</v>
      </c>
      <c r="V32" s="705" t="s">
        <v>14</v>
      </c>
      <c r="W32" s="706">
        <f t="shared" si="12"/>
        <v>100</v>
      </c>
      <c r="X32" s="1354"/>
      <c r="Y32" s="374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41"/>
      <c r="Q33" s="1351"/>
      <c r="R33" s="705"/>
      <c r="S33" s="706"/>
      <c r="T33" s="705"/>
      <c r="U33" s="706"/>
      <c r="V33" s="705"/>
      <c r="W33" s="706"/>
      <c r="X33" s="1354"/>
      <c r="Y33" s="374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41"/>
      <c r="Q34" s="1351" t="str">
        <f t="shared" si="8"/>
        <v>土地级别</v>
      </c>
      <c r="R34" s="705" t="s">
        <v>14</v>
      </c>
      <c r="S34" s="706">
        <f t="shared" si="10"/>
        <v>100</v>
      </c>
      <c r="T34" s="705" t="s">
        <v>14</v>
      </c>
      <c r="U34" s="706">
        <f t="shared" si="11"/>
        <v>100</v>
      </c>
      <c r="V34" s="705" t="s">
        <v>14</v>
      </c>
      <c r="W34" s="706">
        <f t="shared" si="12"/>
        <v>100</v>
      </c>
      <c r="X34" s="1354"/>
      <c r="Y34" s="374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41"/>
      <c r="Q35" s="1351">
        <f t="shared" si="8"/>
        <v>111</v>
      </c>
      <c r="R35" s="705" t="s">
        <v>14</v>
      </c>
      <c r="S35" s="706">
        <f t="shared" si="10"/>
        <v>100</v>
      </c>
      <c r="T35" s="705" t="s">
        <v>14</v>
      </c>
      <c r="U35" s="706">
        <f t="shared" si="11"/>
        <v>100</v>
      </c>
      <c r="V35" s="705" t="s">
        <v>14</v>
      </c>
      <c r="W35" s="706">
        <f t="shared" si="12"/>
        <v>100</v>
      </c>
      <c r="X35" s="1354"/>
      <c r="Y35" s="374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4" t="s">
        <v>1696</v>
      </c>
      <c r="Q36" s="1351">
        <f t="shared" si="8"/>
        <v>111</v>
      </c>
      <c r="R36" s="705" t="s">
        <v>14</v>
      </c>
      <c r="S36" s="706">
        <f t="shared" si="10"/>
        <v>100</v>
      </c>
      <c r="T36" s="705" t="s">
        <v>14</v>
      </c>
      <c r="U36" s="706">
        <f t="shared" si="11"/>
        <v>100</v>
      </c>
      <c r="V36" s="705" t="s">
        <v>14</v>
      </c>
      <c r="W36" s="706">
        <f t="shared" si="12"/>
        <v>100</v>
      </c>
      <c r="X36" s="1354"/>
      <c r="Y36" s="3745"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5"/>
      <c r="Q37" s="1351">
        <f t="shared" si="8"/>
        <v>111</v>
      </c>
      <c r="R37" s="708" t="s">
        <v>14</v>
      </c>
      <c r="S37" s="709">
        <f t="shared" si="10"/>
        <v>100</v>
      </c>
      <c r="T37" s="708" t="s">
        <v>14</v>
      </c>
      <c r="U37" s="709">
        <f t="shared" si="11"/>
        <v>100</v>
      </c>
      <c r="V37" s="708" t="s">
        <v>14</v>
      </c>
      <c r="W37" s="709">
        <f t="shared" si="12"/>
        <v>100</v>
      </c>
      <c r="X37" s="710"/>
      <c r="Y37" s="3745"/>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5"/>
      <c r="Q38" s="1351" t="str">
        <f>B38</f>
        <v>宗地面积</v>
      </c>
      <c r="R38" s="705" t="s">
        <v>14</v>
      </c>
      <c r="S38" s="706" t="e">
        <f t="shared" si="10"/>
        <v>#N/A</v>
      </c>
      <c r="T38" s="705" t="s">
        <v>14</v>
      </c>
      <c r="U38" s="706" t="e">
        <f t="shared" si="11"/>
        <v>#N/A</v>
      </c>
      <c r="V38" s="705" t="s">
        <v>14</v>
      </c>
      <c r="W38" s="706" t="e">
        <f t="shared" si="12"/>
        <v>#N/A</v>
      </c>
      <c r="X38" s="1354"/>
      <c r="Y38" s="374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45"/>
      <c r="Q39" s="1351" t="str">
        <f t="shared" ref="Q39:Q45" si="14">B39</f>
        <v>宗地形状</v>
      </c>
      <c r="R39" s="705" t="s">
        <v>14</v>
      </c>
      <c r="S39" s="706">
        <f t="shared" si="10"/>
        <v>100</v>
      </c>
      <c r="T39" s="705" t="s">
        <v>14</v>
      </c>
      <c r="U39" s="706">
        <f t="shared" si="11"/>
        <v>100</v>
      </c>
      <c r="V39" s="705" t="s">
        <v>14</v>
      </c>
      <c r="W39" s="706">
        <f t="shared" si="12"/>
        <v>100</v>
      </c>
      <c r="X39" s="1354"/>
      <c r="Y39" s="374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45"/>
      <c r="Q40" s="1351" t="str">
        <f t="shared" si="14"/>
        <v>临街宽度及深度</v>
      </c>
      <c r="R40" s="705" t="s">
        <v>14</v>
      </c>
      <c r="S40" s="706">
        <f t="shared" si="10"/>
        <v>100</v>
      </c>
      <c r="T40" s="705" t="s">
        <v>14</v>
      </c>
      <c r="U40" s="706">
        <f t="shared" si="11"/>
        <v>100</v>
      </c>
      <c r="V40" s="705" t="s">
        <v>14</v>
      </c>
      <c r="W40" s="706">
        <f t="shared" si="12"/>
        <v>100</v>
      </c>
      <c r="X40" s="1354"/>
      <c r="Y40" s="3745"/>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45"/>
      <c r="Q41" s="1351" t="str">
        <f t="shared" si="14"/>
        <v>宗地开发程度</v>
      </c>
      <c r="R41" s="701" t="s">
        <v>14</v>
      </c>
      <c r="S41" s="702">
        <f t="shared" si="10"/>
        <v>100</v>
      </c>
      <c r="T41" s="701" t="s">
        <v>14</v>
      </c>
      <c r="U41" s="702">
        <f t="shared" si="11"/>
        <v>100</v>
      </c>
      <c r="V41" s="701" t="s">
        <v>14</v>
      </c>
      <c r="W41" s="702">
        <f t="shared" si="12"/>
        <v>100</v>
      </c>
      <c r="X41" s="703"/>
      <c r="Y41" s="3745"/>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45" t="s">
        <v>1696</v>
      </c>
      <c r="Q42" s="1351" t="str">
        <f t="shared" si="14"/>
        <v>工程地质条件</v>
      </c>
      <c r="R42" s="705" t="s">
        <v>14</v>
      </c>
      <c r="S42" s="706">
        <f t="shared" si="10"/>
        <v>100</v>
      </c>
      <c r="T42" s="705" t="s">
        <v>14</v>
      </c>
      <c r="U42" s="706">
        <f t="shared" si="11"/>
        <v>100</v>
      </c>
      <c r="V42" s="705" t="s">
        <v>14</v>
      </c>
      <c r="W42" s="706">
        <f t="shared" si="12"/>
        <v>100</v>
      </c>
      <c r="X42" s="1354"/>
      <c r="Y42" s="374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5"/>
      <c r="Q43" s="1351">
        <f t="shared" si="14"/>
        <v>111</v>
      </c>
      <c r="R43" s="705" t="s">
        <v>14</v>
      </c>
      <c r="S43" s="706">
        <f t="shared" si="10"/>
        <v>100</v>
      </c>
      <c r="T43" s="705" t="s">
        <v>14</v>
      </c>
      <c r="U43" s="706">
        <f t="shared" si="11"/>
        <v>100</v>
      </c>
      <c r="V43" s="705" t="s">
        <v>14</v>
      </c>
      <c r="W43" s="706">
        <f t="shared" si="12"/>
        <v>100</v>
      </c>
      <c r="X43" s="1354"/>
      <c r="Y43" s="374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5"/>
      <c r="Q44" s="1351">
        <f t="shared" si="14"/>
        <v>111</v>
      </c>
      <c r="R44" s="705" t="s">
        <v>14</v>
      </c>
      <c r="S44" s="706">
        <f t="shared" si="10"/>
        <v>100</v>
      </c>
      <c r="T44" s="705" t="s">
        <v>14</v>
      </c>
      <c r="U44" s="706">
        <f t="shared" si="11"/>
        <v>100</v>
      </c>
      <c r="V44" s="705" t="s">
        <v>14</v>
      </c>
      <c r="W44" s="706">
        <f t="shared" si="12"/>
        <v>100</v>
      </c>
      <c r="X44" s="1354"/>
      <c r="Y44" s="3745"/>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5"/>
      <c r="Q45" s="1351">
        <f t="shared" si="14"/>
        <v>111</v>
      </c>
      <c r="R45" s="708" t="s">
        <v>14</v>
      </c>
      <c r="S45" s="709">
        <f t="shared" si="10"/>
        <v>100</v>
      </c>
      <c r="T45" s="708" t="s">
        <v>14</v>
      </c>
      <c r="U45" s="709">
        <f t="shared" si="11"/>
        <v>100</v>
      </c>
      <c r="V45" s="708" t="s">
        <v>14</v>
      </c>
      <c r="W45" s="709">
        <f t="shared" si="12"/>
        <v>100</v>
      </c>
      <c r="X45" s="710"/>
      <c r="Y45" s="3745"/>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0"/>
      <c r="M46" s="2721"/>
      <c r="N46" s="2712"/>
      <c r="O46" s="2721"/>
      <c r="P46" s="3738" t="str">
        <f>A46</f>
        <v>成交单价</v>
      </c>
      <c r="Q46" s="3738"/>
      <c r="R46" s="3733">
        <f>E46</f>
        <v>0</v>
      </c>
      <c r="S46" s="3733"/>
      <c r="T46" s="3733">
        <f>G46</f>
        <v>0</v>
      </c>
      <c r="U46" s="3733"/>
      <c r="V46" s="3733">
        <f>I46</f>
        <v>0</v>
      </c>
      <c r="W46" s="3733"/>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0"/>
      <c r="M47" s="2721"/>
      <c r="N47" s="2721"/>
      <c r="O47" s="2721"/>
      <c r="P47" s="3738" t="str">
        <f>A47</f>
        <v>比较价值（元/平方米）</v>
      </c>
      <c r="Q47" s="3738"/>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5" t="str">
        <f>A48</f>
        <v>估价对象XX用房的比较价值（楼面单价，元/平方米）</v>
      </c>
      <c r="Q48" s="3736"/>
      <c r="R48" s="3767" t="e">
        <f>ROUND(IF(D47="简单平均",AVERAGE(R47:W47),R47*F47+T47*H47+V47*J47),0)</f>
        <v>#DIV/0!</v>
      </c>
      <c r="S48" s="3767"/>
      <c r="T48" s="3767"/>
      <c r="U48" s="3767"/>
      <c r="V48" s="3767"/>
      <c r="W48" s="376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90" t="s">
        <v>1886</v>
      </c>
      <c r="G55" s="3721" t="s">
        <v>1887</v>
      </c>
      <c r="H55" s="3768"/>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48.69</v>
      </c>
      <c r="F56" s="886" t="e">
        <f t="shared" ref="F56:F64" si="15">ROUND(B56*E56/10000,0)</f>
        <v>#DIV/0!</v>
      </c>
      <c r="G56" s="3720"/>
      <c r="H56" s="3738"/>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48.69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1" t="s">
        <v>1770</v>
      </c>
      <c r="D4" s="3722"/>
      <c r="E4" s="3723" t="s">
        <v>1771</v>
      </c>
      <c r="F4" s="3724"/>
      <c r="G4" s="3721" t="s">
        <v>1772</v>
      </c>
      <c r="H4" s="3722"/>
      <c r="I4" s="3721" t="s">
        <v>1773</v>
      </c>
      <c r="J4" s="3722"/>
      <c r="K4" s="559" t="s">
        <v>1774</v>
      </c>
      <c r="L4" s="2711"/>
      <c r="M4" s="2712"/>
      <c r="N4" s="2712"/>
      <c r="O4" s="2712"/>
      <c r="P4" s="3725" t="s">
        <v>1775</v>
      </c>
      <c r="Q4" s="3726"/>
      <c r="R4" s="3707" t="s">
        <v>1771</v>
      </c>
      <c r="S4" s="3708"/>
      <c r="T4" s="3707" t="s">
        <v>1772</v>
      </c>
      <c r="U4" s="3708"/>
      <c r="V4" s="3733" t="s">
        <v>1773</v>
      </c>
      <c r="W4" s="3733"/>
      <c r="X4" s="1354"/>
      <c r="Y4" s="3707" t="s">
        <v>1775</v>
      </c>
      <c r="Z4" s="3708"/>
      <c r="AA4" s="3702" t="s">
        <v>1771</v>
      </c>
      <c r="AB4" s="3703" t="s">
        <v>1772</v>
      </c>
      <c r="AC4" s="3702" t="s">
        <v>1773</v>
      </c>
    </row>
    <row r="5" spans="1:29" ht="15">
      <c r="A5" s="358"/>
      <c r="B5" s="359"/>
      <c r="C5" s="3717" t="s">
        <v>1673</v>
      </c>
      <c r="D5" s="3714"/>
      <c r="E5" s="3711" t="s">
        <v>1674</v>
      </c>
      <c r="F5" s="3712"/>
      <c r="G5" s="3717" t="s">
        <v>1675</v>
      </c>
      <c r="H5" s="3714"/>
      <c r="I5" s="3717" t="s">
        <v>1676</v>
      </c>
      <c r="J5" s="3714"/>
      <c r="K5" s="559"/>
      <c r="L5" s="2711"/>
      <c r="M5" s="2712"/>
      <c r="N5" s="2712"/>
      <c r="O5" s="2712"/>
      <c r="P5" s="3727"/>
      <c r="Q5" s="3728"/>
      <c r="R5" s="3709"/>
      <c r="S5" s="3710"/>
      <c r="T5" s="3709"/>
      <c r="U5" s="3710"/>
      <c r="V5" s="3733"/>
      <c r="W5" s="3733"/>
      <c r="X5" s="1354"/>
      <c r="Y5" s="3709"/>
      <c r="Z5" s="3710"/>
      <c r="AA5" s="3703"/>
      <c r="AB5" s="3703"/>
      <c r="AC5" s="3703"/>
    </row>
    <row r="6" spans="1:29" ht="15.75" thickBot="1">
      <c r="A6" s="360"/>
      <c r="B6" s="361"/>
      <c r="C6" s="3769" t="s">
        <v>1919</v>
      </c>
      <c r="D6" s="3770"/>
      <c r="E6" s="3771" t="s">
        <v>1919</v>
      </c>
      <c r="F6" s="3772"/>
      <c r="G6" s="3769" t="s">
        <v>1919</v>
      </c>
      <c r="H6" s="3770"/>
      <c r="I6" s="3769" t="s">
        <v>1919</v>
      </c>
      <c r="J6" s="3770"/>
      <c r="K6" s="559" t="s">
        <v>1678</v>
      </c>
      <c r="L6" s="2711"/>
      <c r="M6" s="2712"/>
      <c r="N6" s="2712"/>
      <c r="O6" s="2712"/>
      <c r="P6" s="3729"/>
      <c r="Q6" s="3730"/>
      <c r="R6" s="3709"/>
      <c r="S6" s="3710"/>
      <c r="T6" s="3731"/>
      <c r="U6" s="3732"/>
      <c r="V6" s="3733"/>
      <c r="W6" s="3733"/>
      <c r="X6" s="1354"/>
      <c r="Y6" s="3731"/>
      <c r="Z6" s="3732"/>
      <c r="AA6" s="3704"/>
      <c r="AB6" s="3704"/>
      <c r="AC6" s="3704"/>
    </row>
    <row r="7" spans="1:29" s="108" customFormat="1" ht="15.75" thickBot="1">
      <c r="A7" s="362" t="s">
        <v>1679</v>
      </c>
      <c r="B7" s="363"/>
      <c r="C7" s="364">
        <f>'数据-取费表'!B2</f>
        <v>45175</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05" t="s">
        <v>1680</v>
      </c>
      <c r="Q7" s="3734"/>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38" t="s">
        <v>1686</v>
      </c>
      <c r="Q9" s="1342"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5"/>
      <c r="M10" s="2716"/>
      <c r="N10" s="2716"/>
      <c r="O10" s="2769"/>
      <c r="P10" s="3738"/>
      <c r="Q10" s="1342" t="str">
        <f t="shared" si="6"/>
        <v>土地使用年限（年）</v>
      </c>
      <c r="R10" s="701" t="s">
        <v>14</v>
      </c>
      <c r="S10" s="702">
        <f t="shared" si="0"/>
        <v>109</v>
      </c>
      <c r="T10" s="701" t="s">
        <v>14</v>
      </c>
      <c r="U10" s="702">
        <f t="shared" si="1"/>
        <v>109</v>
      </c>
      <c r="V10" s="701" t="s">
        <v>14</v>
      </c>
      <c r="W10" s="702">
        <f t="shared" si="2"/>
        <v>109</v>
      </c>
      <c r="X10" s="703"/>
      <c r="Y10" s="3649"/>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38"/>
      <c r="Q11" s="1342"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38"/>
      <c r="Q12" s="1342">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38"/>
      <c r="Q13" s="1342">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38"/>
      <c r="Q14" s="1342">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40" t="s">
        <v>1691</v>
      </c>
      <c r="Q15" s="1351" t="str">
        <f t="shared" si="6"/>
        <v>产业集聚程度</v>
      </c>
      <c r="R15" s="705" t="s">
        <v>14</v>
      </c>
      <c r="S15" s="706">
        <f t="shared" si="0"/>
        <v>100</v>
      </c>
      <c r="T15" s="705" t="s">
        <v>14</v>
      </c>
      <c r="U15" s="706">
        <f t="shared" si="1"/>
        <v>100</v>
      </c>
      <c r="V15" s="705" t="s">
        <v>14</v>
      </c>
      <c r="W15" s="706">
        <f t="shared" si="2"/>
        <v>100</v>
      </c>
      <c r="X15" s="1354"/>
      <c r="Y15" s="374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741"/>
      <c r="Q16" s="1351"/>
      <c r="R16" s="705"/>
      <c r="S16" s="706"/>
      <c r="T16" s="705"/>
      <c r="U16" s="706"/>
      <c r="V16" s="705"/>
      <c r="W16" s="706"/>
      <c r="X16" s="1354"/>
      <c r="Y16" s="374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41"/>
      <c r="Q17" s="1351" t="str">
        <f>B17</f>
        <v>交通便捷度</v>
      </c>
      <c r="R17" s="705" t="s">
        <v>14</v>
      </c>
      <c r="S17" s="706">
        <f>F17</f>
        <v>100</v>
      </c>
      <c r="T17" s="705" t="s">
        <v>14</v>
      </c>
      <c r="U17" s="706">
        <f>H17</f>
        <v>100</v>
      </c>
      <c r="V17" s="705" t="s">
        <v>14</v>
      </c>
      <c r="W17" s="706">
        <f>J17</f>
        <v>100</v>
      </c>
      <c r="X17" s="1354"/>
      <c r="Y17" s="374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741"/>
      <c r="Q18" s="1351"/>
      <c r="R18" s="705"/>
      <c r="S18" s="706"/>
      <c r="T18" s="705"/>
      <c r="U18" s="706"/>
      <c r="V18" s="705"/>
      <c r="W18" s="706"/>
      <c r="X18" s="1354"/>
      <c r="Y18" s="374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41"/>
      <c r="Q19" s="1351" t="str">
        <f t="shared" ref="Q19:Q33" si="8">B19</f>
        <v>区域土地利用方向</v>
      </c>
      <c r="R19" s="705" t="s">
        <v>14</v>
      </c>
      <c r="S19" s="706">
        <f>F19</f>
        <v>100</v>
      </c>
      <c r="T19" s="705" t="s">
        <v>14</v>
      </c>
      <c r="U19" s="706">
        <f>H19</f>
        <v>100</v>
      </c>
      <c r="V19" s="705" t="s">
        <v>14</v>
      </c>
      <c r="W19" s="706">
        <f>J19</f>
        <v>100</v>
      </c>
      <c r="X19" s="1354"/>
      <c r="Y19" s="374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8"/>
      <c r="M20" s="2712"/>
      <c r="N20" s="2712"/>
      <c r="O20" s="2770"/>
      <c r="P20" s="3741"/>
      <c r="Q20" s="1351"/>
      <c r="R20" s="705"/>
      <c r="S20" s="706"/>
      <c r="T20" s="705"/>
      <c r="U20" s="706"/>
      <c r="V20" s="705"/>
      <c r="W20" s="706"/>
      <c r="X20" s="1354"/>
      <c r="Y20" s="374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41"/>
      <c r="Q21" s="1351" t="str">
        <f t="shared" si="8"/>
        <v>环境状况</v>
      </c>
      <c r="R21" s="705" t="s">
        <v>14</v>
      </c>
      <c r="S21" s="706">
        <f>F21</f>
        <v>100</v>
      </c>
      <c r="T21" s="705" t="s">
        <v>14</v>
      </c>
      <c r="U21" s="706">
        <f>H21</f>
        <v>100</v>
      </c>
      <c r="V21" s="705" t="s">
        <v>14</v>
      </c>
      <c r="W21" s="706">
        <f>J21</f>
        <v>100</v>
      </c>
      <c r="X21" s="1354"/>
      <c r="Y21" s="374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741"/>
      <c r="Q22" s="1351"/>
      <c r="R22" s="705"/>
      <c r="S22" s="706"/>
      <c r="T22" s="705"/>
      <c r="U22" s="706"/>
      <c r="V22" s="705"/>
      <c r="W22" s="706"/>
      <c r="X22" s="1354"/>
      <c r="Y22" s="374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41"/>
      <c r="Q23" s="1342" t="str">
        <f t="shared" si="8"/>
        <v>公共配套设施</v>
      </c>
      <c r="R23" s="701" t="s">
        <v>14</v>
      </c>
      <c r="S23" s="702">
        <f>F23</f>
        <v>100</v>
      </c>
      <c r="T23" s="701" t="s">
        <v>14</v>
      </c>
      <c r="U23" s="702">
        <f>H23</f>
        <v>100</v>
      </c>
      <c r="V23" s="701" t="s">
        <v>14</v>
      </c>
      <c r="W23" s="702">
        <f>J23</f>
        <v>100</v>
      </c>
      <c r="X23" s="703"/>
      <c r="Y23" s="3741"/>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3"/>
      <c r="M24" s="2714"/>
      <c r="N24" s="2714"/>
      <c r="O24" s="2768"/>
      <c r="P24" s="3741"/>
      <c r="Q24" s="1342"/>
      <c r="R24" s="701"/>
      <c r="S24" s="702"/>
      <c r="T24" s="701"/>
      <c r="U24" s="702"/>
      <c r="V24" s="701"/>
      <c r="W24" s="702"/>
      <c r="X24" s="703"/>
      <c r="Y24" s="3741"/>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41"/>
      <c r="Q25" s="1342" t="str">
        <f t="shared" ref="Q25" si="9">B25</f>
        <v>基础设施水平</v>
      </c>
      <c r="R25" s="701" t="s">
        <v>14</v>
      </c>
      <c r="S25" s="702">
        <f>F25</f>
        <v>100</v>
      </c>
      <c r="T25" s="701" t="s">
        <v>14</v>
      </c>
      <c r="U25" s="702">
        <f>H25</f>
        <v>100</v>
      </c>
      <c r="V25" s="701" t="s">
        <v>14</v>
      </c>
      <c r="W25" s="702">
        <f>J25</f>
        <v>100</v>
      </c>
      <c r="X25" s="703"/>
      <c r="Y25" s="3741"/>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3"/>
      <c r="M26" s="2714"/>
      <c r="N26" s="2714"/>
      <c r="O26" s="2768"/>
      <c r="P26" s="3741"/>
      <c r="Q26" s="1342"/>
      <c r="R26" s="701"/>
      <c r="S26" s="702"/>
      <c r="T26" s="701"/>
      <c r="U26" s="702"/>
      <c r="V26" s="701"/>
      <c r="W26" s="702"/>
      <c r="X26" s="703"/>
      <c r="Y26" s="374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4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1"/>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41"/>
      <c r="Q28" s="1351" t="str">
        <f t="shared" si="8"/>
        <v>毗邻道路的类型与等级</v>
      </c>
      <c r="R28" s="705" t="s">
        <v>14</v>
      </c>
      <c r="S28" s="706">
        <f t="shared" si="10"/>
        <v>100</v>
      </c>
      <c r="T28" s="705" t="s">
        <v>14</v>
      </c>
      <c r="U28" s="706">
        <f t="shared" si="11"/>
        <v>100</v>
      </c>
      <c r="V28" s="705" t="s">
        <v>14</v>
      </c>
      <c r="W28" s="706">
        <f t="shared" si="12"/>
        <v>100</v>
      </c>
      <c r="X28" s="1354"/>
      <c r="Y28" s="374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741"/>
      <c r="Q29" s="1351"/>
      <c r="R29" s="705"/>
      <c r="S29" s="706"/>
      <c r="T29" s="705"/>
      <c r="U29" s="706"/>
      <c r="V29" s="705"/>
      <c r="W29" s="706"/>
      <c r="X29" s="1354"/>
      <c r="Y29" s="3741"/>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41"/>
      <c r="Q30" s="1351" t="str">
        <f t="shared" si="8"/>
        <v>土地级别</v>
      </c>
      <c r="R30" s="705" t="s">
        <v>14</v>
      </c>
      <c r="S30" s="706">
        <f t="shared" si="10"/>
        <v>100</v>
      </c>
      <c r="T30" s="705" t="s">
        <v>14</v>
      </c>
      <c r="U30" s="706">
        <f t="shared" si="11"/>
        <v>100</v>
      </c>
      <c r="V30" s="705" t="s">
        <v>14</v>
      </c>
      <c r="W30" s="706">
        <f t="shared" si="12"/>
        <v>100</v>
      </c>
      <c r="X30" s="1354"/>
      <c r="Y30" s="3741"/>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1"/>
      <c r="Q31" s="1351">
        <f t="shared" si="8"/>
        <v>111</v>
      </c>
      <c r="R31" s="705" t="s">
        <v>14</v>
      </c>
      <c r="S31" s="706">
        <f t="shared" si="10"/>
        <v>100</v>
      </c>
      <c r="T31" s="705" t="s">
        <v>14</v>
      </c>
      <c r="U31" s="706">
        <f t="shared" si="11"/>
        <v>100</v>
      </c>
      <c r="V31" s="705" t="s">
        <v>14</v>
      </c>
      <c r="W31" s="706">
        <f t="shared" si="12"/>
        <v>100</v>
      </c>
      <c r="X31" s="1354"/>
      <c r="Y31" s="3741"/>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4" t="s">
        <v>1696</v>
      </c>
      <c r="Q32" s="1351">
        <f t="shared" si="8"/>
        <v>111</v>
      </c>
      <c r="R32" s="705" t="s">
        <v>14</v>
      </c>
      <c r="S32" s="706">
        <f t="shared" si="10"/>
        <v>100</v>
      </c>
      <c r="T32" s="705" t="s">
        <v>14</v>
      </c>
      <c r="U32" s="706">
        <f t="shared" si="11"/>
        <v>100</v>
      </c>
      <c r="V32" s="705" t="s">
        <v>14</v>
      </c>
      <c r="W32" s="706">
        <f t="shared" si="12"/>
        <v>100</v>
      </c>
      <c r="X32" s="1354"/>
      <c r="Y32" s="3745"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5"/>
      <c r="Q33" s="1351">
        <f t="shared" si="8"/>
        <v>111</v>
      </c>
      <c r="R33" s="708" t="s">
        <v>14</v>
      </c>
      <c r="S33" s="709">
        <f t="shared" si="10"/>
        <v>100</v>
      </c>
      <c r="T33" s="708" t="s">
        <v>14</v>
      </c>
      <c r="U33" s="709">
        <f t="shared" si="11"/>
        <v>100</v>
      </c>
      <c r="V33" s="708" t="s">
        <v>14</v>
      </c>
      <c r="W33" s="709">
        <f t="shared" si="12"/>
        <v>100</v>
      </c>
      <c r="X33" s="710"/>
      <c r="Y33" s="374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45"/>
      <c r="Q34" s="1351" t="str">
        <f>B34</f>
        <v>宗地面积</v>
      </c>
      <c r="R34" s="705" t="s">
        <v>14</v>
      </c>
      <c r="S34" s="706" t="e">
        <f t="shared" si="10"/>
        <v>#N/A</v>
      </c>
      <c r="T34" s="705" t="s">
        <v>14</v>
      </c>
      <c r="U34" s="706" t="e">
        <f t="shared" si="11"/>
        <v>#N/A</v>
      </c>
      <c r="V34" s="705" t="s">
        <v>14</v>
      </c>
      <c r="W34" s="706" t="e">
        <f t="shared" si="12"/>
        <v>#N/A</v>
      </c>
      <c r="X34" s="1354"/>
      <c r="Y34" s="374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45"/>
      <c r="Q35" s="1351" t="str">
        <f t="shared" ref="Q35:Q40" si="14">B35</f>
        <v>宗地形状</v>
      </c>
      <c r="R35" s="705" t="s">
        <v>14</v>
      </c>
      <c r="S35" s="706">
        <f t="shared" si="10"/>
        <v>100</v>
      </c>
      <c r="T35" s="705" t="s">
        <v>14</v>
      </c>
      <c r="U35" s="706">
        <f t="shared" si="11"/>
        <v>100</v>
      </c>
      <c r="V35" s="705" t="s">
        <v>14</v>
      </c>
      <c r="W35" s="706">
        <f t="shared" si="12"/>
        <v>100</v>
      </c>
      <c r="X35" s="1354"/>
      <c r="Y35" s="3745"/>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45"/>
      <c r="Q36" s="1351" t="str">
        <f t="shared" si="14"/>
        <v>宗地开发程度</v>
      </c>
      <c r="R36" s="701" t="s">
        <v>14</v>
      </c>
      <c r="S36" s="702">
        <f t="shared" si="10"/>
        <v>100</v>
      </c>
      <c r="T36" s="701" t="s">
        <v>14</v>
      </c>
      <c r="U36" s="702">
        <f t="shared" si="11"/>
        <v>100</v>
      </c>
      <c r="V36" s="701" t="s">
        <v>14</v>
      </c>
      <c r="W36" s="702">
        <f t="shared" si="12"/>
        <v>100</v>
      </c>
      <c r="X36" s="703"/>
      <c r="Y36" s="374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45" t="s">
        <v>1696</v>
      </c>
      <c r="Q37" s="1351" t="str">
        <f t="shared" si="14"/>
        <v>工程地质条件</v>
      </c>
      <c r="R37" s="705" t="s">
        <v>14</v>
      </c>
      <c r="S37" s="706">
        <f t="shared" si="10"/>
        <v>100</v>
      </c>
      <c r="T37" s="705" t="s">
        <v>14</v>
      </c>
      <c r="U37" s="706">
        <f t="shared" si="11"/>
        <v>100</v>
      </c>
      <c r="V37" s="705" t="s">
        <v>14</v>
      </c>
      <c r="W37" s="706">
        <f t="shared" si="12"/>
        <v>100</v>
      </c>
      <c r="X37" s="1354"/>
      <c r="Y37" s="374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5"/>
      <c r="Q38" s="1351">
        <f t="shared" si="14"/>
        <v>111</v>
      </c>
      <c r="R38" s="705" t="s">
        <v>14</v>
      </c>
      <c r="S38" s="706">
        <f t="shared" si="10"/>
        <v>100</v>
      </c>
      <c r="T38" s="705" t="s">
        <v>14</v>
      </c>
      <c r="U38" s="706">
        <f t="shared" si="11"/>
        <v>100</v>
      </c>
      <c r="V38" s="705" t="s">
        <v>14</v>
      </c>
      <c r="W38" s="706">
        <f t="shared" si="12"/>
        <v>100</v>
      </c>
      <c r="X38" s="1354"/>
      <c r="Y38" s="374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5"/>
      <c r="Q39" s="1351">
        <f t="shared" si="14"/>
        <v>111</v>
      </c>
      <c r="R39" s="705" t="s">
        <v>14</v>
      </c>
      <c r="S39" s="706">
        <f t="shared" si="10"/>
        <v>100</v>
      </c>
      <c r="T39" s="705" t="s">
        <v>14</v>
      </c>
      <c r="U39" s="706">
        <f t="shared" si="11"/>
        <v>100</v>
      </c>
      <c r="V39" s="705" t="s">
        <v>14</v>
      </c>
      <c r="W39" s="706">
        <f t="shared" si="12"/>
        <v>100</v>
      </c>
      <c r="X39" s="1354"/>
      <c r="Y39" s="3745"/>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5"/>
      <c r="Q40" s="1351">
        <f t="shared" si="14"/>
        <v>111</v>
      </c>
      <c r="R40" s="708" t="s">
        <v>14</v>
      </c>
      <c r="S40" s="709">
        <f t="shared" si="10"/>
        <v>100</v>
      </c>
      <c r="T40" s="708" t="s">
        <v>14</v>
      </c>
      <c r="U40" s="709">
        <f t="shared" si="11"/>
        <v>100</v>
      </c>
      <c r="V40" s="708" t="s">
        <v>14</v>
      </c>
      <c r="W40" s="709">
        <f t="shared" si="12"/>
        <v>100</v>
      </c>
      <c r="X40" s="710"/>
      <c r="Y40" s="3745"/>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0"/>
      <c r="M41" s="2712"/>
      <c r="N41" s="2712"/>
      <c r="O41" s="2721"/>
      <c r="P41" s="3738" t="str">
        <f>A41</f>
        <v>成交单价</v>
      </c>
      <c r="Q41" s="3738"/>
      <c r="R41" s="3733">
        <f>E41</f>
        <v>0</v>
      </c>
      <c r="S41" s="3733"/>
      <c r="T41" s="3733">
        <f>G41</f>
        <v>0</v>
      </c>
      <c r="U41" s="3733"/>
      <c r="V41" s="3733">
        <f>I41</f>
        <v>0</v>
      </c>
      <c r="W41" s="3733"/>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0"/>
      <c r="M42" s="2712"/>
      <c r="N42" s="2712"/>
      <c r="O42" s="2721"/>
      <c r="P42" s="3738" t="str">
        <f>A42</f>
        <v>比较价值（元/平方米）</v>
      </c>
      <c r="Q42" s="3738"/>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5" t="str">
        <f>A43</f>
        <v>估价对象XX用房的比较价值（楼面单价，元/平方米）</v>
      </c>
      <c r="Q43" s="3736"/>
      <c r="R43" s="3767" t="e">
        <f>ROUND(IF(D42="简单平均",AVERAGE(R42:W42),R42*F42+T42*H42+V42*J42),0)</f>
        <v>#DIV/0!</v>
      </c>
      <c r="S43" s="3767"/>
      <c r="T43" s="3767"/>
      <c r="U43" s="3767"/>
      <c r="V43" s="3767"/>
      <c r="W43" s="376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721" t="s">
        <v>1887</v>
      </c>
      <c r="H50" s="3768"/>
      <c r="I50" s="1355" t="s">
        <v>1923</v>
      </c>
      <c r="J50" s="1355">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48.69</v>
      </c>
      <c r="F51" s="639" t="e">
        <f t="shared" ref="F51:F60" si="15">ROUND(B51*E51/10000,0)</f>
        <v>#DIV/0!</v>
      </c>
      <c r="G51" s="3720"/>
      <c r="H51" s="3738"/>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6" t="s">
        <v>2084</v>
      </c>
      <c r="D1" s="3777"/>
      <c r="E1" s="3777"/>
      <c r="F1" s="3777"/>
      <c r="G1" s="3777"/>
      <c r="H1" s="3777"/>
      <c r="I1" s="3777"/>
      <c r="J1" s="3777"/>
      <c r="K1" s="3777"/>
      <c r="L1" s="3777"/>
      <c r="M1" s="3777"/>
      <c r="N1" s="3777"/>
      <c r="O1" s="3777"/>
      <c r="P1" s="3777"/>
      <c r="Q1" s="3777"/>
      <c r="R1" s="3777"/>
      <c r="S1" s="377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163</v>
      </c>
      <c r="C2" s="2142" t="s">
        <v>2074</v>
      </c>
      <c r="D2" s="2142" t="s">
        <v>2075</v>
      </c>
      <c r="E2" s="2608">
        <f ca="1">SUMIF(E6:E13,"&lt;&gt;#ref!",E6:E13)</f>
        <v>48.69</v>
      </c>
      <c r="F2" s="2789"/>
      <c r="G2" s="2789"/>
      <c r="H2" s="2789"/>
      <c r="I2" s="2789"/>
      <c r="J2" s="2789"/>
      <c r="K2" s="2789"/>
      <c r="L2" s="2789"/>
      <c r="M2" s="2789"/>
      <c r="N2" s="2789"/>
      <c r="O2" s="2789"/>
      <c r="P2" s="2789"/>
    </row>
    <row r="3" spans="1:16" ht="15.75">
      <c r="A3" s="2142" t="s">
        <v>2076</v>
      </c>
      <c r="B3" s="2598">
        <f ca="1">ROUND(B2*10000/E2,0)</f>
        <v>33477</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163</v>
      </c>
      <c r="C6" s="2142" t="s">
        <v>2074</v>
      </c>
      <c r="D6" s="2789"/>
      <c r="E6" s="2608">
        <f ca="1">SUMIF(INDIRECT("'"&amp;A6&amp;"'"&amp;"!C:C"),"建筑面积",INDIRECT("'"&amp;A6&amp;"'"&amp;"!D:D"))</f>
        <v>48.69</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B686-DF8C-4485-AED9-B3FE86CD5104}">
  <dimension ref="A1:X43"/>
  <sheetViews>
    <sheetView topLeftCell="A7" workbookViewId="0">
      <selection activeCell="T18" sqref="T18"/>
    </sheetView>
  </sheetViews>
  <sheetFormatPr defaultRowHeight="13.5"/>
  <cols>
    <col min="10" max="10" width="0" hidden="1" customWidth="1"/>
    <col min="13" max="13" width="15.625" bestFit="1" customWidth="1"/>
    <col min="17" max="17" width="15.5" customWidth="1"/>
    <col min="19" max="19" width="10.5" bestFit="1" customWidth="1"/>
    <col min="20" max="20" width="9.5" bestFit="1" customWidth="1"/>
    <col min="21" max="21" width="10.5" bestFit="1" customWidth="1"/>
  </cols>
  <sheetData>
    <row r="1" spans="1:24">
      <c r="B1" s="3448" t="s">
        <v>3447</v>
      </c>
      <c r="C1" s="3448" t="s">
        <v>669</v>
      </c>
      <c r="D1" s="3448" t="s">
        <v>3448</v>
      </c>
      <c r="E1" s="3448" t="s">
        <v>3449</v>
      </c>
      <c r="F1" s="3448" t="s">
        <v>3453</v>
      </c>
      <c r="G1" s="3448" t="s">
        <v>3450</v>
      </c>
      <c r="H1" s="3448" t="s">
        <v>3451</v>
      </c>
      <c r="I1" s="3448" t="s">
        <v>3452</v>
      </c>
      <c r="K1" s="3448" t="s">
        <v>3454</v>
      </c>
      <c r="L1" s="3448" t="s">
        <v>3455</v>
      </c>
      <c r="M1" s="3448" t="s">
        <v>3456</v>
      </c>
      <c r="N1" s="3448" t="s">
        <v>3465</v>
      </c>
      <c r="O1" s="3448" t="s">
        <v>3466</v>
      </c>
    </row>
    <row r="2" spans="1:24" ht="40.5">
      <c r="A2" s="3466">
        <v>1</v>
      </c>
      <c r="B2" s="3462" t="s">
        <v>3499</v>
      </c>
      <c r="C2" s="3462" t="s">
        <v>3379</v>
      </c>
      <c r="D2" s="3466" t="s">
        <v>3380</v>
      </c>
      <c r="E2" s="3466">
        <v>54.02</v>
      </c>
      <c r="F2" s="3462" t="s">
        <v>3381</v>
      </c>
      <c r="G2" s="3462" t="s">
        <v>3382</v>
      </c>
      <c r="H2" s="3466">
        <v>20</v>
      </c>
      <c r="I2" s="3466">
        <v>2002</v>
      </c>
      <c r="J2" s="3466"/>
      <c r="K2" s="3466">
        <v>75528</v>
      </c>
      <c r="L2" s="3466">
        <v>75579</v>
      </c>
      <c r="M2" s="3467">
        <v>45102</v>
      </c>
      <c r="N2" s="3466" t="s">
        <v>3500</v>
      </c>
      <c r="O2" s="3466" t="s">
        <v>3502</v>
      </c>
    </row>
    <row r="3" spans="1:24" ht="54">
      <c r="A3" s="3449">
        <v>2</v>
      </c>
      <c r="B3" s="3449" t="s">
        <v>3378</v>
      </c>
      <c r="C3" s="3449" t="s">
        <v>3379</v>
      </c>
      <c r="D3" s="3449" t="s">
        <v>3380</v>
      </c>
      <c r="E3" s="3449">
        <v>105.66</v>
      </c>
      <c r="F3" s="3449" t="s">
        <v>3381</v>
      </c>
      <c r="G3" s="3449" t="s">
        <v>3382</v>
      </c>
      <c r="H3" s="3449">
        <v>19</v>
      </c>
      <c r="I3" s="3449">
        <v>2002</v>
      </c>
      <c r="J3" s="3449" t="s">
        <v>633</v>
      </c>
      <c r="K3" s="3449">
        <v>83286</v>
      </c>
      <c r="L3" s="3449">
        <v>80421</v>
      </c>
      <c r="M3" s="3450">
        <v>45072</v>
      </c>
      <c r="N3" s="3448" t="s">
        <v>3471</v>
      </c>
      <c r="O3" s="3448" t="s">
        <v>3472</v>
      </c>
      <c r="P3" s="3479">
        <v>160.66</v>
      </c>
      <c r="Q3" s="3479">
        <v>1145</v>
      </c>
      <c r="R3" s="3480">
        <f>Q3*10000/P3</f>
        <v>71268.517365865802</v>
      </c>
      <c r="S3" s="3481">
        <v>44984</v>
      </c>
      <c r="T3" s="3482" t="s">
        <v>3513</v>
      </c>
      <c r="U3" s="3779" t="s">
        <v>3512</v>
      </c>
      <c r="V3" s="3448" t="s">
        <v>3519</v>
      </c>
      <c r="W3" s="3448" t="s">
        <v>3517</v>
      </c>
      <c r="X3" s="3448" t="s">
        <v>3518</v>
      </c>
    </row>
    <row r="4" spans="1:24" ht="54">
      <c r="A4" s="3465">
        <v>3</v>
      </c>
      <c r="B4" s="3449" t="s">
        <v>3383</v>
      </c>
      <c r="C4" s="3449" t="s">
        <v>3379</v>
      </c>
      <c r="D4" s="3449" t="s">
        <v>3380</v>
      </c>
      <c r="E4" s="3449">
        <v>113.9</v>
      </c>
      <c r="F4" s="3449" t="s">
        <v>3381</v>
      </c>
      <c r="G4" s="3449" t="s">
        <v>3384</v>
      </c>
      <c r="H4" s="3449">
        <v>25</v>
      </c>
      <c r="I4" s="3449">
        <v>2001</v>
      </c>
      <c r="J4" s="3449" t="s">
        <v>633</v>
      </c>
      <c r="K4" s="3449">
        <v>81212</v>
      </c>
      <c r="L4" s="3449">
        <v>78910</v>
      </c>
      <c r="M4" s="3450">
        <v>45034</v>
      </c>
      <c r="N4" s="3448" t="s">
        <v>3473</v>
      </c>
      <c r="O4" s="3448" t="s">
        <v>3472</v>
      </c>
      <c r="P4" s="3480">
        <v>115</v>
      </c>
      <c r="Q4" s="3483">
        <v>760</v>
      </c>
      <c r="R4" s="3480">
        <f>Q4*10000/P4</f>
        <v>66086.956521739135</v>
      </c>
      <c r="S4" s="3484">
        <v>45108</v>
      </c>
      <c r="T4" s="3482" t="s">
        <v>3513</v>
      </c>
      <c r="U4" s="3780"/>
      <c r="V4" s="3448" t="s">
        <v>3516</v>
      </c>
      <c r="W4" s="3448" t="s">
        <v>3517</v>
      </c>
      <c r="X4" s="3448" t="s">
        <v>3518</v>
      </c>
    </row>
    <row r="5" spans="1:24" ht="40.5">
      <c r="A5" s="3449">
        <v>4</v>
      </c>
      <c r="B5" s="3446" t="s">
        <v>3385</v>
      </c>
      <c r="C5" s="3446" t="s">
        <v>3379</v>
      </c>
      <c r="D5" s="3446" t="s">
        <v>3380</v>
      </c>
      <c r="E5" s="3446">
        <v>173.14</v>
      </c>
      <c r="F5" s="3446" t="s">
        <v>3381</v>
      </c>
      <c r="G5" s="3446" t="s">
        <v>3382</v>
      </c>
      <c r="H5" s="3446">
        <v>6</v>
      </c>
      <c r="I5" s="3446">
        <v>2002</v>
      </c>
      <c r="J5" s="3446" t="s">
        <v>633</v>
      </c>
      <c r="K5" s="3446">
        <v>0</v>
      </c>
      <c r="L5" s="3446">
        <v>62357</v>
      </c>
      <c r="M5" s="3447">
        <v>45063</v>
      </c>
      <c r="N5" s="3448" t="s">
        <v>3474</v>
      </c>
      <c r="O5" s="3448" t="s">
        <v>3472</v>
      </c>
      <c r="P5">
        <v>160</v>
      </c>
      <c r="Q5" s="3465">
        <v>1100</v>
      </c>
      <c r="R5" s="3457">
        <f>Q5*10000/P5</f>
        <v>68750</v>
      </c>
      <c r="S5" s="3469">
        <v>44958</v>
      </c>
      <c r="T5" s="3448" t="s">
        <v>3513</v>
      </c>
      <c r="U5" s="3780"/>
    </row>
    <row r="6" spans="1:24" ht="54">
      <c r="A6" s="3466">
        <v>5</v>
      </c>
      <c r="B6" s="3462" t="s">
        <v>3386</v>
      </c>
      <c r="C6" s="3462" t="s">
        <v>3379</v>
      </c>
      <c r="D6" s="3462" t="s">
        <v>3380</v>
      </c>
      <c r="E6" s="3462">
        <v>48.73</v>
      </c>
      <c r="F6" s="3462" t="s">
        <v>3381</v>
      </c>
      <c r="G6" s="3462" t="s">
        <v>3384</v>
      </c>
      <c r="H6" s="3462">
        <v>21</v>
      </c>
      <c r="I6" s="3462">
        <v>2001</v>
      </c>
      <c r="J6" s="3462" t="s">
        <v>633</v>
      </c>
      <c r="K6" s="3462">
        <v>82495</v>
      </c>
      <c r="L6" s="3462">
        <v>79498</v>
      </c>
      <c r="M6" s="3463">
        <v>44988</v>
      </c>
      <c r="N6" s="3464" t="s">
        <v>3475</v>
      </c>
      <c r="O6" s="3464" t="s">
        <v>3531</v>
      </c>
      <c r="P6">
        <v>54</v>
      </c>
      <c r="Q6" s="3465">
        <v>368</v>
      </c>
      <c r="R6" s="3457">
        <f>Q6*10000/P6</f>
        <v>68148.148148148146</v>
      </c>
      <c r="S6" s="3469">
        <v>45108</v>
      </c>
      <c r="T6" s="3448" t="s">
        <v>3515</v>
      </c>
      <c r="U6" s="3780"/>
    </row>
    <row r="7" spans="1:24" ht="43.5" customHeight="1">
      <c r="A7" s="3449">
        <v>6</v>
      </c>
      <c r="B7" s="3446" t="s">
        <v>3387</v>
      </c>
      <c r="C7" s="3446" t="s">
        <v>3379</v>
      </c>
      <c r="D7" s="3446" t="s">
        <v>3380</v>
      </c>
      <c r="E7" s="3446">
        <v>145.46</v>
      </c>
      <c r="F7" s="3446" t="s">
        <v>3381</v>
      </c>
      <c r="G7" s="3446" t="s">
        <v>3382</v>
      </c>
      <c r="H7" s="3446">
        <v>19</v>
      </c>
      <c r="I7" s="3446">
        <v>2002</v>
      </c>
      <c r="J7" s="3446" t="s">
        <v>633</v>
      </c>
      <c r="K7" s="3446">
        <v>0</v>
      </c>
      <c r="L7" s="3446">
        <v>72077</v>
      </c>
      <c r="M7" s="3447">
        <v>44978</v>
      </c>
      <c r="N7" s="3448" t="s">
        <v>3473</v>
      </c>
      <c r="O7" s="3448" t="s">
        <v>3472</v>
      </c>
      <c r="P7" s="3448" t="s">
        <v>3508</v>
      </c>
      <c r="Q7" s="3471" t="s">
        <v>3506</v>
      </c>
      <c r="R7">
        <v>309.06</v>
      </c>
      <c r="S7" s="3472">
        <v>44211</v>
      </c>
      <c r="T7">
        <v>1786</v>
      </c>
      <c r="U7" s="3457">
        <f>T7*10000/R7</f>
        <v>57788.131754351904</v>
      </c>
      <c r="V7" t="s">
        <v>3505</v>
      </c>
    </row>
    <row r="8" spans="1:24" ht="54">
      <c r="A8" s="3465">
        <v>7</v>
      </c>
      <c r="B8" s="3446" t="s">
        <v>3388</v>
      </c>
      <c r="C8" s="3446" t="s">
        <v>3379</v>
      </c>
      <c r="D8" s="3446" t="s">
        <v>3380</v>
      </c>
      <c r="E8" s="3446">
        <v>134.32</v>
      </c>
      <c r="F8" s="3446" t="s">
        <v>3381</v>
      </c>
      <c r="G8" s="3446" t="s">
        <v>3389</v>
      </c>
      <c r="H8" s="3446">
        <v>21</v>
      </c>
      <c r="I8" s="3446">
        <v>2002</v>
      </c>
      <c r="J8" s="3446" t="s">
        <v>3390</v>
      </c>
      <c r="K8" s="3446">
        <v>0</v>
      </c>
      <c r="L8" s="3446">
        <v>75324</v>
      </c>
      <c r="M8" s="3447">
        <v>44888</v>
      </c>
      <c r="N8" s="3448" t="s">
        <v>3476</v>
      </c>
      <c r="O8" s="3448" t="s">
        <v>3472</v>
      </c>
      <c r="Q8" s="3471" t="s">
        <v>3509</v>
      </c>
      <c r="R8">
        <v>369.92</v>
      </c>
      <c r="S8" s="3472">
        <v>44502</v>
      </c>
      <c r="T8">
        <v>1831</v>
      </c>
      <c r="U8" s="3457">
        <f>T8*10000/R8</f>
        <v>49497.188581314877</v>
      </c>
      <c r="V8" t="s">
        <v>3507</v>
      </c>
    </row>
    <row r="9" spans="1:24" ht="54">
      <c r="A9" s="3449">
        <v>8</v>
      </c>
      <c r="B9" s="3446" t="s">
        <v>3391</v>
      </c>
      <c r="C9" s="3446" t="s">
        <v>3379</v>
      </c>
      <c r="D9" s="3446" t="s">
        <v>3380</v>
      </c>
      <c r="E9" s="3446">
        <v>105.81</v>
      </c>
      <c r="F9" s="3446" t="s">
        <v>3392</v>
      </c>
      <c r="G9" s="3446" t="s">
        <v>3382</v>
      </c>
      <c r="H9" s="3446">
        <v>18</v>
      </c>
      <c r="I9" s="3446">
        <v>2002</v>
      </c>
      <c r="J9" s="3446" t="s">
        <v>633</v>
      </c>
      <c r="K9" s="3446">
        <v>80900</v>
      </c>
      <c r="L9" s="3446">
        <v>76618</v>
      </c>
      <c r="M9" s="3447">
        <v>44806</v>
      </c>
      <c r="N9" s="3448" t="s">
        <v>3474</v>
      </c>
      <c r="O9" s="3448" t="s">
        <v>3472</v>
      </c>
      <c r="Q9" s="3471" t="s">
        <v>3511</v>
      </c>
      <c r="R9">
        <v>173.37</v>
      </c>
      <c r="S9" s="3472">
        <v>44377</v>
      </c>
      <c r="T9">
        <v>1218</v>
      </c>
      <c r="U9" s="3457">
        <f>T9*10000/R9</f>
        <v>70254.369268039445</v>
      </c>
      <c r="V9" t="s">
        <v>3510</v>
      </c>
    </row>
    <row r="10" spans="1:24" ht="81">
      <c r="A10" s="3465">
        <v>9</v>
      </c>
      <c r="B10" s="3446" t="s">
        <v>3393</v>
      </c>
      <c r="C10" s="3446" t="s">
        <v>3394</v>
      </c>
      <c r="D10" s="3446" t="s">
        <v>3380</v>
      </c>
      <c r="E10" s="3446">
        <v>242.55</v>
      </c>
      <c r="F10" s="3446" t="s">
        <v>3395</v>
      </c>
      <c r="G10" s="3446" t="s">
        <v>3396</v>
      </c>
      <c r="H10" s="3446">
        <v>5</v>
      </c>
      <c r="I10" s="3446">
        <v>2003</v>
      </c>
      <c r="J10" s="3446" t="s">
        <v>3397</v>
      </c>
      <c r="K10" s="3446">
        <v>0</v>
      </c>
      <c r="L10" s="3446">
        <v>66399</v>
      </c>
      <c r="M10" s="3447">
        <v>44797</v>
      </c>
      <c r="N10" s="3448" t="s">
        <v>3473</v>
      </c>
      <c r="O10" s="3448" t="s">
        <v>3477</v>
      </c>
      <c r="Q10">
        <v>264.73</v>
      </c>
      <c r="R10">
        <v>79327</v>
      </c>
      <c r="S10" s="3469">
        <v>44986</v>
      </c>
      <c r="T10" s="3448" t="s">
        <v>3513</v>
      </c>
      <c r="U10" s="3448" t="s">
        <v>3514</v>
      </c>
    </row>
    <row r="11" spans="1:24" ht="54">
      <c r="A11" s="3462">
        <v>10</v>
      </c>
      <c r="B11" s="3462" t="s">
        <v>3398</v>
      </c>
      <c r="C11" s="3462" t="s">
        <v>3379</v>
      </c>
      <c r="D11" s="3462" t="s">
        <v>3380</v>
      </c>
      <c r="E11" s="3462">
        <v>48.12</v>
      </c>
      <c r="F11" s="3462" t="s">
        <v>3381</v>
      </c>
      <c r="G11" s="3462" t="s">
        <v>3384</v>
      </c>
      <c r="H11" s="3462">
        <v>31</v>
      </c>
      <c r="I11" s="3462">
        <v>2001</v>
      </c>
      <c r="J11" s="3462" t="s">
        <v>633</v>
      </c>
      <c r="K11" s="3462">
        <v>76891</v>
      </c>
      <c r="L11" s="3462">
        <v>75923</v>
      </c>
      <c r="M11" s="3463">
        <v>44738</v>
      </c>
      <c r="N11" s="3464" t="s">
        <v>3475</v>
      </c>
      <c r="O11" s="3464" t="s">
        <v>3472</v>
      </c>
      <c r="Q11">
        <v>160.66</v>
      </c>
      <c r="R11">
        <v>76560</v>
      </c>
      <c r="S11" s="3469">
        <v>45047</v>
      </c>
      <c r="T11" s="3448" t="s">
        <v>3513</v>
      </c>
    </row>
    <row r="12" spans="1:24" ht="54">
      <c r="A12" s="3465">
        <v>11</v>
      </c>
      <c r="B12" s="3453" t="s">
        <v>3399</v>
      </c>
      <c r="C12" s="3453" t="s">
        <v>3379</v>
      </c>
      <c r="D12" s="3453" t="s">
        <v>3380</v>
      </c>
      <c r="E12" s="3453">
        <v>260.32</v>
      </c>
      <c r="F12" s="3453" t="s">
        <v>3381</v>
      </c>
      <c r="G12" s="3453" t="s">
        <v>3389</v>
      </c>
      <c r="H12" s="3453" t="s">
        <v>3400</v>
      </c>
      <c r="I12" s="3453">
        <v>2001</v>
      </c>
      <c r="J12" s="3453" t="s">
        <v>633</v>
      </c>
      <c r="K12" s="3453">
        <v>0</v>
      </c>
      <c r="L12" s="3453">
        <v>70017</v>
      </c>
      <c r="M12" s="3454">
        <v>44630</v>
      </c>
      <c r="N12" s="3448" t="s">
        <v>3478</v>
      </c>
      <c r="O12" s="3448" t="s">
        <v>3472</v>
      </c>
      <c r="Q12">
        <v>115</v>
      </c>
      <c r="R12">
        <v>86870</v>
      </c>
      <c r="S12" s="3469">
        <v>45078</v>
      </c>
      <c r="T12" s="3448" t="s">
        <v>3513</v>
      </c>
    </row>
    <row r="13" spans="1:24" ht="81">
      <c r="A13" s="3449">
        <v>12</v>
      </c>
      <c r="B13" s="3446" t="s">
        <v>3401</v>
      </c>
      <c r="C13" s="3446" t="s">
        <v>3379</v>
      </c>
      <c r="D13" s="3446" t="s">
        <v>3380</v>
      </c>
      <c r="E13" s="3446">
        <v>145.46</v>
      </c>
      <c r="F13" s="3446" t="s">
        <v>3395</v>
      </c>
      <c r="G13" s="3446" t="s">
        <v>3402</v>
      </c>
      <c r="H13" s="3446">
        <v>5</v>
      </c>
      <c r="I13" s="3446">
        <v>2002</v>
      </c>
      <c r="J13" s="3446" t="s">
        <v>3403</v>
      </c>
      <c r="K13" s="3446">
        <v>82153</v>
      </c>
      <c r="L13" s="3446">
        <v>79124</v>
      </c>
      <c r="M13" s="3447">
        <v>44633</v>
      </c>
      <c r="N13" s="3448" t="s">
        <v>3473</v>
      </c>
      <c r="O13" s="3448" t="s">
        <v>3472</v>
      </c>
      <c r="Q13">
        <v>115</v>
      </c>
      <c r="R13">
        <v>69455</v>
      </c>
      <c r="S13" s="3469">
        <v>45078</v>
      </c>
      <c r="T13" s="3448" t="s">
        <v>3513</v>
      </c>
    </row>
    <row r="14" spans="1:24" ht="81">
      <c r="A14" s="3465">
        <v>13</v>
      </c>
      <c r="B14" s="3446" t="s">
        <v>3404</v>
      </c>
      <c r="C14" s="3473" t="s">
        <v>3379</v>
      </c>
      <c r="D14" s="3473" t="s">
        <v>3380</v>
      </c>
      <c r="E14" s="3473">
        <v>145.66</v>
      </c>
      <c r="F14" s="3473" t="s">
        <v>3381</v>
      </c>
      <c r="G14" s="3473" t="s">
        <v>3402</v>
      </c>
      <c r="H14" s="3473">
        <v>16</v>
      </c>
      <c r="I14" s="3473">
        <v>2002</v>
      </c>
      <c r="J14" s="3473" t="s">
        <v>3405</v>
      </c>
      <c r="K14" s="3473">
        <v>84581</v>
      </c>
      <c r="L14" s="3473">
        <v>79999</v>
      </c>
      <c r="M14" s="3474">
        <v>44609</v>
      </c>
      <c r="N14" s="3448" t="s">
        <v>3473</v>
      </c>
    </row>
    <row r="15" spans="1:24" ht="40.5">
      <c r="A15" s="3475">
        <v>14</v>
      </c>
      <c r="B15" s="3453" t="s">
        <v>3406</v>
      </c>
      <c r="C15" s="3453" t="s">
        <v>3379</v>
      </c>
      <c r="D15" s="3453" t="s">
        <v>3380</v>
      </c>
      <c r="E15" s="3453">
        <v>48.73</v>
      </c>
      <c r="F15" s="3453" t="s">
        <v>3381</v>
      </c>
      <c r="G15" s="3453">
        <v>34</v>
      </c>
      <c r="H15" s="3453">
        <v>14</v>
      </c>
      <c r="I15" s="3453">
        <v>2001</v>
      </c>
      <c r="J15" s="3453" t="s">
        <v>633</v>
      </c>
      <c r="K15" s="3453">
        <v>80546</v>
      </c>
      <c r="L15" s="3453">
        <v>77043</v>
      </c>
      <c r="M15" s="3454">
        <v>44604</v>
      </c>
      <c r="N15" s="3448" t="s">
        <v>3475</v>
      </c>
    </row>
    <row r="16" spans="1:24" ht="54">
      <c r="A16" s="3478">
        <v>15</v>
      </c>
      <c r="B16" s="3453" t="s">
        <v>3407</v>
      </c>
      <c r="C16" s="3453" t="s">
        <v>3379</v>
      </c>
      <c r="D16" s="3453" t="s">
        <v>3380</v>
      </c>
      <c r="E16" s="3453">
        <v>269.92</v>
      </c>
      <c r="F16" s="3453" t="s">
        <v>3381</v>
      </c>
      <c r="G16" s="3453" t="s">
        <v>3382</v>
      </c>
      <c r="H16" s="3453" t="s">
        <v>3408</v>
      </c>
      <c r="I16" s="3453">
        <v>2002</v>
      </c>
      <c r="J16" s="3453" t="s">
        <v>633</v>
      </c>
      <c r="K16" s="3453">
        <v>0</v>
      </c>
      <c r="L16" s="3453">
        <v>70472</v>
      </c>
      <c r="M16" s="3454">
        <v>44576</v>
      </c>
      <c r="N16" s="3448" t="s">
        <v>3476</v>
      </c>
    </row>
    <row r="17" spans="1:20" ht="28.5" customHeight="1">
      <c r="A17" s="3449">
        <v>16</v>
      </c>
      <c r="B17" s="3446" t="s">
        <v>3409</v>
      </c>
      <c r="C17" s="3446" t="s">
        <v>3379</v>
      </c>
      <c r="D17" s="3446" t="s">
        <v>3380</v>
      </c>
      <c r="E17" s="3446">
        <v>103.72</v>
      </c>
      <c r="F17" s="3446" t="s">
        <v>3395</v>
      </c>
      <c r="G17" s="3446">
        <v>37</v>
      </c>
      <c r="H17" s="3446">
        <v>7</v>
      </c>
      <c r="I17" s="3446" t="s">
        <v>633</v>
      </c>
      <c r="J17" s="3446" t="s">
        <v>633</v>
      </c>
      <c r="K17" s="3446">
        <v>0</v>
      </c>
      <c r="L17" s="3446">
        <v>75144</v>
      </c>
      <c r="M17" s="3447">
        <v>44567</v>
      </c>
      <c r="N17" s="3448" t="s">
        <v>3479</v>
      </c>
      <c r="Q17">
        <v>2022.1</v>
      </c>
      <c r="R17">
        <v>71416</v>
      </c>
      <c r="S17">
        <f t="shared" ref="S17:S20" si="0">R17/$R$23-1</f>
        <v>-2.6937173844917117E-2</v>
      </c>
      <c r="T17">
        <f t="shared" ref="T17:T20" si="1">ROUND(S17*100+100,1)</f>
        <v>97.3</v>
      </c>
    </row>
    <row r="18" spans="1:20" ht="28.5" customHeight="1">
      <c r="A18" s="3465">
        <v>17</v>
      </c>
      <c r="B18" s="3446" t="s">
        <v>3410</v>
      </c>
      <c r="C18" s="3446" t="s">
        <v>3379</v>
      </c>
      <c r="D18" s="3446" t="s">
        <v>3380</v>
      </c>
      <c r="E18" s="3446">
        <v>105.81</v>
      </c>
      <c r="F18" s="3446" t="s">
        <v>3395</v>
      </c>
      <c r="G18" s="3446" t="s">
        <v>3382</v>
      </c>
      <c r="H18" s="3446">
        <v>1</v>
      </c>
      <c r="I18" s="3446">
        <v>2002</v>
      </c>
      <c r="J18" s="3446" t="s">
        <v>3411</v>
      </c>
      <c r="K18" s="3446">
        <v>75607</v>
      </c>
      <c r="L18" s="3446">
        <v>73074</v>
      </c>
      <c r="M18" s="3447">
        <v>44546</v>
      </c>
      <c r="N18" s="3448" t="s">
        <v>3471</v>
      </c>
      <c r="Q18">
        <v>2022.2</v>
      </c>
      <c r="R18">
        <v>73721</v>
      </c>
      <c r="S18">
        <f t="shared" si="0"/>
        <v>4.4690910577303011E-3</v>
      </c>
      <c r="T18">
        <f t="shared" si="1"/>
        <v>100.4</v>
      </c>
    </row>
    <row r="19" spans="1:20" ht="28.5" customHeight="1">
      <c r="A19" s="3449">
        <v>18</v>
      </c>
      <c r="B19" s="3446" t="s">
        <v>3412</v>
      </c>
      <c r="C19" s="3446" t="s">
        <v>3379</v>
      </c>
      <c r="D19" s="3473" t="s">
        <v>3380</v>
      </c>
      <c r="E19" s="3473">
        <v>104.96</v>
      </c>
      <c r="F19" s="3473" t="s">
        <v>3381</v>
      </c>
      <c r="G19" s="3473" t="s">
        <v>3384</v>
      </c>
      <c r="H19" s="3473">
        <v>22</v>
      </c>
      <c r="I19" s="3473">
        <v>2001</v>
      </c>
      <c r="J19" s="3473" t="s">
        <v>633</v>
      </c>
      <c r="K19" s="3473">
        <v>78411</v>
      </c>
      <c r="L19" s="3473">
        <v>75277</v>
      </c>
      <c r="M19" s="3474">
        <v>44538</v>
      </c>
      <c r="N19" s="3476" t="s">
        <v>3479</v>
      </c>
      <c r="O19" s="3477"/>
      <c r="Q19">
        <v>2022.3</v>
      </c>
      <c r="R19">
        <v>73127</v>
      </c>
      <c r="S19">
        <f t="shared" si="0"/>
        <v>-3.6243238455984095E-3</v>
      </c>
      <c r="T19">
        <f t="shared" si="1"/>
        <v>99.6</v>
      </c>
    </row>
    <row r="20" spans="1:20" ht="28.5" customHeight="1">
      <c r="A20" s="3465">
        <v>19</v>
      </c>
      <c r="B20" s="3446" t="s">
        <v>3413</v>
      </c>
      <c r="C20" s="3446" t="s">
        <v>3379</v>
      </c>
      <c r="D20" s="3473" t="s">
        <v>3380</v>
      </c>
      <c r="E20" s="3473">
        <v>105.66</v>
      </c>
      <c r="F20" s="3473" t="s">
        <v>3381</v>
      </c>
      <c r="G20" s="3473" t="s">
        <v>3382</v>
      </c>
      <c r="H20" s="3473">
        <v>23</v>
      </c>
      <c r="I20" s="3473">
        <v>2002</v>
      </c>
      <c r="J20" s="3473" t="s">
        <v>3414</v>
      </c>
      <c r="K20" s="3473">
        <v>80920</v>
      </c>
      <c r="L20" s="3473">
        <v>76259</v>
      </c>
      <c r="M20" s="3474">
        <v>44518</v>
      </c>
      <c r="N20" s="3476" t="s">
        <v>3474</v>
      </c>
      <c r="O20" s="3477"/>
      <c r="Q20">
        <v>2022.4</v>
      </c>
      <c r="R20">
        <v>73347</v>
      </c>
      <c r="S20">
        <f t="shared" si="0"/>
        <v>-6.2676277029150018E-4</v>
      </c>
      <c r="T20">
        <f t="shared" si="1"/>
        <v>99.9</v>
      </c>
    </row>
    <row r="21" spans="1:20" ht="28.5" customHeight="1">
      <c r="A21" s="3449">
        <v>20</v>
      </c>
      <c r="B21" s="3446" t="s">
        <v>3415</v>
      </c>
      <c r="C21" s="3446" t="s">
        <v>3379</v>
      </c>
      <c r="D21" s="3473" t="s">
        <v>3380</v>
      </c>
      <c r="E21" s="3473">
        <v>52.74</v>
      </c>
      <c r="F21" s="3473" t="s">
        <v>3381</v>
      </c>
      <c r="G21" s="3473" t="s">
        <v>3402</v>
      </c>
      <c r="H21" s="3473">
        <v>5</v>
      </c>
      <c r="I21" s="3473">
        <v>2002</v>
      </c>
      <c r="J21" s="3473" t="s">
        <v>3416</v>
      </c>
      <c r="K21" s="3473">
        <v>73379</v>
      </c>
      <c r="L21" s="3473">
        <v>72210</v>
      </c>
      <c r="M21" s="3474">
        <v>44510</v>
      </c>
      <c r="N21" s="3476" t="s">
        <v>3475</v>
      </c>
      <c r="O21" s="3477"/>
      <c r="Q21">
        <v>2023.1</v>
      </c>
      <c r="R21">
        <v>73753</v>
      </c>
      <c r="S21">
        <f>R21/$R$23-1</f>
        <v>4.9050999414113061E-3</v>
      </c>
      <c r="T21">
        <f>ROUND(S21*100+100,1)</f>
        <v>100.5</v>
      </c>
    </row>
    <row r="22" spans="1:20" ht="26.25" customHeight="1">
      <c r="A22" s="3465">
        <v>21</v>
      </c>
      <c r="B22" s="3446" t="s">
        <v>3417</v>
      </c>
      <c r="C22" s="3446" t="s">
        <v>3379</v>
      </c>
      <c r="D22" s="3473" t="s">
        <v>3380</v>
      </c>
      <c r="E22" s="3473">
        <v>172.03</v>
      </c>
      <c r="F22" s="3473" t="s">
        <v>3395</v>
      </c>
      <c r="G22" s="3473">
        <v>34</v>
      </c>
      <c r="H22" s="3473">
        <v>14</v>
      </c>
      <c r="I22" s="3473">
        <v>2001</v>
      </c>
      <c r="J22" s="3473" t="s">
        <v>3418</v>
      </c>
      <c r="K22" s="3473">
        <v>63361</v>
      </c>
      <c r="L22" s="3473">
        <v>62796</v>
      </c>
      <c r="M22" s="3474">
        <v>44393</v>
      </c>
      <c r="N22" s="3476" t="s">
        <v>3473</v>
      </c>
      <c r="O22" s="3476" t="s">
        <v>3472</v>
      </c>
      <c r="Q22">
        <v>2023.2</v>
      </c>
      <c r="R22">
        <v>73393</v>
      </c>
      <c r="S22">
        <f>R22/R23</f>
        <v>1</v>
      </c>
      <c r="T22">
        <f t="shared" ref="T21:T22" si="2">S22*100</f>
        <v>100</v>
      </c>
    </row>
    <row r="23" spans="1:20" ht="26.25" customHeight="1">
      <c r="A23" s="3449">
        <v>22</v>
      </c>
      <c r="B23" s="3446" t="s">
        <v>3419</v>
      </c>
      <c r="C23" s="3446" t="s">
        <v>3379</v>
      </c>
      <c r="D23" s="3446" t="s">
        <v>3380</v>
      </c>
      <c r="E23" s="3446">
        <v>54.02</v>
      </c>
      <c r="F23" s="3446" t="s">
        <v>3381</v>
      </c>
      <c r="G23" s="3446" t="s">
        <v>3382</v>
      </c>
      <c r="H23" s="3446">
        <v>5</v>
      </c>
      <c r="I23" s="3446">
        <v>2002</v>
      </c>
      <c r="J23" s="3446" t="s">
        <v>633</v>
      </c>
      <c r="K23" s="3446">
        <v>74602</v>
      </c>
      <c r="L23" s="3446">
        <v>72186</v>
      </c>
      <c r="M23" s="3447">
        <v>44428</v>
      </c>
      <c r="N23" s="3448" t="s">
        <v>3475</v>
      </c>
      <c r="O23" s="3448" t="s">
        <v>3472</v>
      </c>
      <c r="Q23">
        <v>2023.3</v>
      </c>
      <c r="R23">
        <v>73393</v>
      </c>
      <c r="S23">
        <f>R23/R22</f>
        <v>1</v>
      </c>
      <c r="T23">
        <f>S23*100</f>
        <v>100</v>
      </c>
    </row>
    <row r="24" spans="1:20" ht="26.25" customHeight="1">
      <c r="A24" s="3465">
        <v>23</v>
      </c>
      <c r="B24" s="3446" t="s">
        <v>3420</v>
      </c>
      <c r="C24" s="3446" t="s">
        <v>3379</v>
      </c>
      <c r="D24" s="3446" t="s">
        <v>3380</v>
      </c>
      <c r="E24" s="3446">
        <v>53.95</v>
      </c>
      <c r="F24" s="3446" t="s">
        <v>3381</v>
      </c>
      <c r="G24" s="3446">
        <v>35</v>
      </c>
      <c r="H24" s="3446">
        <v>2</v>
      </c>
      <c r="I24" s="3446" t="s">
        <v>633</v>
      </c>
      <c r="J24" s="3446" t="s">
        <v>633</v>
      </c>
      <c r="K24" s="3446">
        <v>76552</v>
      </c>
      <c r="L24" s="3446">
        <v>74335</v>
      </c>
      <c r="M24" s="3447">
        <v>44383</v>
      </c>
      <c r="N24" s="3448" t="s">
        <v>3475</v>
      </c>
      <c r="O24" s="3448" t="s">
        <v>3472</v>
      </c>
    </row>
    <row r="25" spans="1:20" ht="26.25" customHeight="1">
      <c r="A25" s="3449">
        <v>24</v>
      </c>
      <c r="B25" s="3446" t="s">
        <v>3421</v>
      </c>
      <c r="C25" s="3446" t="s">
        <v>3379</v>
      </c>
      <c r="D25" s="3446" t="s">
        <v>3380</v>
      </c>
      <c r="E25" s="3446">
        <v>171.9</v>
      </c>
      <c r="F25" s="3446" t="s">
        <v>3381</v>
      </c>
      <c r="G25" s="3446" t="s">
        <v>3384</v>
      </c>
      <c r="H25" s="3446">
        <v>7</v>
      </c>
      <c r="I25" s="3446">
        <v>2002</v>
      </c>
      <c r="J25" s="3446" t="s">
        <v>633</v>
      </c>
      <c r="K25" s="3446">
        <v>60500</v>
      </c>
      <c r="L25" s="3446">
        <v>60062</v>
      </c>
      <c r="M25" s="3447">
        <v>44363</v>
      </c>
      <c r="N25" s="3448" t="s">
        <v>3476</v>
      </c>
      <c r="O25" s="3448" t="s">
        <v>3480</v>
      </c>
    </row>
    <row r="26" spans="1:20" ht="54">
      <c r="A26" s="3465">
        <v>25</v>
      </c>
      <c r="B26" s="3446" t="s">
        <v>3422</v>
      </c>
      <c r="C26" s="3446" t="s">
        <v>3379</v>
      </c>
      <c r="D26" s="3446" t="s">
        <v>3380</v>
      </c>
      <c r="E26" s="3446">
        <v>171.9</v>
      </c>
      <c r="F26" s="3446" t="s">
        <v>3381</v>
      </c>
      <c r="G26" s="3446" t="s">
        <v>3384</v>
      </c>
      <c r="H26" s="3446">
        <v>13</v>
      </c>
      <c r="I26" s="3446">
        <v>2002</v>
      </c>
      <c r="J26" s="3446" t="s">
        <v>633</v>
      </c>
      <c r="K26" s="3446">
        <v>65445</v>
      </c>
      <c r="L26" s="3446">
        <v>63860</v>
      </c>
      <c r="M26" s="3447">
        <v>44365</v>
      </c>
      <c r="N26" s="3448" t="s">
        <v>3473</v>
      </c>
      <c r="O26" s="3448" t="s">
        <v>3472</v>
      </c>
    </row>
    <row r="27" spans="1:20" ht="54">
      <c r="A27" s="3449">
        <v>26</v>
      </c>
      <c r="B27" s="3446" t="s">
        <v>3423</v>
      </c>
      <c r="C27" s="3446" t="s">
        <v>3379</v>
      </c>
      <c r="D27" s="3446" t="s">
        <v>3380</v>
      </c>
      <c r="E27" s="3446">
        <v>134.32</v>
      </c>
      <c r="F27" s="3446" t="s">
        <v>3381</v>
      </c>
      <c r="G27" s="3446" t="s">
        <v>3384</v>
      </c>
      <c r="H27" s="3446">
        <v>25</v>
      </c>
      <c r="I27" s="3446">
        <v>2002</v>
      </c>
      <c r="J27" s="3446" t="s">
        <v>633</v>
      </c>
      <c r="K27" s="3446">
        <v>76310</v>
      </c>
      <c r="L27" s="3446">
        <v>73966</v>
      </c>
      <c r="M27" s="3447">
        <v>44357</v>
      </c>
      <c r="N27" s="3448" t="s">
        <v>3476</v>
      </c>
      <c r="O27" s="3448" t="s">
        <v>3472</v>
      </c>
    </row>
    <row r="28" spans="1:20" ht="54">
      <c r="A28" s="3465">
        <v>27</v>
      </c>
      <c r="B28" s="3446" t="s">
        <v>3424</v>
      </c>
      <c r="C28" s="3446" t="s">
        <v>3379</v>
      </c>
      <c r="D28" s="3446" t="s">
        <v>3380</v>
      </c>
      <c r="E28" s="3446">
        <v>145.46</v>
      </c>
      <c r="F28" s="3446" t="s">
        <v>3381</v>
      </c>
      <c r="G28" s="3446">
        <v>35</v>
      </c>
      <c r="H28" s="3446">
        <v>16</v>
      </c>
      <c r="I28" s="3446" t="s">
        <v>633</v>
      </c>
      <c r="J28" s="3446" t="s">
        <v>633</v>
      </c>
      <c r="K28" s="3446">
        <v>0</v>
      </c>
      <c r="L28" s="3446">
        <v>68669</v>
      </c>
      <c r="M28" s="3447">
        <v>44331</v>
      </c>
      <c r="N28" s="3448" t="s">
        <v>3476</v>
      </c>
      <c r="O28" s="3448" t="s">
        <v>3472</v>
      </c>
    </row>
    <row r="29" spans="1:20" ht="81">
      <c r="A29" s="3449">
        <v>28</v>
      </c>
      <c r="B29" s="3446" t="s">
        <v>3425</v>
      </c>
      <c r="C29" s="3446" t="s">
        <v>3379</v>
      </c>
      <c r="D29" s="3446" t="s">
        <v>3380</v>
      </c>
      <c r="E29" s="3446">
        <v>145.66</v>
      </c>
      <c r="F29" s="3446" t="s">
        <v>3381</v>
      </c>
      <c r="G29" s="3446" t="s">
        <v>3382</v>
      </c>
      <c r="H29" s="3446">
        <v>28</v>
      </c>
      <c r="I29" s="3446">
        <v>2002</v>
      </c>
      <c r="J29" s="3446" t="s">
        <v>3426</v>
      </c>
      <c r="K29" s="3446">
        <v>0</v>
      </c>
      <c r="L29" s="3446">
        <v>75578</v>
      </c>
      <c r="M29" s="3447">
        <v>44311</v>
      </c>
    </row>
    <row r="30" spans="1:20" ht="54">
      <c r="A30" s="3465">
        <v>29</v>
      </c>
      <c r="B30" s="3446" t="s">
        <v>3427</v>
      </c>
      <c r="C30" s="3446" t="s">
        <v>3379</v>
      </c>
      <c r="D30" s="3446" t="s">
        <v>3380</v>
      </c>
      <c r="E30" s="3446">
        <v>109.15</v>
      </c>
      <c r="F30" s="3446" t="s">
        <v>3381</v>
      </c>
      <c r="G30" s="3446" t="s">
        <v>3384</v>
      </c>
      <c r="H30" s="3446">
        <v>9</v>
      </c>
      <c r="I30" s="3446">
        <v>2002</v>
      </c>
      <c r="J30" s="3446" t="s">
        <v>633</v>
      </c>
      <c r="K30" s="3446">
        <v>73294</v>
      </c>
      <c r="L30" s="3446">
        <v>71432</v>
      </c>
      <c r="M30" s="3447">
        <v>44313</v>
      </c>
    </row>
    <row r="31" spans="1:20" ht="54">
      <c r="A31" s="3449">
        <v>30</v>
      </c>
      <c r="B31" s="3446" t="s">
        <v>3428</v>
      </c>
      <c r="C31" s="3446" t="s">
        <v>3379</v>
      </c>
      <c r="D31" s="3446" t="s">
        <v>3380</v>
      </c>
      <c r="E31" s="3446">
        <v>53.03</v>
      </c>
      <c r="F31" s="3446" t="s">
        <v>3381</v>
      </c>
      <c r="G31" s="3446">
        <v>35</v>
      </c>
      <c r="H31" s="3446">
        <v>19</v>
      </c>
      <c r="I31" s="3446" t="s">
        <v>633</v>
      </c>
      <c r="J31" s="3446" t="s">
        <v>633</v>
      </c>
      <c r="K31" s="3446">
        <v>75391</v>
      </c>
      <c r="L31" s="3446">
        <v>72879</v>
      </c>
      <c r="M31" s="3447">
        <v>44250</v>
      </c>
    </row>
    <row r="32" spans="1:20" ht="54">
      <c r="A32" s="3465">
        <v>31</v>
      </c>
      <c r="B32" s="3446" t="s">
        <v>3429</v>
      </c>
      <c r="C32" s="3446" t="s">
        <v>3379</v>
      </c>
      <c r="D32" s="3446" t="s">
        <v>3380</v>
      </c>
      <c r="E32" s="3446">
        <v>53.78</v>
      </c>
      <c r="F32" s="3446" t="s">
        <v>3381</v>
      </c>
      <c r="G32" s="3446" t="s">
        <v>3430</v>
      </c>
      <c r="H32" s="3446">
        <v>26</v>
      </c>
      <c r="I32" s="3446">
        <v>2002</v>
      </c>
      <c r="J32" s="3446" t="s">
        <v>633</v>
      </c>
      <c r="K32" s="3446">
        <v>75865</v>
      </c>
      <c r="L32" s="3446">
        <v>72824</v>
      </c>
      <c r="M32" s="3447">
        <v>44247</v>
      </c>
    </row>
    <row r="33" spans="1:13" ht="67.5">
      <c r="A33" s="3449">
        <v>32</v>
      </c>
      <c r="B33" s="3446" t="s">
        <v>3431</v>
      </c>
      <c r="C33" s="3446" t="s">
        <v>3379</v>
      </c>
      <c r="D33" s="3446" t="s">
        <v>3380</v>
      </c>
      <c r="E33" s="3446">
        <v>171.9</v>
      </c>
      <c r="F33" s="3446" t="s">
        <v>3381</v>
      </c>
      <c r="G33" s="3446" t="s">
        <v>3389</v>
      </c>
      <c r="H33" s="3446">
        <v>5</v>
      </c>
      <c r="I33" s="3446">
        <v>2002</v>
      </c>
      <c r="J33" s="3446" t="s">
        <v>3432</v>
      </c>
      <c r="K33" s="3446">
        <v>0</v>
      </c>
      <c r="L33" s="3446">
        <v>60651</v>
      </c>
      <c r="M33" s="3447">
        <v>44154</v>
      </c>
    </row>
    <row r="34" spans="1:13" ht="81">
      <c r="A34" s="3465">
        <v>33</v>
      </c>
      <c r="B34" s="3446" t="s">
        <v>3433</v>
      </c>
      <c r="C34" s="3446" t="s">
        <v>3379</v>
      </c>
      <c r="D34" s="3446" t="s">
        <v>3380</v>
      </c>
      <c r="E34" s="3446">
        <v>105.66</v>
      </c>
      <c r="F34" s="3446" t="s">
        <v>3381</v>
      </c>
      <c r="G34" s="3446">
        <v>32</v>
      </c>
      <c r="H34" s="3446">
        <v>14</v>
      </c>
      <c r="I34" s="3446">
        <v>2002</v>
      </c>
      <c r="J34" s="3446" t="s">
        <v>3434</v>
      </c>
      <c r="K34" s="3446">
        <v>0</v>
      </c>
      <c r="L34" s="3446">
        <v>67867</v>
      </c>
      <c r="M34" s="3447">
        <v>44076</v>
      </c>
    </row>
    <row r="35" spans="1:13" ht="81">
      <c r="A35" s="3449">
        <v>34</v>
      </c>
      <c r="B35" s="3446" t="s">
        <v>3435</v>
      </c>
      <c r="C35" s="3446" t="s">
        <v>3379</v>
      </c>
      <c r="D35" s="3446" t="s">
        <v>3380</v>
      </c>
      <c r="E35" s="3446">
        <v>172.03</v>
      </c>
      <c r="F35" s="3446" t="s">
        <v>3395</v>
      </c>
      <c r="G35" s="3446" t="s">
        <v>3384</v>
      </c>
      <c r="H35" s="3446">
        <v>29</v>
      </c>
      <c r="I35" s="3446">
        <v>2001</v>
      </c>
      <c r="J35" s="3446" t="s">
        <v>3436</v>
      </c>
      <c r="K35" s="3446">
        <v>0</v>
      </c>
      <c r="L35" s="3446">
        <v>60503</v>
      </c>
      <c r="M35" s="3447">
        <v>44093</v>
      </c>
    </row>
    <row r="36" spans="1:13" ht="54">
      <c r="A36" s="3465">
        <v>35</v>
      </c>
      <c r="B36" s="3453" t="s">
        <v>3437</v>
      </c>
      <c r="C36" s="3453" t="s">
        <v>3379</v>
      </c>
      <c r="D36" s="3453" t="s">
        <v>3380</v>
      </c>
      <c r="E36" s="3453">
        <v>180.89</v>
      </c>
      <c r="F36" s="3453" t="s">
        <v>3381</v>
      </c>
      <c r="G36" s="3453" t="s">
        <v>3389</v>
      </c>
      <c r="H36" s="3453" t="s">
        <v>3408</v>
      </c>
      <c r="I36" s="3453">
        <v>2002</v>
      </c>
      <c r="J36" s="3453" t="s">
        <v>3438</v>
      </c>
      <c r="K36" s="3453">
        <v>70761</v>
      </c>
      <c r="L36" s="3453">
        <v>67492</v>
      </c>
      <c r="M36" s="3454">
        <v>43980</v>
      </c>
    </row>
    <row r="37" spans="1:13" ht="40.5">
      <c r="A37" s="3449">
        <v>36</v>
      </c>
      <c r="B37" s="3446" t="s">
        <v>3439</v>
      </c>
      <c r="C37" s="3446" t="s">
        <v>3379</v>
      </c>
      <c r="D37" s="3446" t="s">
        <v>3380</v>
      </c>
      <c r="E37" s="3446">
        <v>113.9</v>
      </c>
      <c r="F37" s="3446" t="s">
        <v>3395</v>
      </c>
      <c r="G37" s="3446">
        <v>34</v>
      </c>
      <c r="H37" s="3446">
        <v>10</v>
      </c>
      <c r="I37" s="3446" t="s">
        <v>633</v>
      </c>
      <c r="J37" s="3446" t="s">
        <v>633</v>
      </c>
      <c r="K37" s="3446">
        <v>62774</v>
      </c>
      <c r="L37" s="3446">
        <v>61420</v>
      </c>
      <c r="M37" s="3447">
        <v>43960</v>
      </c>
    </row>
    <row r="38" spans="1:13" ht="54">
      <c r="A38" s="3465">
        <v>37</v>
      </c>
      <c r="B38" s="3446" t="s">
        <v>3440</v>
      </c>
      <c r="C38" s="3446" t="s">
        <v>3379</v>
      </c>
      <c r="D38" s="3446" t="s">
        <v>3380</v>
      </c>
      <c r="E38" s="3446">
        <v>112.94</v>
      </c>
      <c r="F38" s="3446" t="s">
        <v>3381</v>
      </c>
      <c r="G38" s="3446" t="s">
        <v>3430</v>
      </c>
      <c r="H38" s="3446">
        <v>6</v>
      </c>
      <c r="I38" s="3446">
        <v>2002</v>
      </c>
      <c r="J38" s="3446" t="s">
        <v>633</v>
      </c>
      <c r="K38" s="3446">
        <v>69949</v>
      </c>
      <c r="L38" s="3446">
        <v>67875</v>
      </c>
      <c r="M38" s="3447">
        <v>43946</v>
      </c>
    </row>
    <row r="39" spans="1:13" ht="54">
      <c r="A39" s="3449">
        <v>38</v>
      </c>
      <c r="B39" s="3453" t="s">
        <v>3441</v>
      </c>
      <c r="C39" s="3453" t="s">
        <v>3379</v>
      </c>
      <c r="D39" s="3453" t="s">
        <v>3380</v>
      </c>
      <c r="E39" s="3453">
        <v>309.06</v>
      </c>
      <c r="F39" s="3453" t="s">
        <v>3381</v>
      </c>
      <c r="G39" s="3453" t="s">
        <v>3389</v>
      </c>
      <c r="H39" s="3455" t="s">
        <v>3457</v>
      </c>
      <c r="I39" s="3453">
        <v>2002</v>
      </c>
      <c r="J39" s="3453" t="s">
        <v>633</v>
      </c>
      <c r="K39" s="3453">
        <v>0</v>
      </c>
      <c r="L39" s="3453">
        <v>70000</v>
      </c>
      <c r="M39" s="3454">
        <v>43915</v>
      </c>
    </row>
    <row r="40" spans="1:13" ht="54">
      <c r="A40" s="3465">
        <v>39</v>
      </c>
      <c r="B40" s="3446" t="s">
        <v>3442</v>
      </c>
      <c r="C40" s="3446" t="s">
        <v>3379</v>
      </c>
      <c r="D40" s="3446" t="s">
        <v>3380</v>
      </c>
      <c r="E40" s="3446">
        <v>108.36</v>
      </c>
      <c r="F40" s="3446" t="s">
        <v>3381</v>
      </c>
      <c r="G40" s="3446" t="s">
        <v>3382</v>
      </c>
      <c r="H40" s="3446">
        <v>27</v>
      </c>
      <c r="I40" s="3446">
        <v>2002</v>
      </c>
      <c r="J40" s="3446" t="s">
        <v>633</v>
      </c>
      <c r="K40" s="3446">
        <v>0</v>
      </c>
      <c r="L40" s="3446">
        <v>69011</v>
      </c>
      <c r="M40" s="3447">
        <v>43833</v>
      </c>
    </row>
    <row r="41" spans="1:13" ht="54">
      <c r="A41" s="3449">
        <v>40</v>
      </c>
      <c r="B41" s="3446" t="s">
        <v>3443</v>
      </c>
      <c r="C41" s="3446" t="s">
        <v>3379</v>
      </c>
      <c r="D41" s="3446" t="s">
        <v>3380</v>
      </c>
      <c r="E41" s="3446">
        <v>53.03</v>
      </c>
      <c r="F41" s="3446" t="s">
        <v>3381</v>
      </c>
      <c r="G41" s="3446" t="s">
        <v>3402</v>
      </c>
      <c r="H41" s="3446">
        <v>3</v>
      </c>
      <c r="I41" s="3446">
        <v>2002</v>
      </c>
      <c r="J41" s="3446" t="s">
        <v>3444</v>
      </c>
      <c r="K41" s="3446">
        <v>0</v>
      </c>
      <c r="L41" s="3446">
        <v>67455</v>
      </c>
      <c r="M41" s="3447">
        <v>43802</v>
      </c>
    </row>
    <row r="42" spans="1:13" ht="54">
      <c r="A42" s="3465">
        <v>41</v>
      </c>
      <c r="B42" s="3446" t="s">
        <v>3445</v>
      </c>
      <c r="C42" s="3446" t="s">
        <v>3379</v>
      </c>
      <c r="D42" s="3446" t="s">
        <v>3380</v>
      </c>
      <c r="E42" s="3451">
        <v>48.69</v>
      </c>
      <c r="F42" s="3451" t="s">
        <v>3381</v>
      </c>
      <c r="G42" s="3451" t="s">
        <v>3384</v>
      </c>
      <c r="H42" s="3451">
        <v>19</v>
      </c>
      <c r="I42" s="3451">
        <v>2002</v>
      </c>
      <c r="J42" s="3451" t="s">
        <v>633</v>
      </c>
      <c r="K42" s="3451">
        <v>85438</v>
      </c>
      <c r="L42" s="3451">
        <v>77097</v>
      </c>
      <c r="M42" s="3452">
        <v>43797</v>
      </c>
    </row>
    <row r="43" spans="1:13" ht="54">
      <c r="A43" s="3449">
        <v>42</v>
      </c>
      <c r="B43" s="3446" t="s">
        <v>3446</v>
      </c>
      <c r="C43" s="3446" t="s">
        <v>3379</v>
      </c>
      <c r="D43" s="3446" t="s">
        <v>3380</v>
      </c>
      <c r="E43" s="3451">
        <v>105.66</v>
      </c>
      <c r="F43" s="3451" t="s">
        <v>3381</v>
      </c>
      <c r="G43" s="3451" t="s">
        <v>3402</v>
      </c>
      <c r="H43" s="3451">
        <v>8</v>
      </c>
      <c r="I43" s="3451" t="s">
        <v>633</v>
      </c>
      <c r="J43" s="3451" t="s">
        <v>633</v>
      </c>
      <c r="K43" s="3451">
        <v>71172</v>
      </c>
      <c r="L43" s="3451">
        <v>69434</v>
      </c>
      <c r="M43" s="3452">
        <v>43783</v>
      </c>
    </row>
  </sheetData>
  <mergeCells count="1">
    <mergeCell ref="U3:U6"/>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272.4323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55952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1683436.24</v>
      </c>
      <c r="D5" s="211" t="s">
        <v>1469</v>
      </c>
      <c r="E5" s="212" t="s">
        <v>1470</v>
      </c>
      <c r="F5" s="212" t="s">
        <v>1471</v>
      </c>
      <c r="G5" s="213"/>
    </row>
    <row r="6" spans="1:8" s="214" customFormat="1" ht="13.5" customHeight="1">
      <c r="A6" s="778" t="s">
        <v>1472</v>
      </c>
      <c r="B6" s="215" t="s">
        <v>1473</v>
      </c>
      <c r="C6" s="216">
        <f>基准地价修正!C33*基准地价修正!D33</f>
        <v>1626051.24</v>
      </c>
      <c r="D6" s="217"/>
      <c r="E6" s="218"/>
      <c r="F6" s="218"/>
      <c r="G6" s="219"/>
    </row>
    <row r="7" spans="1:8" s="214" customFormat="1" ht="13.5" customHeight="1">
      <c r="A7" s="778" t="s">
        <v>1474</v>
      </c>
      <c r="B7" s="215" t="s">
        <v>1475</v>
      </c>
      <c r="C7" s="220">
        <f>ROUND(C6*F7,0)</f>
        <v>49595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7790</v>
      </c>
      <c r="D8" s="222"/>
      <c r="E8" s="220"/>
      <c r="F8" s="221"/>
      <c r="G8" s="1855" t="s">
        <v>3497</v>
      </c>
    </row>
    <row r="9" spans="1:8" s="214" customFormat="1" ht="13.5" customHeight="1">
      <c r="A9" s="779" t="s">
        <v>355</v>
      </c>
      <c r="B9" s="224" t="s">
        <v>1478</v>
      </c>
      <c r="C9" s="225">
        <f ca="1">ROUND(D9*E9,0)</f>
        <v>7790</v>
      </c>
      <c r="D9" s="845">
        <f ca="1">IF(B1="",'数据-汇总表'!E5,IF(INDIRECT("'数据-取费表'!c"&amp;$G$1)="住宅",INDIRECT("'数据-取费表'!k"&amp;$G$1),0))</f>
        <v>48.69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48.69</v>
      </c>
      <c r="E19" s="211">
        <f>'数据-取费表'!B31</f>
        <v>200</v>
      </c>
      <c r="F19" s="231"/>
      <c r="G19" s="1855" t="s">
        <v>3498</v>
      </c>
    </row>
    <row r="20" spans="1:7" s="214" customFormat="1" ht="13.5" customHeight="1">
      <c r="A20" s="255" t="s">
        <v>1574</v>
      </c>
      <c r="B20" s="210" t="s">
        <v>1575</v>
      </c>
      <c r="C20" s="232">
        <f ca="1">ROUND((C5+C19)*F20,0)</f>
        <v>33669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165324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163725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1599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429276</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429276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2510813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198047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170415</v>
      </c>
      <c r="D34" s="217"/>
      <c r="E34" s="220"/>
      <c r="F34" s="257"/>
      <c r="G34" s="219"/>
    </row>
    <row r="35" spans="1:7" ht="13.5" customHeight="1">
      <c r="A35" s="780" t="s">
        <v>351</v>
      </c>
      <c r="B35" s="215" t="s">
        <v>1527</v>
      </c>
      <c r="C35" s="220">
        <f ca="1">ROUND(C34*F35,0)</f>
        <v>6817</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8521</v>
      </c>
      <c r="D36" s="220"/>
      <c r="E36" s="220"/>
      <c r="F36" s="259">
        <f>'数据-取费表'!B34</f>
        <v>0.05</v>
      </c>
      <c r="G36" s="260" t="s">
        <v>1530</v>
      </c>
    </row>
    <row r="37" spans="1:7" s="258" customFormat="1" ht="13.5" customHeight="1">
      <c r="A37" s="780" t="s">
        <v>353</v>
      </c>
      <c r="B37" s="215" t="s">
        <v>1531</v>
      </c>
      <c r="C37" s="249">
        <f ca="1">ROUND(E37*D37,0)</f>
        <v>9738</v>
      </c>
      <c r="D37" s="217">
        <f ca="1">D19</f>
        <v>48.69</v>
      </c>
      <c r="E37" s="249">
        <f>'数据-取费表'!B35</f>
        <v>200</v>
      </c>
      <c r="F37" s="259"/>
      <c r="G37" s="261"/>
    </row>
    <row r="38" spans="1:7" ht="13.5" customHeight="1">
      <c r="A38" s="780" t="s">
        <v>354</v>
      </c>
      <c r="B38" s="215" t="s">
        <v>1533</v>
      </c>
      <c r="C38" s="220">
        <f ca="1">ROUND(C34*F38,0)</f>
        <v>2556</v>
      </c>
      <c r="D38" s="220"/>
      <c r="E38" s="220"/>
      <c r="F38" s="259">
        <f>'数据-取费表'!B36</f>
        <v>1.4999999999999999E-2</v>
      </c>
      <c r="G38" s="219" t="s">
        <v>1528</v>
      </c>
    </row>
    <row r="39" spans="1:7" s="214" customFormat="1" ht="13.5" customHeight="1">
      <c r="A39" s="255" t="s">
        <v>1534</v>
      </c>
      <c r="B39" s="210" t="s">
        <v>1535</v>
      </c>
      <c r="C39" s="232">
        <f ca="1">ROUND(C33*F20,0)</f>
        <v>3961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9595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9407</v>
      </c>
      <c r="D42" s="238"/>
      <c r="E42" s="238"/>
      <c r="F42" s="239"/>
      <c r="G42" s="3673" t="s">
        <v>1591</v>
      </c>
    </row>
    <row r="43" spans="1:7" ht="13.5" customHeight="1">
      <c r="A43" s="780" t="s">
        <v>347</v>
      </c>
      <c r="B43" s="215" t="s">
        <v>1545</v>
      </c>
      <c r="C43" s="238">
        <f ca="1">ROUND(IF('数据-取费表'!B22&lt;=1,C39*F22*'数据-取费表'!B20/2,C39*(POWER((1+F22),'数据-取费表'!B20/2)-1)),0)</f>
        <v>188</v>
      </c>
      <c r="D43" s="238"/>
      <c r="E43" s="238"/>
      <c r="F43" s="239"/>
      <c r="G43" s="3674"/>
    </row>
    <row r="44" spans="1:7" ht="13.5" customHeight="1">
      <c r="A44" s="780" t="s">
        <v>348</v>
      </c>
      <c r="B44" s="215" t="s">
        <v>1546</v>
      </c>
      <c r="C44" s="238">
        <f ca="1">ROUND(IF('数据-取费表'!B22&lt;=1,C40*F22*'数据-取费表'!B20/2,C40*(POWER((1+F22),'数据-取费表'!B20/2)-1)),4)</f>
        <v>1E-3</v>
      </c>
      <c r="D44" s="238"/>
      <c r="E44" s="238"/>
      <c r="F44" s="239"/>
      <c r="G44" s="3675"/>
    </row>
    <row r="45" spans="1:7" s="214" customFormat="1" ht="13.5" customHeight="1">
      <c r="A45" s="255" t="s">
        <v>1547</v>
      </c>
      <c r="B45" s="244" t="s">
        <v>1513</v>
      </c>
      <c r="C45" s="245">
        <f ca="1">C46</f>
        <v>50502</v>
      </c>
      <c r="D45" s="235">
        <f ca="1">C47</f>
        <v>5.0000000000000001E-3</v>
      </c>
      <c r="E45" s="236" t="s">
        <v>1539</v>
      </c>
      <c r="F45" s="246">
        <f ca="1">F27</f>
        <v>0.25</v>
      </c>
      <c r="G45" s="247" t="s">
        <v>1548</v>
      </c>
    </row>
    <row r="46" spans="1:7" s="214" customFormat="1" ht="13.5" customHeight="1">
      <c r="A46" s="780" t="s">
        <v>346</v>
      </c>
      <c r="B46" s="248" t="s">
        <v>1549</v>
      </c>
      <c r="C46" s="249">
        <f ca="1">ROUND((C33+C39)*F27,0)</f>
        <v>50502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284680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213510</v>
      </c>
      <c r="D51" s="232"/>
      <c r="E51" s="232"/>
      <c r="F51" s="264"/>
      <c r="G51" s="234" t="s">
        <v>1560</v>
      </c>
    </row>
    <row r="52" spans="1:7" s="208" customFormat="1" ht="16.5" thickBot="1">
      <c r="A52" s="265" t="s">
        <v>1561</v>
      </c>
      <c r="B52" s="266"/>
      <c r="C52" s="267">
        <f ca="1">C31+C51</f>
        <v>2724323</v>
      </c>
      <c r="D52" s="266"/>
      <c r="E52" s="266"/>
      <c r="F52" s="266"/>
      <c r="G52" s="268"/>
    </row>
    <row r="55" spans="1:7" ht="15">
      <c r="B55" s="270" t="s">
        <v>1562</v>
      </c>
      <c r="C55" s="271"/>
    </row>
    <row r="56" spans="1:7">
      <c r="B56" s="273" t="s">
        <v>802</v>
      </c>
      <c r="C56" s="275">
        <f ca="1">1-C57</f>
        <v>0.92200000000000004</v>
      </c>
    </row>
    <row r="57" spans="1:7">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48.69</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163</v>
      </c>
      <c r="C2" s="1996" t="s">
        <v>1935</v>
      </c>
      <c r="D2" s="1997" t="s">
        <v>1936</v>
      </c>
      <c r="E2" s="3418" t="s">
        <v>3395</v>
      </c>
      <c r="F2" s="1997" t="s">
        <v>1937</v>
      </c>
      <c r="G2" s="1998" t="str">
        <f>IF(E2="商业",项目基本情况!B37,IF(E2="办公",项目基本情况!C37,IF(E2="住宅",项目基本情况!D37,IF(E2="工业",项目基本情况!E37,项目基本情况!F37))))</f>
        <v>二级</v>
      </c>
      <c r="H2" s="1997" t="s">
        <v>1938</v>
      </c>
      <c r="I2" s="1998" t="str">
        <f>IF(E2="商业",项目基本情况!B38,IF(E2="办公",项目基本情况!C38,IF(E2="住宅",项目基本情况!D38,IF(E2="工业",项目基本情况!E38,项目基本情况!F38))))</f>
        <v>Ⅱ—15</v>
      </c>
      <c r="J2" s="1999"/>
      <c r="K2" s="1119"/>
      <c r="L2" s="2000"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7">
        <f>ROUND(SUMPRODUCT((B106:B110=R2)*(C105:N105=G2)*(C106:N110)),4)</f>
        <v>1.5206</v>
      </c>
      <c r="T2" s="3357">
        <f t="shared" ref="T2:T16" si="0">ROUND($C$5*$C$22*$C$23*$C$24*S2*$C$28,0)</f>
        <v>53381</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33477</v>
      </c>
      <c r="C3" s="1996" t="s">
        <v>1941</v>
      </c>
      <c r="D3" s="1997" t="s">
        <v>1942</v>
      </c>
      <c r="E3" s="3416" t="s">
        <v>3492</v>
      </c>
      <c r="F3" s="2001" t="s">
        <v>3493</v>
      </c>
      <c r="G3" s="752">
        <f>IF(F3="宗地容积率",'数据-汇总表'!I4,IF(F3="估价对象容积率",'数据-汇总表'!I6,'数据-汇总表'!I7))</f>
        <v>3.35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1.2072000000000001</v>
      </c>
      <c r="T3" s="3357">
        <f t="shared" si="0"/>
        <v>42379</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88"/>
      <c r="B4" s="3789"/>
      <c r="C4" s="3789"/>
      <c r="D4" s="3790"/>
      <c r="E4" s="3790"/>
      <c r="F4" s="3790"/>
      <c r="G4" s="3790"/>
      <c r="H4" s="3790"/>
      <c r="I4" s="3790"/>
      <c r="J4" s="3791"/>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1.0430999999999999</v>
      </c>
      <c r="T4" s="3357">
        <f t="shared" si="0"/>
        <v>36618</v>
      </c>
      <c r="U4" s="1212"/>
      <c r="V4" s="3357">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f>ROUND(IF(E2="商业",C6*C7*C17+C20,(IF(E2="住宅",C6*C13*C17+C20,IF(E2="办公",C6*C12*C17+C20,C6+C20)))),0)</f>
        <v>33726</v>
      </c>
      <c r="D5" s="1338">
        <f>ROUND(C6*C17+C20,0)</f>
        <v>32120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0.94389999999999996</v>
      </c>
      <c r="T5" s="3357">
        <f t="shared" si="0"/>
        <v>33136</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32120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0.89959999999999996</v>
      </c>
      <c r="T6" s="3357">
        <f t="shared" si="0"/>
        <v>31581</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3240</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5"/>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85" t="s">
        <v>1960</v>
      </c>
      <c r="X8" s="378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87"/>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8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3245</v>
      </c>
      <c r="B13" s="2031" t="s">
        <v>1982</v>
      </c>
      <c r="C13" s="755">
        <f>ROUND(C16*D16*E16*F16*G16*H16*I16*J16,4)</f>
        <v>1.05</v>
      </c>
      <c r="D13" s="2032" t="s">
        <v>1983</v>
      </c>
      <c r="E13" s="2033"/>
      <c r="F13" s="2033"/>
      <c r="G13" s="2034"/>
      <c r="H13" s="2034"/>
      <c r="I13" s="2034"/>
      <c r="J13" s="2035"/>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1985</v>
      </c>
      <c r="C14" s="2038" t="s">
        <v>1986</v>
      </c>
      <c r="D14" s="1349" t="s">
        <v>1987</v>
      </c>
      <c r="E14" s="27" t="s">
        <v>1988</v>
      </c>
      <c r="F14" s="3308" t="s">
        <v>3246</v>
      </c>
      <c r="G14" s="3308" t="s">
        <v>3246</v>
      </c>
      <c r="H14" s="3308" t="s">
        <v>3246</v>
      </c>
      <c r="I14" s="3308" t="s">
        <v>3246</v>
      </c>
      <c r="J14" s="3308" t="s">
        <v>3246</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t="s">
        <v>3489</v>
      </c>
      <c r="D15" s="2041" t="s">
        <v>3489</v>
      </c>
      <c r="E15" s="2042" t="s">
        <v>3490</v>
      </c>
      <c r="F15" s="3309" t="s">
        <v>3247</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v>
      </c>
      <c r="D16" s="3314">
        <v>1</v>
      </c>
      <c r="E16" s="3314">
        <v>1.05</v>
      </c>
      <c r="F16" s="3314">
        <v>1</v>
      </c>
      <c r="G16" s="3314">
        <v>1</v>
      </c>
      <c r="H16" s="3314">
        <v>1</v>
      </c>
      <c r="I16" s="3314">
        <v>1</v>
      </c>
      <c r="J16" s="3315">
        <v>1</v>
      </c>
      <c r="K16" s="1119"/>
      <c r="L16" s="1994"/>
      <c r="M16" s="1994"/>
      <c r="N16" s="1994"/>
      <c r="O16" s="1994"/>
      <c r="P16" s="1994"/>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0.96709999999999996</v>
      </c>
      <c r="J18" s="3330"/>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4"/>
    </row>
    <row r="19" spans="1:37" s="2011" customFormat="1" ht="15" thickBot="1">
      <c r="A19" s="3331"/>
      <c r="B19" s="3332"/>
      <c r="C19" s="3333"/>
      <c r="D19" s="3333" t="s">
        <v>3252</v>
      </c>
      <c r="E19" s="3334"/>
      <c r="F19" s="3335" t="s">
        <v>3255</v>
      </c>
      <c r="G19" s="3334"/>
      <c r="H19" s="3333"/>
      <c r="I19" s="3333"/>
      <c r="J19" s="3336"/>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7"/>
      <c r="AH19" s="2138"/>
      <c r="AI19" s="2788"/>
      <c r="AJ19" s="2788"/>
      <c r="AK19" s="2054"/>
    </row>
    <row r="20" spans="1:37" s="2011" customFormat="1" ht="14.25">
      <c r="A20" s="3792" t="s">
        <v>3257</v>
      </c>
      <c r="B20" s="167" t="s">
        <v>1994</v>
      </c>
      <c r="C20" s="3321">
        <f>ROUND(IF(F21="与级别开发程度一致",0,(G21-E21)/C21),0)</f>
        <v>0</v>
      </c>
      <c r="D20" s="3337" t="s">
        <v>1998</v>
      </c>
      <c r="E20" s="3338"/>
      <c r="F20" s="3798" t="s">
        <v>1995</v>
      </c>
      <c r="G20" s="3799"/>
      <c r="H20" s="3322"/>
      <c r="I20" s="3322"/>
      <c r="J20" s="3323"/>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1" customFormat="1" ht="26.25" thickBot="1">
      <c r="A21" s="3793"/>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375</v>
      </c>
      <c r="F21" s="2153" t="s">
        <v>3491</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1" t="s">
        <v>2002</v>
      </c>
      <c r="E23" s="761">
        <v>44197</v>
      </c>
      <c r="F23" s="2051" t="s">
        <v>2003</v>
      </c>
      <c r="G23" s="762">
        <f>'数据-取费表'!B2</f>
        <v>45175</v>
      </c>
      <c r="H23" s="3339" t="s">
        <v>3259</v>
      </c>
      <c r="I23" s="3340" t="str">
        <f>IF(H23="季度增幅（自定义）",SUMIF(N25:N28,E2,O25:O28),"")</f>
        <v/>
      </c>
      <c r="J23" s="3442" t="s">
        <v>3258</v>
      </c>
      <c r="K23" s="1125"/>
      <c r="L23" s="2052" t="s">
        <v>2004</v>
      </c>
      <c r="M23" s="1327">
        <f>ROUND(SUMIF(地价!B2:G2,E2,地价!B16:G16),0)</f>
        <v>687</v>
      </c>
      <c r="N23" s="2053"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0.92969999999999997</v>
      </c>
      <c r="D24" s="2057" t="s">
        <v>2007</v>
      </c>
      <c r="E24" s="1334">
        <f>存贷款利率!E22/100</f>
        <v>4.3499999999999997E-2</v>
      </c>
      <c r="F24" s="2057" t="s">
        <v>1999</v>
      </c>
      <c r="G24" s="768">
        <f>SUMIF(M30:Q30,E2,M33:Q33)</f>
        <v>0.05</v>
      </c>
      <c r="H24" s="2057" t="s">
        <v>2008</v>
      </c>
      <c r="I24" s="769">
        <f>SUMIF('数据-取费表'!C6:C15,E2,'数据-取费表'!F6:F15)/COUNTIF('数据-取费表'!C6:C15,E2)</f>
        <v>47.01</v>
      </c>
      <c r="J24" s="770">
        <f>IF(E2="住宅",70,IF(E2="商业",40,50))</f>
        <v>70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2" t="s">
        <v>366</v>
      </c>
      <c r="B25" s="2063" t="s">
        <v>3338</v>
      </c>
      <c r="C25" s="771">
        <f>IF(B25="容积率修正",IF(G3&lt;10,D26,J26),C27)</f>
        <v>0.95130000000000003</v>
      </c>
      <c r="D25" s="2064"/>
      <c r="E25" s="2064"/>
      <c r="F25" s="2064"/>
      <c r="G25" s="2064"/>
      <c r="H25" s="2064"/>
      <c r="I25" s="2064"/>
      <c r="J25" s="2065"/>
      <c r="K25" s="1125"/>
      <c r="L25" s="2784"/>
      <c r="M25" s="2784"/>
      <c r="N25" s="2066"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1" t="s">
        <v>3260</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1" t="s">
        <v>3261</v>
      </c>
      <c r="J26" s="772" t="str">
        <f>IF(G3&gt;=10,D115,"——")</f>
        <v>——</v>
      </c>
      <c r="K26" s="1125"/>
      <c r="L26" s="2784"/>
      <c r="M26" s="2784"/>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1.0448999999999999</v>
      </c>
      <c r="D28" s="2049"/>
      <c r="E28" s="2074"/>
      <c r="F28" s="2074"/>
      <c r="G28" s="2074"/>
      <c r="H28" s="2074"/>
      <c r="I28" s="2074"/>
      <c r="J28" s="2075"/>
      <c r="K28" s="1125"/>
      <c r="L28" s="2784"/>
      <c r="M28" s="2784"/>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163</v>
      </c>
      <c r="D30" s="2080"/>
      <c r="E30" s="2043"/>
      <c r="F30" s="2081"/>
      <c r="G30" s="2043"/>
      <c r="H30" s="2043"/>
      <c r="I30" s="2043"/>
      <c r="J30" s="2082"/>
      <c r="K30" s="1119"/>
      <c r="L30" s="3347" t="s">
        <v>1936</v>
      </c>
      <c r="M30" s="3348" t="s">
        <v>1990</v>
      </c>
      <c r="N30" s="3348" t="s">
        <v>1991</v>
      </c>
      <c r="O30" s="3348" t="s">
        <v>1992</v>
      </c>
      <c r="P30" s="3348" t="s">
        <v>1993</v>
      </c>
      <c r="Q30" s="3351" t="s">
        <v>3265</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9" t="s">
        <v>1996</v>
      </c>
      <c r="M31" s="1997">
        <v>0.25</v>
      </c>
      <c r="N31" s="1997">
        <v>0.2</v>
      </c>
      <c r="O31" s="1997">
        <v>0.15</v>
      </c>
      <c r="P31" s="1997">
        <v>0.1</v>
      </c>
      <c r="Q31" s="3344">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33396</v>
      </c>
      <c r="D33" s="2095">
        <f>'数据-汇总表'!F19</f>
        <v>48.69</v>
      </c>
      <c r="E33" s="773">
        <f>ROUND(C33*D33/10000,0)</f>
        <v>163</v>
      </c>
      <c r="F33" s="3342" t="s">
        <v>3263</v>
      </c>
      <c r="G33" s="2096"/>
      <c r="H33" s="2096"/>
      <c r="I33" s="2096"/>
      <c r="J33" s="2097"/>
      <c r="K33" s="1119"/>
      <c r="L33" s="3345" t="s">
        <v>3266</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8349</v>
      </c>
      <c r="D34" s="2100"/>
      <c r="E34" s="773">
        <f>ROUND(IF(B25="楼层修正",SUM(V2:V16)*M40,C34*D34/10000),0)</f>
        <v>0</v>
      </c>
      <c r="F34" s="2101" t="s">
        <v>2032</v>
      </c>
      <c r="G34" s="2102"/>
      <c r="H34" s="2102"/>
      <c r="I34" s="2102"/>
      <c r="J34" s="2103"/>
      <c r="K34" s="1119"/>
      <c r="L34" s="3345" t="s">
        <v>3267</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3" t="s">
        <v>3264</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3" t="s">
        <v>3268</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96"/>
      <c r="B37" s="2110" t="s">
        <v>2036</v>
      </c>
      <c r="C37" s="175">
        <f>ROUND(D5*C22*C23*C24*C28*F37,0)</f>
        <v>23404</v>
      </c>
      <c r="D37" s="2095"/>
      <c r="E37" s="171">
        <f>ROUND(C37*D37/10000,0)</f>
        <v>0</v>
      </c>
      <c r="F37" s="171">
        <f>SUMIF(修正!A57:A68,G2,修正!B57:B68)</f>
        <v>0.7</v>
      </c>
      <c r="G37" s="171">
        <f>ROUND(IF(E2="工业",C37*$M$42,C37*$M$41),0)</f>
        <v>5851</v>
      </c>
      <c r="H37" s="171">
        <f>D37</f>
        <v>0</v>
      </c>
      <c r="I37" s="171">
        <f>ROUND(G37*H37/10000,0)</f>
        <v>0</v>
      </c>
      <c r="J37" s="3008"/>
      <c r="K37" s="3355" t="s">
        <v>3269</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97"/>
      <c r="B38" s="2038" t="s">
        <v>2037</v>
      </c>
      <c r="C38" s="175">
        <f>ROUND(D5*C22*C23*C24*C28*F38,0)</f>
        <v>13374</v>
      </c>
      <c r="D38" s="2095"/>
      <c r="E38" s="171">
        <f t="shared" ref="E38:E42" si="4">ROUND(C38*D38/10000,0)</f>
        <v>0</v>
      </c>
      <c r="F38" s="171">
        <f>SUMIF(修正!A57:A68,G2,修正!C57:C68)</f>
        <v>0.4</v>
      </c>
      <c r="G38" s="171">
        <f>ROUND(IF(E2="工业",C38*$M$42,C38*$M$41),0)</f>
        <v>3344</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97"/>
      <c r="B39" s="2038" t="s">
        <v>3262</v>
      </c>
      <c r="C39" s="175">
        <f>ROUND(D5*C22*C23*C24*C28*F39,0)</f>
        <v>10030</v>
      </c>
      <c r="D39" s="2095"/>
      <c r="E39" s="171">
        <f t="shared" si="4"/>
        <v>0</v>
      </c>
      <c r="F39" s="171">
        <f>SUMIF(修正!A57:A68,G2,修正!D57:D68)</f>
        <v>0.3</v>
      </c>
      <c r="G39" s="171">
        <f>ROUND(IF(E2="工业",C39*$M$42,C39*$M$41),0)</f>
        <v>2508</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10030</v>
      </c>
      <c r="D40" s="2095"/>
      <c r="E40" s="171">
        <f t="shared" si="4"/>
        <v>0</v>
      </c>
      <c r="F40" s="175">
        <f>SUMIF(修正!A57:A68,G2,修正!E57:E68)</f>
        <v>0.3</v>
      </c>
      <c r="G40" s="171">
        <f>ROUND(IF(E2="工业",C40*$M$42,C40*$M$41),0)</f>
        <v>2508</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6" t="s">
        <v>3270</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0.2</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1" hidden="1">
      <c r="A51" s="2127" t="s">
        <v>2053</v>
      </c>
      <c r="B51" s="2131" t="str">
        <f>估价对象房地状况!C18</f>
        <v>周边有31路、138路、421路、486路、985路等多条公交线路，距离地铁1、14号线大望路站约600米，交通较便捷。</v>
      </c>
      <c r="C51" s="2041"/>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3272</v>
      </c>
      <c r="B52" s="2131">
        <f>估价对象房地状况!C19</f>
        <v>0</v>
      </c>
      <c r="C52" s="2041"/>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04" hidden="1">
      <c r="A56" s="2134" t="s">
        <v>2059</v>
      </c>
      <c r="B56" s="1325" t="str">
        <f>估价对象房地状况!C21</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C56" s="2041"/>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4" t="s">
        <v>2060</v>
      </c>
      <c r="B57" s="2131" t="str">
        <f>估价对象房地状况!C22</f>
        <v>估价对象所在区域基础设施水平</v>
      </c>
      <c r="C57" s="2041"/>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5" t="s">
        <v>2061</v>
      </c>
      <c r="B58" s="2136" t="str">
        <f>估价对象房地状况!C20</f>
        <v>估价对象周边有通惠河、庆丰公园、团结湖公园等自然环境；有中央广播电视总台、首经贸大学等人文环境，综合评价自然人文环境较好。</v>
      </c>
      <c r="C58" s="2041"/>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1" hidden="1">
      <c r="A62" s="2127" t="s">
        <v>2053</v>
      </c>
      <c r="B62" s="2131" t="str">
        <f>估价对象房地状况!C18</f>
        <v>周边有31路、138路、421路、486路、985路等多条公交线路，距离地铁1、14号线大望路站约600米，交通较便捷。</v>
      </c>
      <c r="C62" s="2041"/>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3272</v>
      </c>
      <c r="B63" s="2131">
        <f>估价对象房地状况!C19</f>
        <v>0</v>
      </c>
      <c r="C63" s="2041"/>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7" t="s">
        <v>2054</v>
      </c>
      <c r="B64" s="2132" t="s">
        <v>2055</v>
      </c>
      <c r="C64" s="2041"/>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7" t="s">
        <v>2056</v>
      </c>
      <c r="B65" s="2131">
        <f>估价对象房地状况!C24</f>
        <v>0</v>
      </c>
      <c r="C65" s="2041"/>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7" t="s">
        <v>2057</v>
      </c>
      <c r="B66" s="2133" t="s">
        <v>2058</v>
      </c>
      <c r="C66" s="2041"/>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04" hidden="1">
      <c r="A67" s="2127" t="s">
        <v>2059</v>
      </c>
      <c r="B67" s="1325" t="str">
        <f>估价对象房地状况!C21</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C67" s="2041"/>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7" t="s">
        <v>2060</v>
      </c>
      <c r="B68" s="1325" t="str">
        <f>估价对象房地状况!C22</f>
        <v>估价对象所在区域基础设施水平</v>
      </c>
      <c r="C68" s="2041"/>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5" t="s">
        <v>2061</v>
      </c>
      <c r="B69" s="2137" t="str">
        <f>估价对象房地状况!C20</f>
        <v>估价对象周边有通惠河、庆丰公园、团结湖公园等自然环境；有中央广播电视总台、首经贸大学等人文环境，综合评价自然人文环境较好。</v>
      </c>
      <c r="C69" s="2041"/>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1.0448999999999999</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27" t="s">
        <v>2066</v>
      </c>
      <c r="B72" s="2130" t="str">
        <f>估价对象房地状况!C15</f>
        <v>周边有金地国际花园、蓝堡国际公寓、温特莱中心等住宅项目，居住社区成熟度较好。</v>
      </c>
      <c r="C72" s="2041" t="s">
        <v>3494</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51">
      <c r="A73" s="2127" t="s">
        <v>2053</v>
      </c>
      <c r="B73" s="2131" t="str">
        <f>估价对象房地状况!C18</f>
        <v>周边有31路、138路、421路、486路、985路等多条公交线路，距离地铁1、14号线大望路站约600米，交通较便捷。</v>
      </c>
      <c r="C73" s="2041" t="s">
        <v>3494</v>
      </c>
      <c r="D73" s="1065">
        <f t="shared" si="17"/>
        <v>1.2699999999999999E-2</v>
      </c>
      <c r="E73" s="747"/>
      <c r="F73" s="1813"/>
      <c r="G73" s="1063">
        <v>1.2699999999999999E-2</v>
      </c>
      <c r="H73" s="1066">
        <f t="shared" si="18"/>
        <v>1.2699999999999999E-2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4" customFormat="1" ht="36">
      <c r="A74" s="3365" t="s">
        <v>3272</v>
      </c>
      <c r="B74" s="2131">
        <f>估价对象房地状况!C19</f>
        <v>0</v>
      </c>
      <c r="C74" s="2041" t="s">
        <v>3494</v>
      </c>
      <c r="D74" s="1065">
        <f t="shared" si="17"/>
        <v>4.8999999999999998E-3</v>
      </c>
      <c r="E74" s="747"/>
      <c r="F74" s="1813"/>
      <c r="G74" s="1063">
        <v>4.8999999999999998E-3</v>
      </c>
      <c r="H74" s="1066">
        <f t="shared" si="18"/>
        <v>4.8999999999999998E-3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t="s">
        <v>3495</v>
      </c>
      <c r="D75" s="1065">
        <f t="shared" si="17"/>
        <v>0</v>
      </c>
      <c r="E75" s="747"/>
      <c r="F75" s="1813"/>
      <c r="G75" s="1063">
        <v>2.3999999999999998E-3</v>
      </c>
      <c r="H75" s="1066">
        <f t="shared" si="18"/>
        <v>2.3999999999999998E-3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4"/>
      <c r="Z75" s="1995"/>
      <c r="AA75" s="2050"/>
      <c r="AG75" s="1121"/>
      <c r="AK75" s="2050"/>
    </row>
    <row r="76" spans="1:37" ht="204">
      <c r="A76" s="2127" t="s">
        <v>2059</v>
      </c>
      <c r="B76" s="1325" t="str">
        <f>估价对象房地状况!C21</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C76" s="2041" t="s">
        <v>3494</v>
      </c>
      <c r="D76" s="1065">
        <f t="shared" si="17"/>
        <v>3.8999999999999998E-3</v>
      </c>
      <c r="E76" s="747"/>
      <c r="F76" s="1813"/>
      <c r="G76" s="1063">
        <v>3.8999999999999998E-3</v>
      </c>
      <c r="H76" s="1066">
        <f t="shared" si="18"/>
        <v>3.8999999999999998E-3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5"/>
      <c r="AA76" s="2050"/>
      <c r="AG76" s="1121"/>
      <c r="AK76" s="2050"/>
    </row>
    <row r="77" spans="1:37" ht="25.5">
      <c r="A77" s="2127" t="s">
        <v>2060</v>
      </c>
      <c r="B77" s="1325" t="str">
        <f>估价对象房地状况!C22</f>
        <v>估价对象所在区域基础设施水平</v>
      </c>
      <c r="C77" s="2041" t="s">
        <v>3496</v>
      </c>
      <c r="D77" s="1065">
        <f t="shared" si="17"/>
        <v>8.8000000000000005E-3</v>
      </c>
      <c r="E77" s="747"/>
      <c r="F77" s="1813"/>
      <c r="G77" s="1063">
        <v>4.4000000000000003E-3</v>
      </c>
      <c r="H77" s="1066">
        <f t="shared" si="18"/>
        <v>4.4000000000000003E-3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5"/>
      <c r="AA77" s="2050"/>
      <c r="AG77" s="1121"/>
      <c r="AK77" s="2050"/>
    </row>
    <row r="78" spans="1:37" ht="24">
      <c r="A78" s="2127" t="s">
        <v>2057</v>
      </c>
      <c r="B78" s="2133" t="s">
        <v>2058</v>
      </c>
      <c r="C78" s="2041" t="s">
        <v>3494</v>
      </c>
      <c r="D78" s="1065">
        <f t="shared" si="17"/>
        <v>2.3999999999999998E-3</v>
      </c>
      <c r="E78" s="747"/>
      <c r="F78" s="1813"/>
      <c r="G78" s="1063">
        <v>2.3999999999999998E-3</v>
      </c>
      <c r="H78" s="1066">
        <f t="shared" si="18"/>
        <v>2.3999999999999998E-3</v>
      </c>
      <c r="I78" s="3363">
        <v>0.05</v>
      </c>
      <c r="J78" s="1064">
        <f t="shared" si="19"/>
        <v>4.7999999999999996E-3</v>
      </c>
      <c r="K78" s="1064">
        <f t="shared" si="20"/>
        <v>2.3999999999999998E-3</v>
      </c>
      <c r="L78" s="1064">
        <v>0</v>
      </c>
      <c r="M78" s="1064">
        <f t="shared" si="21"/>
        <v>-2.3999999999999998E-3</v>
      </c>
      <c r="N78" s="1064">
        <f t="shared" si="21"/>
        <v>-4.7999999999999996E-3</v>
      </c>
      <c r="O78" s="1994"/>
      <c r="P78" s="1994"/>
      <c r="Z78" s="1995"/>
      <c r="AA78" s="2050"/>
      <c r="AG78" s="1121"/>
      <c r="AK78" s="2050"/>
    </row>
    <row r="79" spans="1:37" ht="63.75">
      <c r="A79" s="2127" t="s">
        <v>2061</v>
      </c>
      <c r="B79" s="2130" t="str">
        <f>估价对象房地状况!C20</f>
        <v>估价对象周边有通惠河、庆丰公园、团结湖公园等自然环境；有中央广播电视总台、首经贸大学等人文环境，综合评价自然人文环境较好。</v>
      </c>
      <c r="C79" s="2041" t="s">
        <v>3495</v>
      </c>
      <c r="D79" s="1065">
        <f t="shared" si="17"/>
        <v>0</v>
      </c>
      <c r="E79" s="747"/>
      <c r="F79" s="1813"/>
      <c r="G79" s="1063">
        <v>5.7999999999999996E-3</v>
      </c>
      <c r="H79" s="1066">
        <f t="shared" si="18"/>
        <v>5.7999999999999996E-3</v>
      </c>
      <c r="I79" s="3363">
        <v>0.12</v>
      </c>
      <c r="J79" s="1064">
        <f t="shared" si="19"/>
        <v>1.1599999999999999E-2</v>
      </c>
      <c r="K79" s="1064">
        <f t="shared" si="20"/>
        <v>5.7999999999999996E-3</v>
      </c>
      <c r="L79" s="1064">
        <v>0</v>
      </c>
      <c r="M79" s="1064">
        <f t="shared" si="21"/>
        <v>-5.7999999999999996E-3</v>
      </c>
      <c r="N79" s="1064">
        <f t="shared" si="21"/>
        <v>-1.1599999999999999E-2</v>
      </c>
      <c r="Z79" s="1995"/>
      <c r="AA79" s="2050"/>
      <c r="AG79" s="1121"/>
      <c r="AK79" s="2050"/>
    </row>
    <row r="80" spans="1:37" ht="24.75" thickBot="1">
      <c r="A80" s="2135" t="s">
        <v>2068</v>
      </c>
      <c r="B80" s="2139"/>
      <c r="C80" s="2041" t="s">
        <v>3494</v>
      </c>
      <c r="D80" s="1065">
        <f t="shared" si="17"/>
        <v>2.3999999999999998E-3</v>
      </c>
      <c r="E80" s="748"/>
      <c r="F80" s="1813"/>
      <c r="G80" s="1063">
        <v>2.3999999999999998E-3</v>
      </c>
      <c r="H80" s="1066">
        <f t="shared" si="18"/>
        <v>2.3999999999999998E-3</v>
      </c>
      <c r="I80" s="3364">
        <v>0.05</v>
      </c>
      <c r="J80" s="1064">
        <f t="shared" si="19"/>
        <v>4.7999999999999996E-3</v>
      </c>
      <c r="K80" s="1064">
        <f t="shared" si="20"/>
        <v>2.3999999999999998E-3</v>
      </c>
      <c r="L80" s="1064">
        <v>0</v>
      </c>
      <c r="M80" s="1064">
        <f t="shared" si="21"/>
        <v>-2.3999999999999998E-3</v>
      </c>
      <c r="N80" s="1064">
        <f t="shared" si="21"/>
        <v>-4.7999999999999996E-3</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5"/>
      <c r="AA84" s="2050"/>
      <c r="AG84" s="1121"/>
      <c r="AK84" s="2050"/>
    </row>
    <row r="85" spans="1:37" ht="36">
      <c r="A85" s="3365" t="s">
        <v>3273</v>
      </c>
      <c r="B85" s="2131">
        <f>估价对象房地状况!G17</f>
        <v>0</v>
      </c>
      <c r="C85" s="2041"/>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3"/>
      <c r="F91" s="1813"/>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5"/>
      <c r="C93" s="2041"/>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1">
      <c r="A94" s="3375" t="s">
        <v>3276</v>
      </c>
      <c r="B94" s="3366" t="str">
        <f>估价对象房地状况!C18</f>
        <v>周边有31路、138路、421路、486路、985路等多条公交线路，距离地铁1、14号线大望路站约600米，交通较便捷。</v>
      </c>
      <c r="C94" s="2041"/>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3272</v>
      </c>
      <c r="B95" s="3366">
        <f>估价对象房地状况!C19</f>
        <v>0</v>
      </c>
      <c r="C95" s="2041"/>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3277</v>
      </c>
      <c r="B96" s="3381" t="s">
        <v>3288</v>
      </c>
      <c r="C96" s="2041"/>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3278</v>
      </c>
      <c r="B97" s="3366">
        <f>估价对象房地状况!C24</f>
        <v>0</v>
      </c>
      <c r="C97" s="2041"/>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3279</v>
      </c>
      <c r="B98" s="3382" t="s">
        <v>3289</v>
      </c>
      <c r="C98" s="2041"/>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04">
      <c r="A99" s="3375" t="s">
        <v>3280</v>
      </c>
      <c r="B99" s="3366" t="str">
        <f>估价对象房地状况!C21</f>
        <v xml:space="preserve">银行：中国建设银行、中国农业银行、中国光大银行、中国工商银行等金融机构；
医院：北京市第一中西医结合医院、南郎家园社区卫生服务站等医疗机构；
学校：首经贸大学、中央商务区实验学校、呼家楼中心小学、陈经伦中学、青苗国际幼儿园
商业：万达广场、北京SKP、新世界百货、华联超市等商业场所。
综上，估价对象周边公共服务设施较好。
</v>
      </c>
      <c r="C99" s="2041"/>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3281</v>
      </c>
      <c r="B100" s="3366" t="str">
        <f>估价对象房地状况!C22</f>
        <v>估价对象所在区域基础设施水平</v>
      </c>
      <c r="C100" s="2041"/>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64.5" thickBot="1">
      <c r="A101" s="3376" t="s">
        <v>3282</v>
      </c>
      <c r="B101" s="3383" t="str">
        <f>估价对象房地状况!C20</f>
        <v>估价对象周边有通惠河、庆丰公园、团结湖公园等自然环境；有中央广播电视总台、首经贸大学等人文环境，综合评价自然人文环境较好。</v>
      </c>
      <c r="C101" s="2041"/>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4" t="s">
        <v>3297</v>
      </c>
      <c r="B103" s="3794"/>
      <c r="C103" s="3794"/>
      <c r="D103" s="3794"/>
      <c r="E103" s="3794"/>
      <c r="F103" s="3794"/>
      <c r="G103" s="3794"/>
      <c r="H103" s="3794"/>
      <c r="I103" s="3794"/>
      <c r="J103" s="3794"/>
      <c r="K103" s="3386"/>
      <c r="L103" s="3386"/>
      <c r="M103" s="3386"/>
      <c r="N103" s="3386"/>
    </row>
    <row r="104" spans="1:14">
      <c r="A104" s="3795" t="s">
        <v>3298</v>
      </c>
      <c r="B104" s="3795" t="s">
        <v>3299</v>
      </c>
      <c r="C104" s="3387" t="s">
        <v>3300</v>
      </c>
      <c r="D104" s="3388"/>
      <c r="E104" s="3388"/>
      <c r="F104" s="3388"/>
      <c r="G104" s="3388"/>
      <c r="H104" s="3388"/>
      <c r="I104" s="3388"/>
      <c r="J104" s="3389"/>
      <c r="K104" s="3390"/>
      <c r="L104" s="3390"/>
      <c r="M104" s="3390"/>
      <c r="N104" s="3390"/>
    </row>
    <row r="105" spans="1:14">
      <c r="A105" s="3795"/>
      <c r="B105" s="3795"/>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781"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2"/>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4" t="s">
        <v>3314</v>
      </c>
      <c r="B113" s="3784"/>
      <c r="C113" s="3784"/>
      <c r="D113" s="3784"/>
      <c r="E113" s="3784"/>
      <c r="F113" s="3784"/>
      <c r="G113" s="3784"/>
      <c r="H113" s="3784"/>
      <c r="I113" s="3784"/>
      <c r="J113" s="378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3.35</v>
      </c>
      <c r="C116" s="3396" t="s">
        <v>3316</v>
      </c>
      <c r="D116" s="3397">
        <f>SUMPRODUCT((A118:A122=F116)*(B117:M117=H116)*B118:M122)</f>
        <v>0.90629999999999999</v>
      </c>
      <c r="E116" s="1997" t="s">
        <v>3317</v>
      </c>
      <c r="F116" s="3398" t="str">
        <f>E2</f>
        <v>住宅</v>
      </c>
      <c r="G116" s="1997" t="s">
        <v>3318</v>
      </c>
      <c r="H116" s="3398" t="str">
        <f>G2</f>
        <v>二级</v>
      </c>
      <c r="I116" s="1997"/>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0.96</v>
      </c>
      <c r="C118" s="3384">
        <f>B118</f>
        <v>0.96</v>
      </c>
      <c r="D118" s="3384">
        <f>ROUND(0.949-0.014*B116,4)</f>
        <v>0.90210000000000001</v>
      </c>
      <c r="E118" s="3384">
        <f>D118</f>
        <v>0.90210000000000001</v>
      </c>
      <c r="F118" s="3384">
        <f>E118</f>
        <v>0.90210000000000001</v>
      </c>
      <c r="G118" s="3384">
        <f>F118</f>
        <v>0.90210000000000001</v>
      </c>
      <c r="H118" s="3384">
        <f>G118</f>
        <v>0.90210000000000001</v>
      </c>
      <c r="I118" s="3384">
        <f>ROUND(0.8486-0.018*B116,4)</f>
        <v>0.7883</v>
      </c>
      <c r="J118" s="3384">
        <f t="shared" ref="J118:M122" si="35">I118</f>
        <v>0.7883</v>
      </c>
      <c r="K118" s="3384">
        <f t="shared" si="35"/>
        <v>0.7883</v>
      </c>
      <c r="L118" s="3384">
        <f t="shared" si="35"/>
        <v>0.7883</v>
      </c>
      <c r="M118" s="3407">
        <f t="shared" si="35"/>
        <v>0.7883</v>
      </c>
      <c r="N118" s="3394"/>
    </row>
    <row r="119" spans="1:14">
      <c r="A119" s="3406" t="s">
        <v>3332</v>
      </c>
      <c r="B119" s="3384">
        <f>ROUND(0.993-0.0112*B116,4)</f>
        <v>0.95550000000000002</v>
      </c>
      <c r="C119" s="3384">
        <f>B119</f>
        <v>0.95550000000000002</v>
      </c>
      <c r="D119" s="3384">
        <f>ROUND(0.9415-0.0142*B116,4)</f>
        <v>0.89390000000000003</v>
      </c>
      <c r="E119" s="3384">
        <f t="shared" ref="E119:H120" si="36">D119</f>
        <v>0.89390000000000003</v>
      </c>
      <c r="F119" s="3384">
        <f t="shared" si="36"/>
        <v>0.89390000000000003</v>
      </c>
      <c r="G119" s="3384">
        <f t="shared" si="36"/>
        <v>0.89390000000000003</v>
      </c>
      <c r="H119" s="3384">
        <f t="shared" si="36"/>
        <v>0.89390000000000003</v>
      </c>
      <c r="I119" s="3384">
        <f>ROUND(0.838-0.0182*B116,4)</f>
        <v>0.77700000000000002</v>
      </c>
      <c r="J119" s="3384">
        <f t="shared" si="35"/>
        <v>0.77700000000000002</v>
      </c>
      <c r="K119" s="3384">
        <f t="shared" si="35"/>
        <v>0.77700000000000002</v>
      </c>
      <c r="L119" s="3384">
        <f t="shared" si="35"/>
        <v>0.77700000000000002</v>
      </c>
      <c r="M119" s="3407">
        <f t="shared" si="35"/>
        <v>0.77700000000000002</v>
      </c>
      <c r="N119" s="3394"/>
    </row>
    <row r="120" spans="1:14">
      <c r="A120" s="3406" t="s">
        <v>3333</v>
      </c>
      <c r="B120" s="3384">
        <f>ROUND(0.9448-0.0115*B116,4)</f>
        <v>0.90629999999999999</v>
      </c>
      <c r="C120" s="3384">
        <f>B120</f>
        <v>0.90629999999999999</v>
      </c>
      <c r="D120" s="3384">
        <f>ROUND(0.937-0.0145*B116,4)</f>
        <v>0.88839999999999997</v>
      </c>
      <c r="E120" s="3384">
        <f t="shared" si="36"/>
        <v>0.88839999999999997</v>
      </c>
      <c r="F120" s="3384">
        <f t="shared" si="36"/>
        <v>0.88839999999999997</v>
      </c>
      <c r="G120" s="3384">
        <f t="shared" si="36"/>
        <v>0.88839999999999997</v>
      </c>
      <c r="H120" s="3384">
        <f t="shared" si="36"/>
        <v>0.88839999999999997</v>
      </c>
      <c r="I120" s="3384">
        <f>ROUND(0.7965-0.0185*B116,4)</f>
        <v>0.73450000000000004</v>
      </c>
      <c r="J120" s="3384">
        <f t="shared" si="35"/>
        <v>0.73450000000000004</v>
      </c>
      <c r="K120" s="3384">
        <f t="shared" si="35"/>
        <v>0.73450000000000004</v>
      </c>
      <c r="L120" s="3384">
        <f t="shared" si="35"/>
        <v>0.73450000000000004</v>
      </c>
      <c r="M120" s="3407">
        <f t="shared" si="35"/>
        <v>0.73450000000000004</v>
      </c>
      <c r="N120" s="3394"/>
    </row>
    <row r="121" spans="1:14" ht="13.5" thickBot="1">
      <c r="A121" s="3408" t="s">
        <v>3334</v>
      </c>
      <c r="B121" s="3409">
        <f>ROUND(0.7836-0.012*B116,4)</f>
        <v>0.74339999999999995</v>
      </c>
      <c r="C121" s="3409">
        <f>B121</f>
        <v>0.74339999999999995</v>
      </c>
      <c r="D121" s="3409">
        <f>ROUND(0.753-0.015*B116,4)</f>
        <v>0.70279999999999998</v>
      </c>
      <c r="E121" s="3409">
        <f>D121</f>
        <v>0.70279999999999998</v>
      </c>
      <c r="F121" s="3409">
        <f>E121</f>
        <v>0.70279999999999998</v>
      </c>
      <c r="G121" s="3409">
        <f>ROUND(0.6612-0.018*B116,4)</f>
        <v>0.60089999999999999</v>
      </c>
      <c r="H121" s="3409">
        <f>G121</f>
        <v>0.60089999999999999</v>
      </c>
      <c r="I121" s="3409">
        <f>ROUND(0.5905-0.019*B116,4)</f>
        <v>0.52690000000000003</v>
      </c>
      <c r="J121" s="3409">
        <f t="shared" si="35"/>
        <v>0.52690000000000003</v>
      </c>
      <c r="K121" s="3409">
        <f t="shared" si="35"/>
        <v>0.52690000000000003</v>
      </c>
      <c r="L121" s="3409">
        <f t="shared" si="35"/>
        <v>0.52690000000000003</v>
      </c>
      <c r="M121" s="3410">
        <f t="shared" si="35"/>
        <v>0.52690000000000003</v>
      </c>
      <c r="N121" s="3394"/>
    </row>
    <row r="122" spans="1:14">
      <c r="A122" s="3411" t="s">
        <v>2613</v>
      </c>
      <c r="B122" s="3384">
        <f>ROUND(0.9404-0.0106*B116,4)</f>
        <v>0.90490000000000004</v>
      </c>
      <c r="C122" s="3384">
        <f>B122</f>
        <v>0.90490000000000004</v>
      </c>
      <c r="D122" s="3384">
        <f>ROUND(0.8955-0.0135*B116,4)</f>
        <v>0.85029999999999994</v>
      </c>
      <c r="E122" s="3384">
        <f t="shared" ref="E122:H122" si="37">D122</f>
        <v>0.85029999999999994</v>
      </c>
      <c r="F122" s="3384">
        <f t="shared" si="37"/>
        <v>0.85029999999999994</v>
      </c>
      <c r="G122" s="3384">
        <f t="shared" si="37"/>
        <v>0.85029999999999994</v>
      </c>
      <c r="H122" s="3384">
        <f t="shared" si="37"/>
        <v>0.85029999999999994</v>
      </c>
      <c r="I122" s="3384">
        <f>ROUND(0.7632-0.0166*B116,4)</f>
        <v>0.70760000000000001</v>
      </c>
      <c r="J122" s="3384">
        <f t="shared" si="35"/>
        <v>0.70760000000000001</v>
      </c>
      <c r="K122" s="3384">
        <f t="shared" si="35"/>
        <v>0.70760000000000001</v>
      </c>
      <c r="L122" s="3384">
        <f t="shared" si="35"/>
        <v>0.70760000000000001</v>
      </c>
      <c r="M122" s="3407">
        <f t="shared" si="35"/>
        <v>0.70760000000000001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807" t="s">
        <v>2608</v>
      </c>
      <c r="B20" s="3800" t="s">
        <v>2629</v>
      </c>
      <c r="C20" s="3099" t="s">
        <v>2440</v>
      </c>
      <c r="D20" s="3100"/>
      <c r="E20" s="3101">
        <v>1</v>
      </c>
      <c r="F20" s="3102" t="s">
        <v>2441</v>
      </c>
      <c r="G20" s="3102"/>
    </row>
    <row r="21" spans="1:13" ht="19.5" customHeight="1">
      <c r="A21" s="3808"/>
      <c r="B21" s="3801"/>
      <c r="C21" s="3103" t="s">
        <v>2442</v>
      </c>
      <c r="D21" s="3104"/>
      <c r="E21" s="3105">
        <v>1</v>
      </c>
      <c r="F21" s="3102" t="s">
        <v>2443</v>
      </c>
      <c r="G21" s="3102"/>
    </row>
    <row r="22" spans="1:13" ht="19.5" customHeight="1">
      <c r="A22" s="3808"/>
      <c r="B22" s="3801"/>
      <c r="C22" s="3103" t="s">
        <v>2444</v>
      </c>
      <c r="D22" s="3104"/>
      <c r="E22" s="3105">
        <v>0.9</v>
      </c>
      <c r="F22" s="3102" t="s">
        <v>2445</v>
      </c>
      <c r="G22" s="3102"/>
    </row>
    <row r="23" spans="1:13" ht="19.5" customHeight="1">
      <c r="A23" s="3808"/>
      <c r="B23" s="3801"/>
      <c r="C23" s="3103" t="s">
        <v>2446</v>
      </c>
      <c r="D23" s="3104"/>
      <c r="E23" s="3105">
        <v>0.9</v>
      </c>
      <c r="F23" s="3102" t="s">
        <v>2447</v>
      </c>
      <c r="G23" s="3102"/>
    </row>
    <row r="24" spans="1:13" ht="19.5" customHeight="1">
      <c r="A24" s="3808"/>
      <c r="B24" s="3801"/>
      <c r="C24" s="3103" t="s">
        <v>2448</v>
      </c>
      <c r="D24" s="3104"/>
      <c r="E24" s="3105">
        <v>0.8</v>
      </c>
      <c r="F24" s="3102" t="s">
        <v>2449</v>
      </c>
      <c r="G24" s="3102"/>
    </row>
    <row r="25" spans="1:13" ht="19.5" customHeight="1" thickBot="1">
      <c r="A25" s="3809"/>
      <c r="B25" s="3802"/>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803" t="s">
        <v>2632</v>
      </c>
      <c r="B27" s="3800" t="s">
        <v>2613</v>
      </c>
      <c r="C27" s="3099" t="s">
        <v>2453</v>
      </c>
      <c r="D27" s="3100"/>
      <c r="E27" s="3101">
        <v>1</v>
      </c>
      <c r="F27" s="3102" t="s">
        <v>2454</v>
      </c>
      <c r="G27" s="3102"/>
    </row>
    <row r="28" spans="1:13" ht="19.5" customHeight="1">
      <c r="A28" s="3804"/>
      <c r="B28" s="3801"/>
      <c r="C28" s="3103" t="s">
        <v>2455</v>
      </c>
      <c r="D28" s="3104"/>
      <c r="E28" s="3105">
        <v>1</v>
      </c>
      <c r="F28" s="3102" t="s">
        <v>2456</v>
      </c>
      <c r="G28" s="3102"/>
    </row>
    <row r="29" spans="1:13" ht="19.5" customHeight="1">
      <c r="A29" s="3804"/>
      <c r="B29" s="3801"/>
      <c r="C29" s="3103" t="s">
        <v>2457</v>
      </c>
      <c r="D29" s="3104"/>
      <c r="E29" s="3105">
        <v>0.8</v>
      </c>
      <c r="F29" s="3102" t="s">
        <v>2458</v>
      </c>
      <c r="G29" s="3102"/>
    </row>
    <row r="30" spans="1:13" ht="19.5" customHeight="1">
      <c r="A30" s="3804"/>
      <c r="B30" s="3801"/>
      <c r="C30" s="3103" t="s">
        <v>2459</v>
      </c>
      <c r="D30" s="3104"/>
      <c r="E30" s="3105">
        <v>0.8</v>
      </c>
      <c r="F30" s="3102" t="s">
        <v>2460</v>
      </c>
      <c r="G30" s="3102"/>
    </row>
    <row r="31" spans="1:13" ht="19.5" customHeight="1">
      <c r="A31" s="3804"/>
      <c r="B31" s="3801"/>
      <c r="C31" s="3103" t="s">
        <v>2461</v>
      </c>
      <c r="D31" s="3104"/>
      <c r="E31" s="3105">
        <v>0.8</v>
      </c>
      <c r="F31" s="3102" t="s">
        <v>2462</v>
      </c>
      <c r="G31" s="3102"/>
    </row>
    <row r="32" spans="1:13" ht="19.5" customHeight="1">
      <c r="A32" s="3804"/>
      <c r="B32" s="3801"/>
      <c r="C32" s="3103" t="s">
        <v>2463</v>
      </c>
      <c r="D32" s="3104"/>
      <c r="E32" s="3105">
        <v>0.7</v>
      </c>
      <c r="F32" s="3102" t="s">
        <v>2464</v>
      </c>
      <c r="G32" s="3102"/>
    </row>
    <row r="33" spans="1:7" ht="19.5" customHeight="1">
      <c r="A33" s="3804"/>
      <c r="B33" s="3801"/>
      <c r="C33" s="3103" t="s">
        <v>2465</v>
      </c>
      <c r="D33" s="3104"/>
      <c r="E33" s="3105">
        <v>0.8</v>
      </c>
      <c r="F33" s="3102" t="s">
        <v>2466</v>
      </c>
      <c r="G33" s="3102"/>
    </row>
    <row r="34" spans="1:7" ht="19.5" customHeight="1">
      <c r="A34" s="3804"/>
      <c r="B34" s="3801"/>
      <c r="C34" s="3103" t="s">
        <v>2467</v>
      </c>
      <c r="D34" s="3104"/>
      <c r="E34" s="3105">
        <v>0.6</v>
      </c>
      <c r="F34" s="3102" t="s">
        <v>2468</v>
      </c>
      <c r="G34" s="3102"/>
    </row>
    <row r="35" spans="1:7" ht="19.5" customHeight="1">
      <c r="A35" s="3804"/>
      <c r="B35" s="3801"/>
      <c r="C35" s="3103" t="s">
        <v>2469</v>
      </c>
      <c r="D35" s="3104"/>
      <c r="E35" s="3105">
        <v>0.2</v>
      </c>
      <c r="F35" s="3102" t="s">
        <v>2470</v>
      </c>
      <c r="G35" s="3102"/>
    </row>
    <row r="36" spans="1:7" ht="19.5" customHeight="1">
      <c r="A36" s="3804"/>
      <c r="B36" s="3801"/>
      <c r="C36" s="3103" t="s">
        <v>2471</v>
      </c>
      <c r="D36" s="3104"/>
      <c r="E36" s="3105">
        <v>0.2</v>
      </c>
      <c r="F36" s="3102" t="s">
        <v>2472</v>
      </c>
      <c r="G36" s="3102"/>
    </row>
    <row r="37" spans="1:7" ht="19.5" customHeight="1">
      <c r="A37" s="3804"/>
      <c r="B37" s="3806" t="s">
        <v>2633</v>
      </c>
      <c r="C37" s="3103" t="s">
        <v>2473</v>
      </c>
      <c r="D37" s="3104"/>
      <c r="E37" s="3105">
        <v>0.6</v>
      </c>
      <c r="F37" s="3102" t="s">
        <v>2474</v>
      </c>
      <c r="G37" s="3102"/>
    </row>
    <row r="38" spans="1:7" ht="19.5" customHeight="1">
      <c r="A38" s="3804"/>
      <c r="B38" s="3801"/>
      <c r="C38" s="3103" t="s">
        <v>2475</v>
      </c>
      <c r="D38" s="3104"/>
      <c r="E38" s="3105">
        <v>0.6</v>
      </c>
      <c r="F38" s="3102" t="s">
        <v>2476</v>
      </c>
      <c r="G38" s="3102"/>
    </row>
    <row r="39" spans="1:7" ht="19.5" customHeight="1" thickBot="1">
      <c r="A39" s="3805"/>
      <c r="B39" s="3802"/>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807" t="s">
        <v>2611</v>
      </c>
      <c r="B41" s="3800" t="s">
        <v>2635</v>
      </c>
      <c r="C41" s="3099" t="s">
        <v>2480</v>
      </c>
      <c r="D41" s="3100"/>
      <c r="E41" s="3101">
        <v>1</v>
      </c>
      <c r="F41" s="3102" t="s">
        <v>2481</v>
      </c>
      <c r="G41" s="3102"/>
    </row>
    <row r="42" spans="1:7" ht="19.5" customHeight="1">
      <c r="A42" s="3808"/>
      <c r="B42" s="3801"/>
      <c r="C42" s="3103" t="s">
        <v>2482</v>
      </c>
      <c r="D42" s="3104"/>
      <c r="E42" s="3105">
        <v>1</v>
      </c>
      <c r="F42" s="3102" t="s">
        <v>2483</v>
      </c>
      <c r="G42" s="3102"/>
    </row>
    <row r="43" spans="1:7" ht="19.5" customHeight="1">
      <c r="A43" s="3808"/>
      <c r="B43" s="3810"/>
      <c r="C43" s="3103" t="s">
        <v>2484</v>
      </c>
      <c r="D43" s="3104"/>
      <c r="E43" s="3105">
        <v>1.5</v>
      </c>
      <c r="F43" s="3102" t="s">
        <v>2485</v>
      </c>
      <c r="G43" s="3102"/>
    </row>
    <row r="44" spans="1:7" ht="19.5" customHeight="1">
      <c r="A44" s="3808"/>
      <c r="B44" s="3114" t="s">
        <v>2636</v>
      </c>
      <c r="C44" s="3103" t="s">
        <v>2637</v>
      </c>
      <c r="D44" s="3104"/>
      <c r="E44" s="3105">
        <v>2</v>
      </c>
      <c r="F44" s="3102" t="s">
        <v>2486</v>
      </c>
      <c r="G44" s="3102"/>
    </row>
    <row r="45" spans="1:7" ht="19.5" customHeight="1">
      <c r="A45" s="3808"/>
      <c r="B45" s="3806" t="s">
        <v>2638</v>
      </c>
      <c r="C45" s="3103" t="s">
        <v>2487</v>
      </c>
      <c r="D45" s="3104"/>
      <c r="E45" s="3105">
        <v>1</v>
      </c>
      <c r="F45" s="3102" t="s">
        <v>2488</v>
      </c>
      <c r="G45" s="3102"/>
    </row>
    <row r="46" spans="1:7" ht="19.5" customHeight="1">
      <c r="A46" s="3808"/>
      <c r="B46" s="3801"/>
      <c r="C46" s="3103" t="s">
        <v>2489</v>
      </c>
      <c r="D46" s="3104"/>
      <c r="E46" s="3105">
        <v>1</v>
      </c>
      <c r="F46" s="3102" t="s">
        <v>2490</v>
      </c>
      <c r="G46" s="3102"/>
    </row>
    <row r="47" spans="1:7" ht="19.5" customHeight="1">
      <c r="A47" s="3808"/>
      <c r="B47" s="3801"/>
      <c r="C47" s="3103" t="s">
        <v>2491</v>
      </c>
      <c r="D47" s="3104"/>
      <c r="E47" s="3105">
        <v>1</v>
      </c>
      <c r="F47" s="3102" t="s">
        <v>2492</v>
      </c>
      <c r="G47" s="3102"/>
    </row>
    <row r="48" spans="1:7" ht="19.5" customHeight="1">
      <c r="A48" s="3808"/>
      <c r="B48" s="3801"/>
      <c r="C48" s="3103" t="s">
        <v>2493</v>
      </c>
      <c r="D48" s="3104"/>
      <c r="E48" s="3105">
        <v>1</v>
      </c>
      <c r="F48" s="3102" t="s">
        <v>2494</v>
      </c>
      <c r="G48" s="3102"/>
    </row>
    <row r="49" spans="1:7" ht="19.5" customHeight="1">
      <c r="A49" s="3808"/>
      <c r="B49" s="3801"/>
      <c r="C49" s="3103" t="s">
        <v>2495</v>
      </c>
      <c r="D49" s="3104"/>
      <c r="E49" s="3105">
        <v>1</v>
      </c>
      <c r="F49" s="3102" t="s">
        <v>2496</v>
      </c>
      <c r="G49" s="3102"/>
    </row>
    <row r="50" spans="1:7" ht="19.5" customHeight="1">
      <c r="A50" s="3808"/>
      <c r="B50" s="3801"/>
      <c r="C50" s="3103" t="s">
        <v>2497</v>
      </c>
      <c r="D50" s="3104"/>
      <c r="E50" s="3105">
        <v>1</v>
      </c>
      <c r="F50" s="3102" t="s">
        <v>2498</v>
      </c>
      <c r="G50" s="3102"/>
    </row>
    <row r="51" spans="1:7" ht="19.5" customHeight="1" thickBot="1">
      <c r="A51" s="3809"/>
      <c r="B51" s="3802"/>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806" t="s">
        <v>2652</v>
      </c>
      <c r="C73" s="3088" t="s">
        <v>2653</v>
      </c>
      <c r="D73" s="3088" t="s">
        <v>2654</v>
      </c>
      <c r="E73" s="3114">
        <v>0.2</v>
      </c>
      <c r="F73" s="3114">
        <v>25</v>
      </c>
    </row>
    <row r="74" spans="1:7" ht="24">
      <c r="A74" s="3114">
        <v>2</v>
      </c>
      <c r="B74" s="3801"/>
      <c r="C74" s="3088" t="s">
        <v>2655</v>
      </c>
      <c r="D74" s="3088" t="s">
        <v>2656</v>
      </c>
      <c r="E74" s="3114">
        <v>0.2</v>
      </c>
      <c r="F74" s="3114">
        <v>25</v>
      </c>
    </row>
    <row r="75" spans="1:7" ht="24">
      <c r="A75" s="3114">
        <v>3</v>
      </c>
      <c r="B75" s="3801"/>
      <c r="C75" s="3088" t="s">
        <v>2657</v>
      </c>
      <c r="D75" s="3088" t="s">
        <v>2658</v>
      </c>
      <c r="E75" s="3114">
        <v>0.2</v>
      </c>
      <c r="F75" s="3114">
        <v>25</v>
      </c>
    </row>
    <row r="76" spans="1:7" ht="13.5">
      <c r="A76" s="3114">
        <v>4</v>
      </c>
      <c r="B76" s="3801"/>
      <c r="C76" s="3088" t="s">
        <v>2659</v>
      </c>
      <c r="D76" s="3088" t="s">
        <v>2660</v>
      </c>
      <c r="E76" s="3114">
        <v>0.15</v>
      </c>
      <c r="F76" s="3114">
        <v>20</v>
      </c>
    </row>
    <row r="77" spans="1:7" ht="24">
      <c r="A77" s="3114">
        <v>5</v>
      </c>
      <c r="B77" s="3801"/>
      <c r="C77" s="3088" t="s">
        <v>2661</v>
      </c>
      <c r="D77" s="3088" t="s">
        <v>2662</v>
      </c>
      <c r="E77" s="3114">
        <v>0.15</v>
      </c>
      <c r="F77" s="3114">
        <v>20</v>
      </c>
    </row>
    <row r="78" spans="1:7" ht="24">
      <c r="A78" s="3114">
        <v>6</v>
      </c>
      <c r="B78" s="3801"/>
      <c r="C78" s="3088" t="s">
        <v>2663</v>
      </c>
      <c r="D78" s="3088" t="s">
        <v>2664</v>
      </c>
      <c r="E78" s="3114">
        <v>0.15</v>
      </c>
      <c r="F78" s="3114">
        <v>20</v>
      </c>
    </row>
    <row r="79" spans="1:7" ht="24">
      <c r="A79" s="3114">
        <v>7</v>
      </c>
      <c r="B79" s="3801"/>
      <c r="C79" s="3088" t="s">
        <v>2665</v>
      </c>
      <c r="D79" s="3088" t="s">
        <v>2666</v>
      </c>
      <c r="E79" s="3114">
        <v>0.15</v>
      </c>
      <c r="F79" s="3114">
        <v>20</v>
      </c>
    </row>
    <row r="80" spans="1:7" ht="24">
      <c r="A80" s="3114">
        <v>8</v>
      </c>
      <c r="B80" s="3801"/>
      <c r="C80" s="3088" t="s">
        <v>2667</v>
      </c>
      <c r="D80" s="3088" t="s">
        <v>2668</v>
      </c>
      <c r="E80" s="3114">
        <v>0.1</v>
      </c>
      <c r="F80" s="3114">
        <v>15</v>
      </c>
    </row>
    <row r="81" spans="1:6" ht="24">
      <c r="A81" s="3114">
        <v>9</v>
      </c>
      <c r="B81" s="3801"/>
      <c r="C81" s="3088" t="s">
        <v>2669</v>
      </c>
      <c r="D81" s="3088" t="s">
        <v>2670</v>
      </c>
      <c r="E81" s="3114">
        <v>0.1</v>
      </c>
      <c r="F81" s="3114">
        <v>15</v>
      </c>
    </row>
    <row r="82" spans="1:6" ht="24">
      <c r="A82" s="3114">
        <v>10</v>
      </c>
      <c r="B82" s="3801"/>
      <c r="C82" s="3088" t="s">
        <v>2671</v>
      </c>
      <c r="D82" s="3088" t="s">
        <v>2672</v>
      </c>
      <c r="E82" s="3114">
        <v>0.1</v>
      </c>
      <c r="F82" s="3114">
        <v>15</v>
      </c>
    </row>
    <row r="83" spans="1:6" ht="24">
      <c r="A83" s="3114">
        <v>11</v>
      </c>
      <c r="B83" s="3801"/>
      <c r="C83" s="3088" t="s">
        <v>2673</v>
      </c>
      <c r="D83" s="3088" t="s">
        <v>2674</v>
      </c>
      <c r="E83" s="3114">
        <v>0.1</v>
      </c>
      <c r="F83" s="3114">
        <v>15</v>
      </c>
    </row>
    <row r="84" spans="1:6" ht="24">
      <c r="A84" s="3114">
        <v>12</v>
      </c>
      <c r="B84" s="3801"/>
      <c r="C84" s="3088" t="s">
        <v>2675</v>
      </c>
      <c r="D84" s="3088" t="s">
        <v>2676</v>
      </c>
      <c r="E84" s="3114">
        <v>0.1</v>
      </c>
      <c r="F84" s="3114">
        <v>15</v>
      </c>
    </row>
    <row r="85" spans="1:6" ht="13.5">
      <c r="A85" s="3114">
        <v>13</v>
      </c>
      <c r="B85" s="3801"/>
      <c r="C85" s="3088" t="s">
        <v>2677</v>
      </c>
      <c r="D85" s="3088" t="s">
        <v>2678</v>
      </c>
      <c r="E85" s="3114">
        <v>0.1</v>
      </c>
      <c r="F85" s="3114">
        <v>15</v>
      </c>
    </row>
    <row r="86" spans="1:6" ht="13.5">
      <c r="A86" s="3114">
        <v>14</v>
      </c>
      <c r="B86" s="3801"/>
      <c r="C86" s="3088" t="s">
        <v>2679</v>
      </c>
      <c r="D86" s="3088" t="s">
        <v>2680</v>
      </c>
      <c r="E86" s="3114">
        <v>0.1</v>
      </c>
      <c r="F86" s="3114">
        <v>15</v>
      </c>
    </row>
    <row r="87" spans="1:6" ht="13.5">
      <c r="A87" s="3114">
        <v>15</v>
      </c>
      <c r="B87" s="3801"/>
      <c r="C87" s="3088" t="s">
        <v>2681</v>
      </c>
      <c r="D87" s="3088" t="s">
        <v>2682</v>
      </c>
      <c r="E87" s="3114">
        <v>0.1</v>
      </c>
      <c r="F87" s="3114">
        <v>15</v>
      </c>
    </row>
    <row r="88" spans="1:6" ht="24">
      <c r="A88" s="3114">
        <v>16</v>
      </c>
      <c r="B88" s="3801"/>
      <c r="C88" s="3088" t="s">
        <v>2683</v>
      </c>
      <c r="D88" s="3088" t="s">
        <v>2684</v>
      </c>
      <c r="E88" s="3114">
        <v>0.1</v>
      </c>
      <c r="F88" s="3114">
        <v>15</v>
      </c>
    </row>
    <row r="89" spans="1:6" ht="24">
      <c r="A89" s="3114">
        <v>17</v>
      </c>
      <c r="B89" s="3810"/>
      <c r="C89" s="3088" t="s">
        <v>2685</v>
      </c>
      <c r="D89" s="3088" t="s">
        <v>2686</v>
      </c>
      <c r="E89" s="3114">
        <v>0.1</v>
      </c>
      <c r="F89" s="3114">
        <v>15</v>
      </c>
    </row>
    <row r="90" spans="1:6" ht="13.5">
      <c r="A90" s="3114">
        <v>18</v>
      </c>
      <c r="B90" s="3806" t="s">
        <v>2687</v>
      </c>
      <c r="C90" s="3088" t="s">
        <v>2688</v>
      </c>
      <c r="D90" s="3088" t="s">
        <v>2689</v>
      </c>
      <c r="E90" s="3114">
        <v>0.2</v>
      </c>
      <c r="F90" s="3114">
        <v>25</v>
      </c>
    </row>
    <row r="91" spans="1:6" ht="24">
      <c r="A91" s="3114">
        <v>19</v>
      </c>
      <c r="B91" s="3801"/>
      <c r="C91" s="3088" t="s">
        <v>2690</v>
      </c>
      <c r="D91" s="3088" t="s">
        <v>2691</v>
      </c>
      <c r="E91" s="3114">
        <v>0.2</v>
      </c>
      <c r="F91" s="3114">
        <v>25</v>
      </c>
    </row>
    <row r="92" spans="1:6" ht="13.5">
      <c r="A92" s="3114">
        <v>20</v>
      </c>
      <c r="B92" s="3801"/>
      <c r="C92" s="3088" t="s">
        <v>2692</v>
      </c>
      <c r="D92" s="3088" t="s">
        <v>2693</v>
      </c>
      <c r="E92" s="3114">
        <v>0.15</v>
      </c>
      <c r="F92" s="3114">
        <v>20</v>
      </c>
    </row>
    <row r="93" spans="1:6" ht="13.5">
      <c r="A93" s="3114">
        <v>21</v>
      </c>
      <c r="B93" s="3801"/>
      <c r="C93" s="3088" t="s">
        <v>2694</v>
      </c>
      <c r="D93" s="3088" t="s">
        <v>2695</v>
      </c>
      <c r="E93" s="3114">
        <v>0.15</v>
      </c>
      <c r="F93" s="3114">
        <v>20</v>
      </c>
    </row>
    <row r="94" spans="1:6" ht="13.5">
      <c r="A94" s="3114">
        <v>22</v>
      </c>
      <c r="B94" s="3801"/>
      <c r="C94" s="3088" t="s">
        <v>2696</v>
      </c>
      <c r="D94" s="3088" t="s">
        <v>2697</v>
      </c>
      <c r="E94" s="3114">
        <v>0.15</v>
      </c>
      <c r="F94" s="3114">
        <v>20</v>
      </c>
    </row>
    <row r="95" spans="1:6" ht="36">
      <c r="A95" s="3114">
        <v>23</v>
      </c>
      <c r="B95" s="3801"/>
      <c r="C95" s="3088" t="s">
        <v>2698</v>
      </c>
      <c r="D95" s="3088" t="s">
        <v>2699</v>
      </c>
      <c r="E95" s="3114">
        <v>0.15</v>
      </c>
      <c r="F95" s="3114">
        <v>20</v>
      </c>
    </row>
    <row r="96" spans="1:6" ht="13.5">
      <c r="A96" s="3114">
        <v>24</v>
      </c>
      <c r="B96" s="3801"/>
      <c r="C96" s="3088" t="s">
        <v>2700</v>
      </c>
      <c r="D96" s="3088" t="s">
        <v>2701</v>
      </c>
      <c r="E96" s="3114">
        <v>0.1</v>
      </c>
      <c r="F96" s="3114">
        <v>15</v>
      </c>
    </row>
    <row r="97" spans="1:6" ht="13.5">
      <c r="A97" s="3114">
        <v>25</v>
      </c>
      <c r="B97" s="3801"/>
      <c r="C97" s="3088" t="s">
        <v>2702</v>
      </c>
      <c r="D97" s="3088" t="s">
        <v>2703</v>
      </c>
      <c r="E97" s="3114">
        <v>0.1</v>
      </c>
      <c r="F97" s="3114">
        <v>15</v>
      </c>
    </row>
    <row r="98" spans="1:6" ht="24">
      <c r="A98" s="3114">
        <v>26</v>
      </c>
      <c r="B98" s="3801"/>
      <c r="C98" s="3088" t="s">
        <v>2704</v>
      </c>
      <c r="D98" s="3088" t="s">
        <v>2705</v>
      </c>
      <c r="E98" s="3114">
        <v>0.1</v>
      </c>
      <c r="F98" s="3114">
        <v>15</v>
      </c>
    </row>
    <row r="99" spans="1:6" ht="24">
      <c r="A99" s="3114">
        <v>27</v>
      </c>
      <c r="B99" s="3801"/>
      <c r="C99" s="3088" t="s">
        <v>2706</v>
      </c>
      <c r="D99" s="3088" t="s">
        <v>2707</v>
      </c>
      <c r="E99" s="3114">
        <v>0.1</v>
      </c>
      <c r="F99" s="3114">
        <v>15</v>
      </c>
    </row>
    <row r="100" spans="1:6" ht="13.5">
      <c r="A100" s="3114">
        <v>28</v>
      </c>
      <c r="B100" s="3801"/>
      <c r="C100" s="3088" t="s">
        <v>2708</v>
      </c>
      <c r="D100" s="3088" t="s">
        <v>2709</v>
      </c>
      <c r="E100" s="3114">
        <v>0.1</v>
      </c>
      <c r="F100" s="3114">
        <v>15</v>
      </c>
    </row>
    <row r="101" spans="1:6" ht="13.5">
      <c r="A101" s="3114">
        <v>29</v>
      </c>
      <c r="B101" s="3801"/>
      <c r="C101" s="3088" t="s">
        <v>2710</v>
      </c>
      <c r="D101" s="3088" t="s">
        <v>2711</v>
      </c>
      <c r="E101" s="3114">
        <v>0.1</v>
      </c>
      <c r="F101" s="3114">
        <v>15</v>
      </c>
    </row>
    <row r="102" spans="1:6" ht="13.5">
      <c r="A102" s="3114">
        <v>30</v>
      </c>
      <c r="B102" s="3801"/>
      <c r="C102" s="3088" t="s">
        <v>2712</v>
      </c>
      <c r="D102" s="3088" t="s">
        <v>2713</v>
      </c>
      <c r="E102" s="3114">
        <v>0.1</v>
      </c>
      <c r="F102" s="3114">
        <v>15</v>
      </c>
    </row>
    <row r="103" spans="1:6" ht="24">
      <c r="A103" s="3114">
        <v>31</v>
      </c>
      <c r="B103" s="3801"/>
      <c r="C103" s="3088" t="s">
        <v>2714</v>
      </c>
      <c r="D103" s="3088" t="s">
        <v>2715</v>
      </c>
      <c r="E103" s="3114">
        <v>0.1</v>
      </c>
      <c r="F103" s="3114">
        <v>15</v>
      </c>
    </row>
    <row r="104" spans="1:6" ht="24">
      <c r="A104" s="3114">
        <v>32</v>
      </c>
      <c r="B104" s="3801"/>
      <c r="C104" s="3088" t="s">
        <v>2716</v>
      </c>
      <c r="D104" s="3088" t="s">
        <v>2717</v>
      </c>
      <c r="E104" s="3114">
        <v>0.1</v>
      </c>
      <c r="F104" s="3114">
        <v>15</v>
      </c>
    </row>
    <row r="105" spans="1:6" ht="24">
      <c r="A105" s="3114">
        <v>33</v>
      </c>
      <c r="B105" s="3801"/>
      <c r="C105" s="3088" t="s">
        <v>2718</v>
      </c>
      <c r="D105" s="3088" t="s">
        <v>2719</v>
      </c>
      <c r="E105" s="3114">
        <v>0.1</v>
      </c>
      <c r="F105" s="3114">
        <v>15</v>
      </c>
    </row>
    <row r="106" spans="1:6" ht="24">
      <c r="A106" s="3114">
        <v>34</v>
      </c>
      <c r="B106" s="3810"/>
      <c r="C106" s="3088" t="s">
        <v>2720</v>
      </c>
      <c r="D106" s="3088" t="s">
        <v>2721</v>
      </c>
      <c r="E106" s="3114">
        <v>0.1</v>
      </c>
      <c r="F106" s="3114">
        <v>15</v>
      </c>
    </row>
    <row r="107" spans="1:6" ht="24">
      <c r="A107" s="3114">
        <v>35</v>
      </c>
      <c r="B107" s="3806" t="s">
        <v>2722</v>
      </c>
      <c r="C107" s="3114" t="s">
        <v>2723</v>
      </c>
      <c r="D107" s="3088" t="s">
        <v>2724</v>
      </c>
      <c r="E107" s="3114">
        <v>0.15</v>
      </c>
      <c r="F107" s="3114">
        <v>20</v>
      </c>
    </row>
    <row r="108" spans="1:6" ht="13.5">
      <c r="A108" s="3114">
        <v>36</v>
      </c>
      <c r="B108" s="3801"/>
      <c r="C108" s="3114" t="s">
        <v>2725</v>
      </c>
      <c r="D108" s="3088" t="s">
        <v>2726</v>
      </c>
      <c r="E108" s="3114">
        <v>0.15</v>
      </c>
      <c r="F108" s="3114">
        <v>20</v>
      </c>
    </row>
    <row r="109" spans="1:6" ht="13.5">
      <c r="A109" s="3114">
        <v>37</v>
      </c>
      <c r="B109" s="3801"/>
      <c r="C109" s="3114" t="s">
        <v>2727</v>
      </c>
      <c r="D109" s="3088" t="s">
        <v>2728</v>
      </c>
      <c r="E109" s="3114">
        <v>0.15</v>
      </c>
      <c r="F109" s="3114">
        <v>20</v>
      </c>
    </row>
    <row r="110" spans="1:6" ht="13.5">
      <c r="A110" s="3114">
        <v>38</v>
      </c>
      <c r="B110" s="3801"/>
      <c r="C110" s="3114" t="s">
        <v>2729</v>
      </c>
      <c r="D110" s="3088" t="s">
        <v>2730</v>
      </c>
      <c r="E110" s="3114">
        <v>0.1</v>
      </c>
      <c r="F110" s="3114">
        <v>15</v>
      </c>
    </row>
    <row r="111" spans="1:6" ht="24">
      <c r="A111" s="3114">
        <v>39</v>
      </c>
      <c r="B111" s="3801"/>
      <c r="C111" s="3114" t="s">
        <v>2731</v>
      </c>
      <c r="D111" s="3088" t="s">
        <v>2732</v>
      </c>
      <c r="E111" s="3114">
        <v>0.1</v>
      </c>
      <c r="F111" s="3114">
        <v>15</v>
      </c>
    </row>
    <row r="112" spans="1:6" ht="24">
      <c r="A112" s="3114">
        <v>40</v>
      </c>
      <c r="B112" s="3810"/>
      <c r="C112" s="3114" t="s">
        <v>2733</v>
      </c>
      <c r="D112" s="3088" t="s">
        <v>2734</v>
      </c>
      <c r="E112" s="3114">
        <v>0.1</v>
      </c>
      <c r="F112" s="3114">
        <v>15</v>
      </c>
    </row>
    <row r="113" spans="1:6" ht="13.5">
      <c r="A113" s="3114">
        <v>41</v>
      </c>
      <c r="B113" s="3811" t="s">
        <v>2735</v>
      </c>
      <c r="C113" s="3114" t="s">
        <v>2736</v>
      </c>
      <c r="D113" s="3088" t="s">
        <v>2737</v>
      </c>
      <c r="E113" s="3114">
        <v>0.1</v>
      </c>
      <c r="F113" s="3114">
        <v>15</v>
      </c>
    </row>
    <row r="114" spans="1:6" ht="13.5">
      <c r="A114" s="3114">
        <v>42</v>
      </c>
      <c r="B114" s="3811"/>
      <c r="C114" s="3114" t="s">
        <v>2738</v>
      </c>
      <c r="D114" s="3088" t="s">
        <v>2739</v>
      </c>
      <c r="E114" s="3114">
        <v>0.1</v>
      </c>
      <c r="F114" s="3114">
        <v>15</v>
      </c>
    </row>
    <row r="115" spans="1:6" ht="24">
      <c r="A115" s="3114">
        <v>43</v>
      </c>
      <c r="B115" s="3811"/>
      <c r="C115" s="3114" t="s">
        <v>2740</v>
      </c>
      <c r="D115" s="3088" t="s">
        <v>2741</v>
      </c>
      <c r="E115" s="3114">
        <v>0.1</v>
      </c>
      <c r="F115" s="3114">
        <v>15</v>
      </c>
    </row>
    <row r="116" spans="1:6" ht="13.5">
      <c r="A116" s="3114">
        <v>44</v>
      </c>
      <c r="B116" s="3806" t="s">
        <v>2742</v>
      </c>
      <c r="C116" s="3114" t="s">
        <v>2743</v>
      </c>
      <c r="D116" s="3088" t="s">
        <v>2744</v>
      </c>
      <c r="E116" s="3114">
        <v>0.1</v>
      </c>
      <c r="F116" s="3114">
        <v>15</v>
      </c>
    </row>
    <row r="117" spans="1:6" ht="24">
      <c r="A117" s="3114">
        <v>45</v>
      </c>
      <c r="B117" s="3810"/>
      <c r="C117" s="3088" t="s">
        <v>2745</v>
      </c>
      <c r="D117" s="3088" t="s">
        <v>2746</v>
      </c>
      <c r="E117" s="3114">
        <v>0.1</v>
      </c>
      <c r="F117" s="3114">
        <v>15</v>
      </c>
    </row>
    <row r="118" spans="1:6" ht="24">
      <c r="A118" s="3114">
        <v>46</v>
      </c>
      <c r="B118" s="3806" t="s">
        <v>2747</v>
      </c>
      <c r="C118" s="3114" t="s">
        <v>2748</v>
      </c>
      <c r="D118" s="3088" t="s">
        <v>2749</v>
      </c>
      <c r="E118" s="3114">
        <v>0.1</v>
      </c>
      <c r="F118" s="3114">
        <v>15</v>
      </c>
    </row>
    <row r="119" spans="1:6" ht="24">
      <c r="A119" s="3114">
        <v>47</v>
      </c>
      <c r="B119" s="3810"/>
      <c r="C119" s="3114" t="s">
        <v>2750</v>
      </c>
      <c r="D119" s="3088" t="s">
        <v>2751</v>
      </c>
      <c r="E119" s="3114">
        <v>0.1</v>
      </c>
      <c r="F119" s="3114">
        <v>15</v>
      </c>
    </row>
    <row r="120" spans="1:6" ht="13.5">
      <c r="A120" s="3114">
        <v>48</v>
      </c>
      <c r="B120" s="3806" t="s">
        <v>2752</v>
      </c>
      <c r="C120" s="3114" t="s">
        <v>2753</v>
      </c>
      <c r="D120" s="3088" t="s">
        <v>2754</v>
      </c>
      <c r="E120" s="3114">
        <v>0.1</v>
      </c>
      <c r="F120" s="3114">
        <v>15</v>
      </c>
    </row>
    <row r="121" spans="1:6" ht="13.5">
      <c r="A121" s="3114">
        <v>49</v>
      </c>
      <c r="B121" s="3810"/>
      <c r="C121" s="3114" t="s">
        <v>2755</v>
      </c>
      <c r="D121" s="3088" t="s">
        <v>2756</v>
      </c>
      <c r="E121" s="3114">
        <v>0.1</v>
      </c>
      <c r="F121" s="3114">
        <v>15</v>
      </c>
    </row>
    <row r="122" spans="1:6" ht="24">
      <c r="A122" s="3114">
        <v>50</v>
      </c>
      <c r="B122" s="3811" t="s">
        <v>2757</v>
      </c>
      <c r="C122" s="3114" t="s">
        <v>2758</v>
      </c>
      <c r="D122" s="3088" t="s">
        <v>2759</v>
      </c>
      <c r="E122" s="3114">
        <v>0.1</v>
      </c>
      <c r="F122" s="3114">
        <v>15</v>
      </c>
    </row>
    <row r="123" spans="1:6" ht="24">
      <c r="A123" s="3114">
        <v>51</v>
      </c>
      <c r="B123" s="3811"/>
      <c r="C123" s="3114" t="s">
        <v>2760</v>
      </c>
      <c r="D123" s="3088" t="s">
        <v>2761</v>
      </c>
      <c r="E123" s="3114">
        <v>0.1</v>
      </c>
      <c r="F123" s="3114">
        <v>15</v>
      </c>
    </row>
    <row r="124" spans="1:6" ht="24">
      <c r="A124" s="3114">
        <v>52</v>
      </c>
      <c r="B124" s="3811" t="s">
        <v>2762</v>
      </c>
      <c r="C124" s="3114" t="s">
        <v>2763</v>
      </c>
      <c r="D124" s="3088" t="s">
        <v>2764</v>
      </c>
      <c r="E124" s="3114">
        <v>0.1</v>
      </c>
      <c r="F124" s="3114">
        <v>15</v>
      </c>
    </row>
    <row r="125" spans="1:6" ht="24">
      <c r="A125" s="3114">
        <v>53</v>
      </c>
      <c r="B125" s="3811"/>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811" t="s">
        <v>2770</v>
      </c>
      <c r="C127" s="3114" t="s">
        <v>2771</v>
      </c>
      <c r="D127" s="3088" t="s">
        <v>2772</v>
      </c>
      <c r="E127" s="3114">
        <v>0.1</v>
      </c>
      <c r="F127" s="3114">
        <v>15</v>
      </c>
    </row>
    <row r="128" spans="1:6" ht="13.5">
      <c r="A128" s="3114">
        <v>56</v>
      </c>
      <c r="B128" s="3811"/>
      <c r="C128" s="3114" t="s">
        <v>2773</v>
      </c>
      <c r="D128" s="3088" t="s">
        <v>2774</v>
      </c>
      <c r="E128" s="3114">
        <v>0.1</v>
      </c>
      <c r="F128" s="3114">
        <v>15</v>
      </c>
    </row>
    <row r="129" spans="1:6" ht="24">
      <c r="A129" s="3114">
        <v>57</v>
      </c>
      <c r="B129" s="3811"/>
      <c r="C129" s="3114" t="s">
        <v>2775</v>
      </c>
      <c r="D129" s="3088" t="s">
        <v>2776</v>
      </c>
      <c r="E129" s="3114">
        <v>0.1</v>
      </c>
      <c r="F129" s="3114">
        <v>15</v>
      </c>
    </row>
    <row r="130" spans="1:6" ht="24">
      <c r="A130" s="3114">
        <v>58</v>
      </c>
      <c r="B130" s="3811" t="s">
        <v>2777</v>
      </c>
      <c r="C130" s="3114" t="s">
        <v>2778</v>
      </c>
      <c r="D130" s="3088" t="s">
        <v>2779</v>
      </c>
      <c r="E130" s="3114">
        <v>0.1</v>
      </c>
      <c r="F130" s="3114">
        <v>15</v>
      </c>
    </row>
    <row r="131" spans="1:6" ht="13.5">
      <c r="A131" s="3114">
        <v>59</v>
      </c>
      <c r="B131" s="3811"/>
      <c r="C131" s="3114" t="s">
        <v>2780</v>
      </c>
      <c r="D131" s="3088" t="s">
        <v>2781</v>
      </c>
      <c r="E131" s="3114">
        <v>0.1</v>
      </c>
      <c r="F131" s="3114">
        <v>15</v>
      </c>
    </row>
    <row r="132" spans="1:6" ht="13.5">
      <c r="A132" s="3114">
        <v>60</v>
      </c>
      <c r="B132" s="3806" t="s">
        <v>2782</v>
      </c>
      <c r="C132" s="3114" t="s">
        <v>2783</v>
      </c>
      <c r="D132" s="3088" t="s">
        <v>2784</v>
      </c>
      <c r="E132" s="3114">
        <v>0.1</v>
      </c>
      <c r="F132" s="3114">
        <v>15</v>
      </c>
    </row>
    <row r="133" spans="1:6" ht="13.5">
      <c r="A133" s="3114">
        <v>61</v>
      </c>
      <c r="B133" s="3810"/>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811" t="s">
        <v>2790</v>
      </c>
      <c r="C135" s="3114" t="s">
        <v>2791</v>
      </c>
      <c r="D135" s="3088" t="s">
        <v>2792</v>
      </c>
      <c r="E135" s="3114">
        <v>0.1</v>
      </c>
      <c r="F135" s="3114">
        <v>15</v>
      </c>
    </row>
    <row r="136" spans="1:6" ht="13.5">
      <c r="A136" s="3114">
        <v>64</v>
      </c>
      <c r="B136" s="3811"/>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2799</v>
      </c>
      <c r="B1" s="3123"/>
      <c r="C1" s="3123"/>
      <c r="D1" s="3123"/>
      <c r="E1" s="3123"/>
      <c r="F1" s="3123"/>
      <c r="G1" s="3123"/>
      <c r="H1" s="3123"/>
      <c r="I1" s="3123"/>
      <c r="J1" s="3123"/>
      <c r="K1" s="3123"/>
      <c r="L1" s="3123"/>
      <c r="M1" s="3123"/>
      <c r="N1" s="749"/>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50">
        <f>SUMPRODUCT((A95:A184=ROUNDDOWN(基准地价修正!G3,1))*(B94:M94=基准地价修正!G2)*(B95:M184))</f>
        <v>1.0082</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50">
        <f>SUMPRODUCT((A371:A460=ROUNDDOWN(基准地价修正!G3,1))*(B370:M370=基准地价修正!G2)*(B371:M460))</f>
        <v>0.95489999999999997</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2"/>
      <c r="B4" s="3494" t="s">
        <v>917</v>
      </c>
      <c r="C4" s="3494"/>
      <c r="D4" s="3494"/>
      <c r="E4" s="1492"/>
    </row>
    <row r="5" spans="1:5" ht="16.5" thickTop="1">
      <c r="A5" s="1490"/>
      <c r="B5" s="3492" t="s">
        <v>909</v>
      </c>
      <c r="C5" s="1493" t="s">
        <v>910</v>
      </c>
      <c r="D5" s="850" t="e">
        <f ca="1">结果表!H101</f>
        <v>#REF!</v>
      </c>
      <c r="E5" s="1490"/>
    </row>
    <row r="6" spans="1:5" ht="15.75">
      <c r="A6" s="1490"/>
      <c r="B6" s="3492"/>
      <c r="C6" s="1493" t="s">
        <v>911</v>
      </c>
      <c r="D6" s="850" t="e">
        <f ca="1">NUMBERSTRING(INT(D5*10000),2)&amp;"元整"</f>
        <v>#REF!</v>
      </c>
      <c r="E6" s="1490"/>
    </row>
    <row r="7" spans="1:5" ht="15.75">
      <c r="A7" s="1490"/>
      <c r="B7" s="3497"/>
      <c r="C7" s="1494" t="s">
        <v>912</v>
      </c>
      <c r="D7" s="851" t="e">
        <f ca="1">结果表!H102</f>
        <v>#REF!</v>
      </c>
      <c r="E7" s="1490"/>
    </row>
    <row r="8" spans="1:5" ht="15.75">
      <c r="A8" s="1490"/>
      <c r="B8" s="3498" t="str">
        <f>结果表!E103</f>
        <v>2.估价师知悉的法定优先受偿款</v>
      </c>
      <c r="C8" s="1495" t="s">
        <v>913</v>
      </c>
      <c r="D8" s="851">
        <f>结果表!H103</f>
        <v>0</v>
      </c>
      <c r="E8" s="1490"/>
    </row>
    <row r="9" spans="1:5" ht="15.75">
      <c r="A9" s="1490"/>
      <c r="B9" s="350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1" t="str">
        <f>结果表!E107</f>
        <v>3.房地产抵押价值</v>
      </c>
      <c r="C13" s="1498" t="s">
        <v>910</v>
      </c>
      <c r="D13" s="853" t="e">
        <f ca="1">结果表!H107</f>
        <v>#REF!</v>
      </c>
      <c r="E13" s="1490"/>
    </row>
    <row r="14" spans="1:5" ht="15.75">
      <c r="A14" s="1490"/>
      <c r="B14" s="3492"/>
      <c r="C14" s="1493" t="s">
        <v>911</v>
      </c>
      <c r="D14" s="850" t="e">
        <f ca="1">NUMBERSTRING(INT(D13*10000),2)&amp;"元整"</f>
        <v>#REF!</v>
      </c>
      <c r="E14" s="1490"/>
    </row>
    <row r="15" spans="1:5" ht="15">
      <c r="A15" s="1490"/>
      <c r="B15" s="3497"/>
      <c r="C15" s="1494" t="s">
        <v>921</v>
      </c>
      <c r="D15" s="859" t="e">
        <f ca="1">结果表!H108</f>
        <v>#REF!</v>
      </c>
      <c r="E15" s="1490"/>
    </row>
    <row r="16" spans="1:5" ht="15">
      <c r="A16" s="1490"/>
      <c r="B16" s="3498" t="str">
        <f>结果表!E109</f>
        <v>——</v>
      </c>
      <c r="C16" s="1498" t="s">
        <v>922</v>
      </c>
      <c r="D16" s="1499" t="str">
        <f>结果表!H109</f>
        <v>——</v>
      </c>
      <c r="E16" s="1490"/>
    </row>
    <row r="17" spans="1:5" ht="15.75">
      <c r="A17" s="1490"/>
      <c r="B17" s="3499"/>
      <c r="C17" s="1493" t="s">
        <v>923</v>
      </c>
      <c r="D17" s="850" t="e">
        <f>NUMBERSTRING(INT(D16*10000),2)&amp;"元整"</f>
        <v>#VALUE!</v>
      </c>
      <c r="E17" s="1490"/>
    </row>
    <row r="18" spans="1:5" ht="15">
      <c r="A18" s="1490"/>
      <c r="B18" s="3500"/>
      <c r="C18" s="1494" t="s">
        <v>912</v>
      </c>
      <c r="D18" s="859" t="str">
        <f>结果表!H110</f>
        <v>——</v>
      </c>
      <c r="E18" s="1490"/>
    </row>
    <row r="19" spans="1:5" ht="15.75">
      <c r="A19" s="1490"/>
      <c r="B19" s="3491" t="str">
        <f>结果表!E111</f>
        <v>——</v>
      </c>
      <c r="C19" s="1498" t="s">
        <v>910</v>
      </c>
      <c r="D19" s="851" t="str">
        <f>结果表!H111</f>
        <v>——</v>
      </c>
      <c r="E19" s="1490"/>
    </row>
    <row r="20" spans="1:5" ht="15.75">
      <c r="A20" s="1490"/>
      <c r="B20" s="3492"/>
      <c r="C20" s="1493" t="s">
        <v>923</v>
      </c>
      <c r="D20" s="850" t="e">
        <f>NUMBERSTRING(INT(D19*10000),2)&amp;"元整"</f>
        <v>#VALUE!</v>
      </c>
      <c r="E20" s="1490"/>
    </row>
    <row r="21" spans="1:5" ht="15.75" thickBot="1">
      <c r="A21" s="1490"/>
      <c r="B21" s="349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30763</v>
      </c>
      <c r="C2" s="2" t="s">
        <v>106</v>
      </c>
      <c r="D2" s="199"/>
      <c r="E2" s="199"/>
      <c r="F2" s="199"/>
      <c r="G2" s="199"/>
    </row>
    <row r="3" spans="1:7" s="200" customFormat="1" ht="18" customHeight="1" thickBot="1">
      <c r="A3" s="203" t="s">
        <v>58</v>
      </c>
      <c r="B3" s="204">
        <f ca="1">ROUND(B2*10000/'数据-汇总表'!E3,0)</f>
        <v>6318135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48.69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48.69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48.69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1E-3</v>
      </c>
      <c r="D44" s="238"/>
      <c r="E44" s="238"/>
      <c r="F44" s="239"/>
      <c r="G44" s="3675"/>
    </row>
    <row r="45" spans="1:7" s="214" customFormat="1" ht="13.5" customHeight="1">
      <c r="A45" s="777" t="s">
        <v>341</v>
      </c>
      <c r="B45" s="244" t="s">
        <v>85</v>
      </c>
      <c r="C45" s="245">
        <f>C46</f>
        <v>5</v>
      </c>
      <c r="D45" s="235">
        <f>C47</f>
        <v>5.0000000000000001E-3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21</v>
      </c>
      <c r="D51" s="232"/>
      <c r="E51" s="232"/>
      <c r="F51" s="264"/>
      <c r="G51" s="234" t="s">
        <v>37</v>
      </c>
    </row>
    <row r="52" spans="1:7" s="208" customFormat="1" ht="16.5" thickBot="1">
      <c r="A52" s="265" t="s">
        <v>38</v>
      </c>
      <c r="B52" s="266"/>
      <c r="C52" s="267">
        <f ca="1">C31+C51</f>
        <v>30763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4" t="s">
        <v>2842</v>
      </c>
      <c r="B1" s="3814"/>
      <c r="C1" s="3814"/>
      <c r="D1" s="3814"/>
      <c r="E1" s="3814"/>
      <c r="F1" s="3814"/>
      <c r="G1" s="3815"/>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12"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13"/>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6" t="s">
        <v>3184</v>
      </c>
      <c r="B1" s="3816"/>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817" t="s">
        <v>3235</v>
      </c>
      <c r="B1" s="3817"/>
      <c r="C1" s="3817"/>
      <c r="D1" s="3817"/>
      <c r="E1" s="3817"/>
      <c r="F1" s="3818"/>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45175</v>
      </c>
      <c r="B1" s="3206" t="s">
        <v>2841</v>
      </c>
      <c r="C1" s="3207"/>
      <c r="D1" s="3207"/>
      <c r="E1" s="3207"/>
      <c r="F1" s="3207"/>
      <c r="G1" s="3207"/>
      <c r="H1" s="3207"/>
      <c r="I1" s="3207"/>
      <c r="J1" s="3161"/>
      <c r="K1" s="3207" t="s">
        <v>454</v>
      </c>
      <c r="L1" s="3207"/>
      <c r="M1" s="3207"/>
      <c r="N1" s="3207"/>
      <c r="O1" s="3207"/>
      <c r="P1" s="3207"/>
      <c r="Q1" s="3161"/>
      <c r="R1" s="3819" t="s">
        <v>456</v>
      </c>
      <c r="S1" s="3820"/>
      <c r="T1" s="3820"/>
      <c r="U1" s="3820"/>
      <c r="V1" s="3820"/>
      <c r="W1" s="3820"/>
      <c r="X1" s="3161"/>
      <c r="Y1" s="3819" t="s">
        <v>457</v>
      </c>
      <c r="Z1" s="3820"/>
      <c r="AA1" s="3820"/>
      <c r="AB1" s="3820"/>
      <c r="AC1" s="3820"/>
      <c r="AD1" s="3820"/>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3371</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3374</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3375</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3367</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3358</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3369</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819" t="s">
        <v>2829</v>
      </c>
      <c r="S21" s="3820"/>
      <c r="T21" s="3820"/>
      <c r="U21" s="3820"/>
      <c r="V21" s="3820"/>
      <c r="W21" s="3820"/>
      <c r="X21" s="3161"/>
      <c r="Y21" s="3819" t="s">
        <v>2830</v>
      </c>
      <c r="Z21" s="3820"/>
      <c r="AA21" s="3820"/>
      <c r="AB21" s="3820"/>
      <c r="AC21" s="3820"/>
      <c r="AD21" s="3820"/>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3371</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3374</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3375</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3368</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3358</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3366</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3363</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3364</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3365</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2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2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2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2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2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2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2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2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2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2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2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2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2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2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2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2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2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2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2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2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2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2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2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2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2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2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2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2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2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2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2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2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2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2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2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2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2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2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2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2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2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2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2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2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2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2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2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2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2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2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2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2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2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2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2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2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2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2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2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2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2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2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45175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2311</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54" t="s">
        <v>925</v>
      </c>
      <c r="E3" s="854" t="s">
        <v>931</v>
      </c>
      <c r="F3" s="854" t="s">
        <v>925</v>
      </c>
      <c r="G3" s="854" t="s">
        <v>926</v>
      </c>
      <c r="H3" s="854" t="s">
        <v>925</v>
      </c>
      <c r="I3" s="854" t="s">
        <v>926</v>
      </c>
    </row>
    <row r="4" spans="1:9" ht="15">
      <c r="A4" s="1504" t="str">
        <f>项目基本情况!S2</f>
        <v>北京市房地产</v>
      </c>
      <c r="B4" s="854">
        <f>项目基本情况!C17</f>
        <v>48.69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3" t="s">
        <v>927</v>
      </c>
      <c r="B5" s="3503"/>
      <c r="C5" s="3503"/>
      <c r="D5" s="3503" t="e">
        <f ca="1">结果表!D119</f>
        <v>#REF!</v>
      </c>
      <c r="E5" s="3503"/>
      <c r="F5" s="3503" t="e">
        <f ca="1">结果表!F119</f>
        <v>#REF!</v>
      </c>
      <c r="G5" s="3503"/>
      <c r="H5" s="3503" t="e">
        <f ca="1">结果表!H119</f>
        <v>#REF!</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t="e">
        <f ca="1">结果表!D122</f>
        <v>#REF!</v>
      </c>
      <c r="E8" s="3504"/>
      <c r="F8" s="3504"/>
      <c r="G8" s="3504"/>
      <c r="H8" s="3504"/>
      <c r="I8" s="3504"/>
    </row>
    <row r="9" spans="1:9" ht="15">
      <c r="A9" s="3503" t="s">
        <v>927</v>
      </c>
      <c r="B9" s="3503"/>
      <c r="C9" s="3503"/>
      <c r="D9" s="3503" t="e">
        <f ca="1">结果表!D123</f>
        <v>#REF!</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
      </c>
      <c r="B12" s="3504"/>
      <c r="C12" s="3504"/>
      <c r="D12" s="3504" t="str">
        <f>结果表!D126</f>
        <v>——</v>
      </c>
      <c r="E12" s="3504"/>
      <c r="F12" s="3504"/>
      <c r="G12" s="3504"/>
      <c r="H12" s="3504"/>
      <c r="I12" s="3504"/>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0" t="s">
        <v>949</v>
      </c>
      <c r="B1" s="3510"/>
      <c r="C1" s="3510"/>
      <c r="D1" s="3510"/>
    </row>
    <row r="2" spans="1:4" ht="18">
      <c r="A2" s="3511" t="s">
        <v>933</v>
      </c>
      <c r="B2" s="3511"/>
      <c r="C2" s="3511"/>
      <c r="D2" s="351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1" t="s">
        <v>939</v>
      </c>
      <c r="B6" s="3511"/>
      <c r="C6" s="3511"/>
      <c r="D6" s="351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4"/>
      <c r="C12" s="3514"/>
      <c r="D12" s="3514"/>
    </row>
    <row r="13" spans="1:4" ht="30" customHeight="1">
      <c r="A13" s="3513" t="str">
        <f>IF(项目基本情况!B8="抵押","3.抵押双方在办理抵押登记手续时，应使用本公司出具的正式《房地产评估报告》，特提醒报告使用者注意。","——")</f>
        <v>——</v>
      </c>
      <c r="B13" s="3514"/>
      <c r="C13" s="3514"/>
      <c r="D13" s="3514"/>
    </row>
    <row r="14" spans="1:4" ht="15.75" customHeight="1">
      <c r="A14" s="3513" t="str">
        <f>IF(项目基本情况!B8="抵押","4.本次评估估价师所知悉的法定优先受偿款情况说明如下：","——")</f>
        <v>——</v>
      </c>
      <c r="B14" s="3514"/>
      <c r="C14" s="3514"/>
      <c r="D14" s="3514"/>
    </row>
    <row r="15" spans="1:4" ht="42" customHeight="1">
      <c r="A15" s="3513" t="str">
        <f>IF(项目基本情况!B8="抵押","（1）"&amp;CONCATENATE(项目基本情况!L20,项目基本情况!L21,项目基本情况!L22),"——")</f>
        <v>——</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spans="1:4" ht="18.75" customHeight="1">
      <c r="A22" s="3518" t="s">
        <v>945</v>
      </c>
      <c r="B22" s="3518"/>
      <c r="C22" s="3518"/>
      <c r="D22" s="351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4" t="s">
        <v>956</v>
      </c>
      <c r="B15" s="3519" t="s">
        <v>109</v>
      </c>
      <c r="C15" s="3520"/>
    </row>
    <row r="16" spans="1:7" ht="13.5">
      <c r="A16" s="3525"/>
      <c r="B16" s="3519" t="s">
        <v>42</v>
      </c>
      <c r="C16" s="3520"/>
    </row>
    <row r="17" spans="1:3" ht="13.5">
      <c r="A17" s="3525"/>
      <c r="B17" s="3522" t="s">
        <v>957</v>
      </c>
      <c r="C17" s="1531" t="s">
        <v>956</v>
      </c>
    </row>
    <row r="18" spans="1:3" ht="13.5">
      <c r="A18" s="3525"/>
      <c r="B18" s="3522"/>
      <c r="C18" s="1531" t="s">
        <v>958</v>
      </c>
    </row>
    <row r="19" spans="1:3" ht="13.5">
      <c r="A19" s="3525"/>
      <c r="B19" s="3522"/>
      <c r="C19" s="1531" t="s">
        <v>959</v>
      </c>
    </row>
    <row r="20" spans="1:3" ht="13.5">
      <c r="A20" s="3526"/>
      <c r="B20" s="3521" t="s">
        <v>960</v>
      </c>
      <c r="C20" s="3520"/>
    </row>
    <row r="21" spans="1:3" ht="13.5">
      <c r="A21" s="1532" t="s">
        <v>961</v>
      </c>
      <c r="B21" s="1533"/>
      <c r="C21" s="1534"/>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1" t="s">
        <v>967</v>
      </c>
    </row>
    <row r="26" spans="1:3" ht="13.5">
      <c r="A26" s="3523"/>
      <c r="B26" s="3522"/>
      <c r="C26" s="1531" t="s">
        <v>968</v>
      </c>
    </row>
    <row r="27" spans="1:3" ht="13.5">
      <c r="A27" s="3523"/>
      <c r="B27" s="3522"/>
      <c r="C27" s="1531" t="s">
        <v>969</v>
      </c>
    </row>
    <row r="28" spans="1:3" ht="13.5">
      <c r="A28" s="3523"/>
      <c r="B28" s="3522"/>
      <c r="C28" s="1531" t="s">
        <v>970</v>
      </c>
    </row>
    <row r="29" spans="1:3" ht="13.5">
      <c r="A29" s="3523"/>
      <c r="B29" s="3522"/>
      <c r="C29" s="1531" t="s">
        <v>971</v>
      </c>
    </row>
    <row r="30" spans="1:3" ht="13.5">
      <c r="A30" s="3523"/>
      <c r="B30" s="3522"/>
      <c r="C30" s="1531" t="s">
        <v>972</v>
      </c>
    </row>
    <row r="31" spans="1:3" ht="13.5">
      <c r="A31" s="3523"/>
      <c r="B31" s="3522"/>
      <c r="C31" s="1531" t="s">
        <v>973</v>
      </c>
    </row>
    <row r="32" spans="1:3" ht="13.5">
      <c r="A32" s="3523"/>
      <c r="B32" s="3522"/>
      <c r="C32" s="1531" t="s">
        <v>974</v>
      </c>
    </row>
    <row r="33" spans="1:3" ht="13.5">
      <c r="A33" s="3523"/>
      <c r="B33" s="352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45187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2438</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27" t="s">
        <v>2160</v>
      </c>
      <c r="B17" s="3527"/>
      <c r="C17" s="3527"/>
      <c r="D17" s="3527"/>
      <c r="E17" s="3527"/>
      <c r="F17" s="3527"/>
      <c r="G17" s="3527"/>
      <c r="H17" s="3527"/>
    </row>
    <row r="18" spans="1:8" ht="24" customHeight="1">
      <c r="A18" s="3528" t="s">
        <v>2161</v>
      </c>
      <c r="B18" s="3528"/>
      <c r="C18" s="3528"/>
      <c r="D18" s="2340"/>
      <c r="E18" s="3529" t="s">
        <v>2162</v>
      </c>
      <c r="F18" s="3528"/>
      <c r="G18" s="3528"/>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2023-09-18T08:56:33Z</dcterms:modified>
</cp:coreProperties>
</file>