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一期" sheetId="43"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土地案例" sheetId="77" r:id="rId26"/>
    <sheet name="土地比较法-工业" sheetId="4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6"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'基准地价修正-一期'!$Q$19:$AD$19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5" i="74" l="1"/>
  <c r="D15" i="74"/>
  <c r="C15" i="74"/>
  <c r="B15" i="74"/>
  <c r="AT24" i="3"/>
  <c r="D4" i="73"/>
  <c r="E20" i="43"/>
  <c r="P17" i="43"/>
  <c r="G20" i="43"/>
  <c r="C20" i="43"/>
  <c r="G24" i="3"/>
  <c r="G5" i="3"/>
  <c r="AT5" i="3"/>
  <c r="B3" i="3"/>
  <c r="AY6" i="3"/>
  <c r="D3" i="6"/>
  <c r="D19" i="6"/>
  <c r="D20" i="6"/>
  <c r="D21" i="6"/>
  <c r="D22" i="6"/>
  <c r="D23" i="6"/>
  <c r="D24" i="6"/>
  <c r="D25" i="6"/>
  <c r="D26" i="6"/>
  <c r="D27" i="6"/>
  <c r="D28" i="6"/>
  <c r="D29" i="6"/>
  <c r="D30" i="6"/>
  <c r="D31" i="6"/>
  <c r="I6" i="6"/>
  <c r="G3" i="43"/>
  <c r="E22" i="43"/>
  <c r="G22" i="43"/>
  <c r="F22" i="43"/>
  <c r="H22" i="43"/>
  <c r="D22" i="43"/>
  <c r="C21" i="43"/>
  <c r="C5" i="43"/>
  <c r="D84" i="43"/>
  <c r="D86" i="43"/>
  <c r="E81" i="43"/>
  <c r="B79" i="43"/>
  <c r="C24" i="43"/>
  <c r="C29" i="43"/>
  <c r="E29" i="43"/>
  <c r="D5" i="43"/>
  <c r="C33" i="43"/>
  <c r="E33" i="43"/>
  <c r="C34" i="43"/>
  <c r="E34" i="43"/>
  <c r="C35" i="43"/>
  <c r="E35" i="43"/>
  <c r="C36" i="43"/>
  <c r="E36" i="43"/>
  <c r="C37" i="43"/>
  <c r="E37" i="43"/>
  <c r="C38" i="43"/>
  <c r="E38" i="43"/>
  <c r="C39" i="43"/>
  <c r="E39" i="43"/>
  <c r="C26" i="43"/>
  <c r="B2" i="43"/>
  <c r="C6" i="68"/>
  <c r="C7" i="68"/>
  <c r="D9" i="68"/>
  <c r="C9" i="68"/>
  <c r="D10" i="68"/>
  <c r="C10" i="68"/>
  <c r="C8" i="68"/>
  <c r="C5" i="68"/>
  <c r="C20" i="68"/>
  <c r="D5" i="73"/>
  <c r="G1" i="73"/>
  <c r="B40" i="1"/>
  <c r="F22" i="68"/>
  <c r="C23" i="68"/>
  <c r="C24" i="68"/>
  <c r="C25" i="68"/>
  <c r="C22" i="68"/>
  <c r="F27" i="68"/>
  <c r="C28" i="68"/>
  <c r="C27" i="68"/>
  <c r="C26" i="68"/>
  <c r="D22" i="68"/>
  <c r="C29" i="68"/>
  <c r="D27" i="68"/>
  <c r="C31" i="68"/>
  <c r="F34" i="68"/>
  <c r="AQ6" i="1"/>
  <c r="C34" i="68"/>
  <c r="C35" i="68"/>
  <c r="C36" i="68"/>
  <c r="D19" i="68"/>
  <c r="D37" i="68"/>
  <c r="C37" i="68"/>
  <c r="C38" i="68"/>
  <c r="C33" i="68"/>
  <c r="C39" i="68"/>
  <c r="C42" i="68"/>
  <c r="C43" i="68"/>
  <c r="C41" i="68"/>
  <c r="C46" i="68"/>
  <c r="C45" i="68"/>
  <c r="C44" i="68"/>
  <c r="D41" i="68"/>
  <c r="C47" i="68"/>
  <c r="D45" i="68"/>
  <c r="C49" i="68"/>
  <c r="F50" i="68"/>
  <c r="C51" i="68"/>
  <c r="C52" i="68"/>
  <c r="B2" i="68"/>
  <c r="C19" i="9"/>
  <c r="F6" i="15"/>
  <c r="F8" i="15"/>
  <c r="F7" i="15"/>
  <c r="F9" i="15"/>
  <c r="C6" i="15"/>
  <c r="F4" i="73"/>
  <c r="I1" i="73"/>
  <c r="B39" i="1"/>
  <c r="F11" i="15"/>
  <c r="C10" i="15"/>
  <c r="C5" i="15"/>
  <c r="C32" i="15"/>
  <c r="C33" i="15"/>
  <c r="H19" i="6"/>
  <c r="R19" i="6"/>
  <c r="R6" i="1"/>
  <c r="F35" i="15"/>
  <c r="C34" i="15"/>
  <c r="C31" i="15"/>
  <c r="T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C4" i="12"/>
  <c r="AR6" i="1"/>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B3" i="68"/>
  <c r="C57" i="68"/>
  <c r="D35" i="9"/>
  <c r="C35" i="9"/>
  <c r="C34" i="9"/>
  <c r="D118" i="9"/>
  <c r="M19" i="9"/>
  <c r="C118" i="9"/>
  <c r="J118" i="9"/>
  <c r="B22" i="1"/>
  <c r="E1" i="73"/>
  <c r="K1" i="73"/>
  <c r="C76" i="15"/>
  <c r="L51" i="15"/>
  <c r="J50" i="15"/>
  <c r="J51" i="15"/>
  <c r="L57" i="15"/>
  <c r="L47" i="15"/>
  <c r="L58" i="15"/>
  <c r="B24" i="1"/>
  <c r="M59" i="15"/>
  <c r="L59" i="15"/>
  <c r="L60" i="15"/>
  <c r="J57" i="15"/>
  <c r="J55" i="15"/>
  <c r="J58" i="15"/>
  <c r="J59" i="15"/>
  <c r="B3" i="15"/>
  <c r="C6" i="12"/>
  <c r="K81" i="43"/>
  <c r="D81" i="43"/>
  <c r="D82" i="43"/>
  <c r="K83" i="43"/>
  <c r="D83" i="43"/>
  <c r="M85" i="43"/>
  <c r="D85" i="43"/>
  <c r="K86" i="43"/>
  <c r="K87" i="43"/>
  <c r="D87" i="43"/>
  <c r="K88" i="43"/>
  <c r="D88" i="43"/>
  <c r="D29" i="43"/>
  <c r="S12" i="77"/>
  <c r="S13" i="77"/>
  <c r="S14" i="77"/>
  <c r="S15" i="77"/>
  <c r="S16" i="77"/>
  <c r="S17" i="77"/>
  <c r="S18" i="77"/>
  <c r="S19" i="77"/>
  <c r="S6" i="77"/>
  <c r="S7" i="77"/>
  <c r="S8" i="77"/>
  <c r="S9" i="77"/>
  <c r="S10" i="77"/>
  <c r="S11" i="77"/>
  <c r="S5" i="77"/>
  <c r="I41" i="40"/>
  <c r="G41" i="40"/>
  <c r="E41" i="40"/>
  <c r="I34" i="40"/>
  <c r="G34" i="40"/>
  <c r="E34" i="40"/>
  <c r="I7" i="40"/>
  <c r="G7" i="40"/>
  <c r="I5" i="40"/>
  <c r="G5" i="40"/>
  <c r="E5" i="40"/>
  <c r="C10" i="40"/>
  <c r="C18" i="4"/>
  <c r="C34" i="40"/>
  <c r="C11" i="40"/>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I20" i="43"/>
  <c r="J20" i="43"/>
  <c r="G2" i="43"/>
  <c r="I2" i="43"/>
  <c r="M8" i="43"/>
  <c r="C6" i="43"/>
  <c r="G17" i="43"/>
  <c r="H17" i="43"/>
  <c r="I17" i="43"/>
  <c r="J17" i="43"/>
  <c r="C17" i="43"/>
  <c r="C16" i="43"/>
  <c r="F39" i="43"/>
  <c r="G39" i="43"/>
  <c r="F38" i="43"/>
  <c r="G38" i="43"/>
  <c r="F37" i="43"/>
  <c r="G37" i="43"/>
  <c r="F36" i="43"/>
  <c r="G36" i="43"/>
  <c r="F35" i="43"/>
  <c r="G35" i="43"/>
  <c r="F34" i="43"/>
  <c r="G34" i="43"/>
  <c r="J53" i="67"/>
  <c r="M47" i="15"/>
  <c r="AL5" i="3"/>
  <c r="I4" i="6"/>
  <c r="F33" i="43"/>
  <c r="G33" i="43"/>
  <c r="I33" i="43"/>
  <c r="E7" i="76"/>
  <c r="E8" i="76"/>
  <c r="E9" i="76"/>
  <c r="E10" i="76"/>
  <c r="E11" i="76"/>
  <c r="E12" i="76"/>
  <c r="E13" i="76"/>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Q24" i="3"/>
  <c r="BM24" i="3"/>
  <c r="BN24" i="3"/>
  <c r="BO24" i="3"/>
  <c r="BP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AZ5" i="3"/>
  <c r="H13" i="3"/>
  <c r="G13" i="3"/>
  <c r="H14" i="3"/>
  <c r="G14" i="3"/>
  <c r="H15" i="3"/>
  <c r="G15" i="3"/>
  <c r="H16" i="3"/>
  <c r="G16" i="3"/>
  <c r="H17" i="3"/>
  <c r="G17" i="3"/>
  <c r="H18" i="3"/>
  <c r="G18" i="3"/>
  <c r="H19" i="3"/>
  <c r="G19" i="3"/>
  <c r="H20" i="3"/>
  <c r="G20" i="3"/>
  <c r="H21" i="3"/>
  <c r="G21" i="3"/>
  <c r="H22" i="3"/>
  <c r="G22" i="3"/>
  <c r="H23" i="3"/>
  <c r="G23" i="3"/>
  <c r="H24" i="3"/>
  <c r="AC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G1"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J86" i="43"/>
  <c r="N85" i="43"/>
  <c r="K85" i="43"/>
  <c r="J85" i="43"/>
  <c r="M84"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AX38" i="3"/>
  <c r="AW38" i="3"/>
  <c r="AV38" i="3"/>
  <c r="AC38" i="3"/>
  <c r="AX37" i="3"/>
  <c r="AW37" i="3"/>
  <c r="AV37" i="3"/>
  <c r="AC37" i="3"/>
  <c r="AX36" i="3"/>
  <c r="AW36" i="3"/>
  <c r="AV36" i="3"/>
  <c r="AC36" i="3"/>
  <c r="AX35" i="3"/>
  <c r="AW35" i="3"/>
  <c r="AV35" i="3"/>
  <c r="AC35"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O17" i="43"/>
  <c r="N17" i="43"/>
  <c r="M17" i="43"/>
  <c r="C18" i="43"/>
  <c r="F15" i="43"/>
  <c r="E15" i="43"/>
  <c r="D15" i="43"/>
  <c r="C15" i="43"/>
  <c r="C10" i="43"/>
  <c r="C11" i="43"/>
  <c r="C9" i="43"/>
  <c r="A7" i="43"/>
  <c r="F33" i="15"/>
  <c r="F61" i="15"/>
  <c r="M19" i="15"/>
  <c r="M10" i="1"/>
  <c r="O10" i="1"/>
  <c r="B23" i="1"/>
  <c r="B43" i="1"/>
  <c r="D78" i="9"/>
  <c r="E19" i="6"/>
  <c r="E20" i="6"/>
  <c r="E21" i="6"/>
  <c r="K8" i="1"/>
  <c r="M8" i="1"/>
  <c r="F23" i="15"/>
  <c r="D24" i="15"/>
  <c r="O8" i="1"/>
  <c r="P8" i="1"/>
  <c r="M13" i="1"/>
  <c r="O13" i="1"/>
  <c r="P13" i="1"/>
  <c r="E22" i="6"/>
  <c r="E23" i="6"/>
  <c r="E24" i="6"/>
  <c r="E25" i="6"/>
  <c r="E26" i="6"/>
  <c r="BC10" i="3"/>
  <c r="BD10" i="3"/>
  <c r="BB10" i="3"/>
  <c r="AC13" i="3"/>
  <c r="AC14" i="3"/>
  <c r="AC15" i="3"/>
  <c r="AC16" i="3"/>
  <c r="AC17" i="3"/>
  <c r="I5" i="3"/>
  <c r="AD5"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N8" i="43"/>
  <c r="F81" i="43"/>
  <c r="H83" i="43"/>
  <c r="H113" i="43"/>
  <c r="F48" i="43"/>
  <c r="H52" i="43"/>
  <c r="N7"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N9"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L19"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J15" i="67"/>
  <c r="F16" i="67"/>
  <c r="L47" i="67"/>
  <c r="M22" i="67"/>
  <c r="F38" i="67"/>
  <c r="F37" i="67"/>
  <c r="F40" i="67"/>
  <c r="F36" i="67"/>
  <c r="M28" i="67"/>
  <c r="M26" i="15"/>
  <c r="M29" i="67"/>
  <c r="F9" i="67"/>
  <c r="M8" i="67"/>
  <c r="M29" i="15"/>
  <c r="F42" i="67"/>
  <c r="M23" i="67"/>
  <c r="C53" i="15"/>
  <c r="C10" i="67"/>
  <c r="C53" i="67"/>
  <c r="L58" i="67"/>
  <c r="Q73" i="15"/>
  <c r="N59" i="67"/>
  <c r="L59" i="67"/>
  <c r="M59" i="67"/>
  <c r="I54" i="67"/>
  <c r="N59" i="15"/>
  <c r="I54" i="15"/>
  <c r="L56" i="15"/>
  <c r="AQ13" i="1"/>
  <c r="M6" i="1"/>
  <c r="O6" i="1"/>
  <c r="P6" i="1"/>
  <c r="F30" i="68"/>
  <c r="C30" i="68"/>
  <c r="F30" i="11"/>
  <c r="C48" i="11"/>
  <c r="F28" i="67"/>
  <c r="C28" i="67"/>
  <c r="F31" i="12"/>
  <c r="F52" i="9"/>
  <c r="M18" i="67"/>
  <c r="F32" i="67"/>
  <c r="F60" i="67"/>
  <c r="F30" i="69"/>
  <c r="C48" i="69"/>
  <c r="F32" i="15"/>
  <c r="F60" i="15"/>
  <c r="M18" i="15"/>
  <c r="F28" i="15"/>
  <c r="E63" i="39"/>
  <c r="T11" i="1"/>
  <c r="D9" i="69"/>
  <c r="C9" i="69"/>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P7" i="1"/>
  <c r="O16" i="1"/>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E6" i="3"/>
  <c r="AA10" i="39"/>
  <c r="D10" i="11"/>
  <c r="C10" i="11"/>
  <c r="D15" i="6"/>
  <c r="D8" i="6"/>
  <c r="D14" i="6"/>
  <c r="R20" i="6"/>
  <c r="R7" i="1"/>
  <c r="D5" i="6"/>
  <c r="D6" i="6"/>
  <c r="D12" i="6"/>
  <c r="D9" i="6"/>
  <c r="D11" i="6"/>
  <c r="D10" i="6"/>
  <c r="D13" i="6"/>
  <c r="L19" i="9"/>
  <c r="E61" i="40"/>
  <c r="H25" i="6"/>
  <c r="R25" i="6"/>
  <c r="H22" i="6"/>
  <c r="H23" i="6"/>
  <c r="H21" i="6"/>
  <c r="H26" i="6"/>
  <c r="H24" i="6"/>
  <c r="P16" i="1"/>
  <c r="F34" i="11"/>
  <c r="C37" i="11"/>
  <c r="AC10" i="40"/>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I63" i="40"/>
  <c r="H65" i="40"/>
  <c r="C39" i="11"/>
  <c r="C43" i="11"/>
  <c r="C41" i="11"/>
  <c r="I70" i="39"/>
  <c r="B3" i="12"/>
  <c r="J63" i="40"/>
  <c r="I65" i="40"/>
  <c r="C46" i="11"/>
  <c r="C45" i="11"/>
  <c r="C49" i="11"/>
  <c r="C51" i="11"/>
  <c r="C52" i="11"/>
  <c r="B2" i="11"/>
  <c r="B3" i="11"/>
  <c r="J70" i="39"/>
  <c r="K63" i="40"/>
  <c r="J65" i="40"/>
  <c r="K70" i="39"/>
  <c r="C56" i="11"/>
  <c r="C57" i="11"/>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C102" i="9"/>
  <c r="C21" i="9"/>
  <c r="C20" i="9"/>
  <c r="D20" i="9"/>
  <c r="D102" i="9"/>
  <c r="D22" i="9"/>
  <c r="D21" i="9"/>
  <c r="C103" i="9"/>
  <c r="D103" i="9"/>
  <c r="G20" i="9"/>
  <c r="G21"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F118" i="9"/>
  <c r="G118" i="9"/>
  <c r="G4" i="52"/>
  <c r="B52" i="72"/>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<sst xmlns="http://schemas.openxmlformats.org/spreadsheetml/2006/main" count="7657" uniqueCount="3221">
  <si>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</si>
  <si>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</si>
  <si>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</si>
  <si>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</si>
  <si>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</si>
  <si>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</si>
  <si>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</si>
  <si>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</si>
  <si>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</si>
  <si>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</si>
  <si>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</si>
  <si>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</si>
  <si>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</si>
  <si>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</si>
  <si>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</si>
  <si>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</si>
  <si>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</si>
  <si>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</si>
  <si>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</si>
  <si>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</si>
  <si>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</si>
  <si>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</si>
  <si>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</si>
  <si>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</si>
  <si>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</si>
  <si>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</si>
  <si>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</si>
  <si>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</si>
  <si>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</si>
  <si>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</si>
  <si>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</si>
  <si>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</si>
  <si>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</si>
  <si>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</si>
  <si>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</si>
  <si>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</si>
  <si>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</si>
  <si>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</si>
  <si>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</si>
  <si>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</si>
  <si>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</si>
  <si>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</si>
  <si>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</si>
  <si>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</si>
  <si>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</si>
  <si>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</si>
  <si>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</si>
  <si>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</si>
  <si>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</si>
  <si>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</si>
  <si>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</si>
  <si>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</si>
  <si>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</si>
  <si>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</si>
  <si>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</si>
  <si>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</si>
  <si>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</si>
  <si>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</si>
  <si>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</si>
  <si>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</si>
  <si>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</si>
  <si>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</si>
  <si>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</si>
  <si>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</si>
  <si>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</si>
  <si>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</si>
  <si>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</si>
  <si>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</si>
  <si>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</si>
  <si>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</si>
  <si>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</si>
  <si>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</si>
  <si>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</si>
  <si>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</si>
  <si>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</si>
  <si>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</si>
  <si>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</si>
  <si>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</si>
  <si>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</si>
  <si>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</si>
  <si>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</si>
  <si>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</si>
  <si>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</si>
  <si>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</si>
  <si>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</si>
  <si>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</si>
  <si>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</si>
  <si>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</si>
  <si>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</si>
  <si>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</si>
  <si>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</si>
  <si>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</si>
  <si>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</si>
  <si>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</si>
  <si>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</si>
  <si>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</si>
  <si>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</si>
  <si>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</si>
  <si>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</si>
  <si>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</si>
  <si>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</si>
  <si>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</si>
  <si>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</si>
  <si>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</si>
  <si>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</si>
  <si>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</si>
  <si>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</si>
  <si>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</si>
  <si>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</si>
  <si>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</si>
  <si>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</si>
  <si>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</si>
  <si>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</si>
  <si>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</si>
  <si>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</si>
  <si>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</si>
  <si>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</si>
  <si>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</si>
  <si>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</si>
  <si>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</si>
  <si>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</si>
  <si>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</si>
  <si>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</si>
  <si>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</si>
  <si>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</si>
  <si>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</si>
  <si>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</si>
  <si>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</si>
  <si>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</si>
  <si>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</si>
  <si>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</si>
  <si>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</si>
  <si>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</si>
  <si>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</si>
  <si>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</si>
  <si>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</si>
  <si>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</si>
  <si>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</si>
  <si>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</si>
  <si>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</si>
  <si>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</si>
  <si>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</si>
  <si>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</si>
  <si>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</si>
  <si>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</si>
  <si>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</si>
  <si>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</si>
  <si>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</si>
  <si>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</si>
  <si>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</si>
  <si>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</si>
  <si>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</si>
  <si>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</si>
  <si>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</si>
  <si>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</si>
  <si>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</si>
  <si>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</si>
  <si>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</si>
  <si>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</si>
  <si>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</si>
  <si>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</si>
  <si>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</si>
  <si>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</si>
  <si>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</si>
  <si>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</si>
  <si>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</si>
  <si>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</si>
  <si>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</si>
  <si>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</si>
  <si>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</si>
  <si>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</si>
  <si>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</si>
  <si>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</si>
  <si>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</si>
  <si>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</si>
  <si>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</si>
  <si>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</si>
  <si>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</si>
  <si>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</si>
  <si>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</si>
  <si>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</si>
  <si>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</si>
  <si>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</si>
  <si>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</si>
  <si>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</si>
  <si>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</si>
  <si>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</si>
  <si>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</si>
  <si>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</si>
  <si>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</si>
  <si>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</si>
  <si>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</si>
  <si>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</si>
  <si>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</si>
  <si>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</si>
  <si>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</si>
  <si>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</si>
  <si>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</si>
  <si>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</si>
  <si>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</si>
  <si>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</si>
  <si>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</si>
  <si>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</si>
  <si>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</si>
  <si>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</si>
  <si>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</si>
  <si>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</si>
  <si>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</si>
  <si>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</si>
  <si>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</si>
  <si>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</si>
  <si>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</si>
  <si>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</si>
  <si>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</si>
  <si>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</si>
  <si>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</si>
  <si>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</si>
  <si>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</si>
  <si>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</si>
  <si>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</si>
  <si>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</si>
  <si>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</si>
  <si>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</si>
  <si>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</si>
  <si>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</si>
  <si>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</si>
  <si>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</si>
  <si>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</si>
  <si>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</si>
  <si>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</si>
  <si>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</si>
  <si>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</si>
  <si>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</si>
  <si>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</si>
  <si>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</si>
  <si>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</si>
  <si>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</si>
  <si>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</si>
  <si>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</si>
  <si>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</si>
  <si>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</si>
  <si>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</si>
  <si>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</si>
  <si>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</si>
  <si>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</si>
  <si>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</si>
  <si>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</si>
  <si>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</si>
  <si>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</si>
  <si>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</si>
  <si>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</si>
  <si>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</si>
  <si>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</si>
  <si>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</si>
  <si>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</si>
  <si>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</si>
  <si>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</si>
  <si>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</si>
  <si>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</si>
  <si>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</si>
  <si>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</si>
  <si>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</si>
  <si>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</si>
  <si>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</si>
  <si>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</si>
  <si>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</si>
  <si>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</si>
  <si>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</si>
  <si>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</si>
  <si>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</si>
  <si>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</si>
  <si>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</si>
  <si>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</si>
  <si>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</si>
  <si>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</si>
  <si>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</si>
  <si>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</si>
  <si>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</si>
  <si>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</si>
  <si>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</si>
  <si>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</si>
  <si>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</si>
  <si>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</si>
  <si>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</si>
  <si>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</si>
  <si>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</si>
  <si>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</si>
  <si>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</si>
  <si>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</si>
  <si>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</si>
  <si>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</si>
  <si>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</si>
  <si>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</si>
  <si>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</si>
  <si>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</si>
  <si>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</si>
  <si>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</si>
  <si>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</si>
  <si>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</si>
  <si>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</si>
  <si>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</si>
  <si>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</si>
  <si>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</si>
  <si>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</si>
  <si>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</si>
  <si>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</si>
  <si>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</si>
  <si>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</si>
  <si>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</si>
  <si>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</si>
  <si>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</si>
  <si>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</si>
  <si>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</si>
  <si>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</si>
  <si>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</si>
  <si>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</si>
  <si>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</si>
  <si>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</si>
  <si>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</si>
  <si>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</si>
  <si>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</si>
  <si>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</si>
  <si>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</si>
  <si>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</si>
  <si>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</si>
  <si>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</si>
  <si>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</si>
  <si>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</si>
  <si>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</si>
  <si>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</si>
  <si>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</si>
  <si>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</si>
  <si>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</si>
  <si>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</si>
  <si>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</si>
  <si>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</si>
  <si>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</si>
  <si>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</si>
  <si>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</si>
  <si>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</si>
  <si>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</si>
  <si>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</si>
  <si>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</si>
  <si>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</si>
  <si>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</si>
  <si>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</si>
  <si>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</si>
  <si>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</si>
  <si>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</si>
  <si>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</si>
  <si>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</si>
  <si>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</si>
  <si>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</si>
  <si>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</si>
  <si>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</si>
  <si>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</si>
  <si>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</si>
  <si>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</si>
  <si>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</si>
  <si>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</si>
  <si>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</si>
  <si>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</si>
  <si>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</si>
  <si>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</si>
  <si>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</si>
  <si>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</si>
  <si>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</si>
  <si>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</si>
  <si>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</si>
  <si>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</si>
  <si>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</si>
  <si>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</si>
  <si>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</si>
  <si>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</si>
  <si>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</si>
  <si>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</si>
  <si>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</si>
  <si>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</si>
  <si>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</si>
  <si>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</si>
  <si>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</si>
  <si>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</si>
  <si>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</si>
  <si>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</si>
  <si>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</si>
  <si>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</si>
  <si>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</si>
  <si>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</si>
  <si>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</si>
  <si>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</si>
  <si>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</si>
  <si>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</si>
  <si>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</si>
  <si>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</si>
  <si>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</si>
  <si>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</si>
  <si>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</si>
  <si>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</si>
  <si>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</si>
  <si>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</si>
  <si>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</si>
  <si>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</si>
  <si>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</si>
  <si>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</si>
  <si>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</si>
  <si>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</si>
  <si>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</si>
  <si>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</si>
  <si>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</si>
  <si>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</si>
  <si>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</si>
  <si>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</si>
  <si>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</si>
  <si>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</si>
  <si>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</si>
  <si>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</si>
  <si>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</si>
  <si>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</si>
  <si>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</si>
  <si>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</si>
  <si>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</si>
  <si>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</si>
  <si>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</si>
  <si>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</si>
  <si>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</si>
  <si>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</si>
  <si>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</si>
  <si>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</si>
  <si>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</si>
  <si>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</si>
  <si>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</si>
  <si>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</si>
  <si>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</si>
  <si>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</si>
  <si>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</si>
  <si>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</si>
  <si>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</si>
  <si>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</si>
  <si>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</si>
  <si>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</si>
  <si>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</si>
  <si>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</si>
  <si>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</si>
  <si>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</si>
  <si>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</si>
  <si>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</si>
  <si>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</si>
  <si>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</si>
  <si>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</si>
  <si>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</si>
  <si>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</si>
  <si>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</si>
  <si>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</si>
  <si>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</si>
  <si>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</si>
  <si>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</si>
  <si>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</si>
  <si>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</si>
  <si>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</si>
  <si>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</si>
  <si>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</si>
  <si>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</si>
  <si>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</si>
  <si>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</si>
  <si>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</si>
  <si>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</si>
  <si>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</si>
  <si>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</si>
  <si>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</si>
  <si>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</si>
  <si>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</si>
  <si>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</si>
  <si>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</si>
  <si>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</si>
  <si>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</si>
  <si>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</si>
  <si>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</si>
  <si>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</si>
  <si>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</si>
  <si>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</si>
  <si>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</si>
  <si>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</si>
  <si>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</si>
  <si>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</si>
  <si>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</si>
  <si>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</si>
  <si>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</si>
  <si>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</si>
  <si>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</si>
  <si>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</si>
  <si>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</si>
  <si>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</si>
  <si>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</si>
  <si>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</si>
  <si>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</si>
  <si>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</si>
  <si>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</si>
  <si>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</si>
  <si>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</si>
  <si>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</si>
  <si>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</si>
  <si>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</si>
  <si>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</si>
  <si>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</si>
  <si>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</si>
  <si>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</si>
  <si>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</si>
  <si>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</si>
  <si>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</si>
  <si>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</si>
  <si>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</si>
  <si>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</si>
  <si>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</si>
  <si>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</si>
  <si>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</si>
  <si>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</si>
  <si>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</si>
  <si>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</si>
  <si>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</si>
  <si>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</si>
  <si>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</si>
  <si>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</si>
  <si>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</si>
  <si>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</si>
  <si>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</si>
  <si>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</si>
  <si>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</si>
  <si>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</si>
  <si>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</si>
  <si>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</si>
  <si>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</si>
  <si>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</si>
  <si>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</si>
  <si>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</si>
  <si>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</si>
  <si>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</si>
  <si>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</si>
  <si>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</si>
  <si>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</si>
  <si>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</si>
  <si>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</si>
  <si>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</si>
  <si>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</si>
  <si>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</si>
  <si>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</si>
  <si>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</si>
  <si>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</si>
  <si>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</si>
  <si>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</si>
  <si>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</si>
  <si>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</si>
  <si>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</si>
  <si>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</si>
  <si>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</si>
  <si>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</si>
  <si>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</si>
  <si>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</si>
  <si>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</si>
  <si>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</si>
  <si>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</si>
  <si>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</si>
  <si>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</si>
  <si>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</si>
  <si>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</si>
  <si>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</si>
  <si>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</si>
  <si>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</si>
  <si>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</si>
  <si>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</si>
  <si>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</si>
  <si>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</si>
  <si>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</si>
  <si>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</si>
  <si>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</si>
  <si>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</si>
  <si>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</si>
  <si>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</si>
  <si>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</si>
  <si>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</si>
  <si>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</si>
  <si>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</si>
  <si>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</si>
  <si>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</si>
  <si>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</si>
  <si>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</si>
  <si>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</si>
  <si>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</si>
  <si>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</si>
  <si>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</si>
  <si>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</si>
  <si>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</si>
  <si>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</si>
  <si>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</si>
  <si>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</si>
  <si>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</si>
  <si>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</si>
  <si>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</si>
  <si>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</si>
  <si>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</si>
  <si>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</si>
  <si>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</si>
  <si>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</si>
  <si>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</si>
  <si>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</si>
  <si>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</si>
  <si>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</si>
  <si>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</si>
  <si>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</si>
  <si>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</si>
  <si>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</si>
  <si>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</si>
  <si>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</si>
  <si>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</si>
  <si>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</si>
  <si>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</si>
  <si>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</si>
  <si>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</si>
  <si>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</si>
  <si>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</si>
  <si>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</si>
  <si>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</si>
  <si>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</si>
  <si>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</si>
  <si>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</si>
  <si>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</si>
  <si>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</si>
  <si>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</si>
  <si>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</si>
  <si>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</si>
  <si>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</si>
  <si>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</si>
  <si>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</si>
  <si>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</si>
  <si>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</si>
  <si>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</si>
  <si>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</si>
  <si>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</si>
  <si>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</si>
  <si>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</si>
  <si>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</si>
  <si>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</si>
  <si>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</si>
  <si>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</si>
  <si>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</si>
  <si>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</si>
  <si>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</si>
  <si>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</si>
  <si>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</si>
  <si>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</si>
  <si>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</si>
  <si>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</si>
  <si>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</si>
  <si>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</si>
  <si>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</si>
  <si>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</si>
  <si>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</si>
  <si>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</si>
  <si>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</si>
  <si>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</si>
  <si>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</si>
  <si>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</si>
  <si>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</si>
  <si>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</si>
  <si>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</si>
  <si>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</si>
  <si>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</si>
  <si>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</si>
  <si>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</si>
  <si>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</si>
  <si>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</si>
  <si>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</si>
  <si>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</si>
  <si>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</si>
  <si>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</si>
  <si>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</si>
  <si>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</si>
  <si>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</si>
  <si>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</si>
  <si>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</si>
  <si>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</si>
  <si>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</si>
  <si>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</si>
  <si>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</si>
  <si>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</si>
  <si>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</si>
  <si>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</si>
  <si>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</si>
  <si>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</si>
  <si>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</si>
  <si>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</si>
  <si>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</si>
  <si>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</si>
  <si>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</si>
  <si>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</si>
  <si>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</si>
  <si>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</si>
  <si>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</si>
  <si>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</si>
  <si>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</si>
  <si>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</si>
  <si>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</si>
  <si>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</si>
  <si>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</si>
  <si>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</si>
  <si>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</si>
  <si>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</si>
  <si>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</si>
  <si>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</si>
  <si>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</si>
  <si>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</si>
  <si>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</si>
  <si>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</si>
  <si>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</si>
  <si>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</si>
  <si>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</si>
  <si>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</si>
  <si>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</si>
  <si>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</si>
  <si>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</si>
  <si>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</si>
  <si>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</si>
  <si>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</si>
  <si>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</si>
  <si>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</si>
  <si>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</si>
  <si>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</si>
  <si>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</si>
  <si>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</si>
  <si>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</si>
  <si>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</si>
  <si>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</si>
  <si>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</si>
  <si>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</si>
  <si>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</si>
  <si>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</si>
  <si>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</si>
  <si>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</si>
  <si>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</si>
  <si>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</si>
  <si>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</si>
  <si>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</si>
  <si>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</si>
  <si>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</si>
  <si>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</si>
  <si>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</si>
  <si>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</si>
  <si>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</si>
  <si>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</si>
  <si>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</si>
  <si>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</si>
  <si>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</si>
  <si>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</si>
  <si>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</si>
  <si>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</si>
  <si>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</si>
  <si>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</si>
  <si>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</si>
  <si>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</si>
  <si>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</si>
  <si>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</si>
  <si>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</si>
  <si>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</si>
  <si>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</si>
  <si>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</si>
  <si>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</si>
  <si>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</si>
  <si>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</si>
  <si>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</si>
  <si>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</si>
  <si>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</si>
  <si>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</si>
  <si>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</si>
  <si>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</si>
  <si>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</si>
  <si>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</si>
  <si>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</si>
  <si>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</si>
  <si>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</si>
  <si>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</si>
  <si>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</si>
  <si>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</si>
  <si>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</si>
  <si>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</si>
  <si>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</si>
  <si>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</si>
  <si>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</si>
  <si>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</si>
  <si>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</si>
  <si>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</si>
  <si>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</si>
  <si>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</si>
  <si>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</si>
  <si>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</si>
  <si>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</si>
  <si>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</si>
  <si>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</si>
  <si>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</si>
  <si>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</si>
  <si>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</si>
  <si>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</si>
  <si>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</si>
  <si>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</si>
  <si>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</si>
  <si>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</si>
  <si>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</si>
  <si>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</si>
  <si>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</si>
  <si>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</si>
  <si>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</si>
  <si>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</si>
  <si>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</si>
  <si>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</si>
  <si>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</si>
  <si>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</si>
  <si>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</si>
  <si>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</si>
  <si>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</si>
  <si>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</si>
  <si>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</si>
  <si>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</si>
  <si>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</si>
  <si>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</si>
  <si>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</si>
  <si>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</si>
  <si>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</si>
  <si>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</si>
  <si>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</si>
  <si>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</si>
  <si>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</si>
  <si>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</si>
  <si>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</si>
  <si>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</si>
  <si>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</si>
  <si>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</si>
  <si>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</si>
  <si>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</si>
  <si>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</si>
  <si>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</si>
  <si>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</si>
  <si>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</si>
  <si>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</si>
  <si>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</si>
  <si>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</si>
  <si>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</si>
  <si>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</si>
  <si>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</si>
  <si>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</si>
  <si>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</si>
  <si>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</si>
  <si>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</si>
  <si>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</si>
  <si>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</si>
  <si>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</si>
  <si>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</si>
  <si>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</si>
  <si>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</si>
  <si>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</si>
  <si>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</si>
  <si>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</si>
  <si>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</si>
  <si>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</si>
  <si>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</si>
  <si>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</si>
  <si>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</si>
  <si>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</si>
  <si>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</si>
  <si>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</si>
  <si>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</si>
  <si>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</si>
  <si>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</si>
  <si>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</si>
  <si>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</si>
  <si>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</si>
  <si>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</si>
  <si>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</si>
  <si>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</si>
  <si>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</si>
  <si>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</si>
  <si>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</si>
  <si>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</si>
  <si>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</si>
  <si>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</si>
  <si>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</si>
  <si>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</si>
  <si>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</si>
  <si>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</si>
  <si>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</si>
  <si>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</si>
  <si>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</si>
  <si>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</si>
  <si>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</si>
  <si>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</si>
  <si>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</si>
  <si>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</si>
  <si>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</si>
  <si>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</si>
  <si>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</si>
  <si>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</si>
  <si>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</si>
  <si>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</si>
  <si>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</si>
  <si>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</si>
  <si>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</si>
  <si>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</si>
  <si>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</si>
  <si>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</si>
  <si>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</si>
  <si>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</si>
  <si>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</si>
  <si>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</si>
  <si>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</si>
  <si>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</si>
  <si>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</si>
  <si>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</si>
  <si>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</si>
  <si>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</si>
  <si>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</si>
  <si>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</si>
  <si>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</si>
  <si>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</si>
  <si>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</si>
  <si>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</si>
  <si>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</si>
  <si>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</si>
  <si>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</si>
  <si>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</si>
  <si>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</si>
  <si>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</si>
  <si>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</si>
  <si>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</si>
  <si>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</si>
  <si>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</si>
  <si>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</si>
  <si>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</si>
  <si>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</si>
  <si>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</si>
  <si>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</si>
  <si>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</si>
  <si>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</si>
  <si>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</si>
  <si>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</si>
  <si>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</si>
  <si>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</si>
  <si>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</si>
  <si>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</si>
  <si>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</si>
  <si>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</si>
  <si>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</si>
  <si>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</si>
  <si>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</si>
  <si>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</si>
  <si>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</si>
  <si>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</si>
  <si>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</si>
  <si>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</si>
  <si>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</si>
  <si>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</si>
  <si>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</si>
  <si>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</si>
  <si>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</si>
  <si>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</si>
  <si>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</si>
  <si>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</si>
  <si>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</si>
  <si>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</si>
  <si>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</si>
  <si>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</si>
  <si>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</si>
  <si>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</si>
  <si>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</si>
  <si>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</si>
  <si>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</si>
  <si>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</si>
  <si>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</si>
  <si>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</si>
  <si>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</si>
  <si>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</si>
  <si>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</si>
  <si>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</si>
  <si>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</si>
  <si>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</si>
  <si>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</si>
  <si>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</si>
  <si>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</si>
  <si>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</si>
  <si>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</si>
  <si>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</si>
  <si>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</si>
  <si>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</si>
  <si>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</si>
  <si>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</si>
  <si>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</si>
  <si>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</si>
  <si>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</si>
  <si>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</si>
  <si>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</si>
  <si>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</si>
  <si>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</si>
  <si>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</si>
  <si>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</si>
  <si>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</si>
  <si>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</si>
  <si>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</si>
  <si>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</si>
  <si>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</si>
  <si>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</si>
  <si>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</si>
  <si>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</si>
  <si>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</si>
  <si>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</si>
  <si>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</si>
  <si>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</si>
  <si>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</si>
  <si>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</si>
  <si>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</si>
  <si>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</si>
  <si>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</si>
  <si>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</si>
  <si>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</si>
  <si>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</si>
  <si>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</si>
  <si>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</si>
  <si>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</si>
  <si>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</si>
  <si>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</si>
  <si>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</si>
  <si>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</si>
  <si>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</si>
  <si>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</si>
  <si>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</si>
  <si>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</si>
  <si>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</si>
  <si>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</si>
  <si>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</si>
  <si>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</si>
  <si>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</si>
  <si>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</si>
  <si>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</si>
  <si>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</si>
  <si>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</si>
  <si>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</si>
  <si>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</si>
  <si>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</si>
  <si>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</si>
  <si>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</si>
  <si>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</si>
  <si>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</si>
  <si>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</si>
  <si>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</si>
  <si>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</si>
  <si>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</si>
  <si>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</si>
  <si>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</si>
  <si>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</si>
  <si>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</si>
  <si>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</si>
  <si>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</si>
  <si>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</si>
  <si>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</si>
  <si>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</si>
  <si>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</si>
  <si>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</si>
  <si>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</si>
  <si>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</si>
  <si>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</si>
  <si>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</si>
  <si>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</si>
  <si>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</si>
  <si>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</si>
  <si>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</si>
  <si>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</si>
  <si>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</si>
  <si>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</si>
  <si>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</si>
  <si>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</si>
  <si>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</si>
  <si>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</si>
  <si>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</si>
  <si>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</si>
  <si>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</si>
  <si>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</si>
  <si>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</si>
  <si>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</si>
  <si>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</si>
  <si>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</si>
  <si>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</si>
  <si>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</si>
  <si>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</si>
  <si>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</si>
  <si>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</si>
  <si>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</si>
  <si>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</si>
  <si>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</si>
  <si>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</si>
  <si>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</si>
  <si>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</si>
  <si>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</si>
  <si>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</si>
  <si>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</si>
  <si>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</si>
  <si>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</si>
  <si>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</si>
  <si>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</si>
  <si>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</si>
  <si>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</si>
  <si>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</si>
  <si>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</si>
  <si>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</si>
  <si>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</si>
  <si>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</si>
  <si>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</si>
  <si>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</si>
  <si>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</si>
  <si>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</si>
  <si>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</si>
  <si>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</si>
  <si>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</si>
  <si>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</si>
  <si>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</si>
  <si>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</si>
  <si>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</si>
  <si>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</si>
  <si>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</si>
  <si>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</si>
  <si>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</si>
  <si>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</si>
  <si>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</si>
  <si>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</si>
  <si>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</si>
  <si>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</si>
  <si>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</si>
  <si>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</si>
  <si>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</si>
  <si>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</si>
  <si>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</si>
  <si>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</si>
  <si>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</si>
  <si>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</si>
  <si>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</si>
  <si>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</si>
  <si>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</si>
  <si>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</si>
  <si>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</si>
  <si>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</si>
  <si>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</si>
  <si>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</si>
  <si>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</si>
  <si>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</si>
  <si>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</si>
  <si>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</si>
  <si>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</si>
  <si>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</si>
  <si>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</si>
  <si>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</si>
  <si>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</si>
  <si>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</si>
  <si>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</si>
  <si>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</si>
  <si>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</si>
  <si>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</si>
  <si>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</si>
  <si>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</si>
  <si>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</si>
  <si>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</si>
  <si>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</si>
  <si>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</si>
  <si>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</si>
  <si>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</si>
  <si>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</si>
  <si>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</si>
  <si>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</si>
  <si>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</si>
  <si>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</si>
  <si>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</si>
  <si>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</si>
  <si>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</si>
  <si>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</si>
  <si>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</si>
  <si>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</si>
  <si>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</si>
  <si>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</si>
  <si>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</si>
  <si>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</si>
  <si>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</si>
  <si>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</si>
  <si>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</si>
  <si>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</si>
  <si>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</si>
  <si>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</si>
  <si>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</si>
  <si>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</si>
  <si>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</si>
  <si>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</si>
  <si>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</si>
  <si>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</si>
  <si>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</si>
  <si>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</si>
  <si>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</si>
  <si>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</si>
  <si>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</si>
  <si>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</si>
  <si>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</si>
  <si>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</si>
  <si>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</si>
  <si>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</si>
  <si>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</si>
  <si>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</si>
  <si>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</si>
  <si>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</si>
  <si>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</si>
  <si>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</si>
  <si>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</si>
  <si>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</si>
  <si>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</si>
  <si>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</si>
  <si>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</si>
  <si>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</si>
  <si>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</si>
  <si>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</si>
  <si>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</si>
  <si>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</si>
  <si>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</si>
  <si>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</si>
  <si>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</si>
  <si>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</si>
  <si>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</si>
  <si>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</si>
  <si>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</si>
  <si>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</si>
  <si>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</si>
  <si>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</si>
  <si>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</si>
  <si>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</si>
  <si>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</si>
  <si>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</si>
  <si>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</si>
  <si>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</si>
  <si>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</si>
  <si>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</si>
  <si>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</si>
  <si>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</si>
  <si>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</si>
  <si>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</si>
  <si>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</si>
  <si>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</si>
  <si>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</si>
  <si>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</si>
  <si>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</si>
  <si>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</si>
  <si>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</si>
  <si>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</si>
  <si>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</si>
  <si>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</si>
  <si>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</si>
  <si>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</si>
  <si>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</si>
  <si>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</si>
  <si>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</si>
  <si>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</si>
  <si>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</si>
  <si>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</si>
  <si>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</si>
  <si>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</si>
  <si>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</si>
  <si>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</si>
  <si>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</si>
  <si>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</si>
  <si>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</si>
  <si>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</si>
  <si>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</si>
  <si>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</si>
  <si>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</si>
  <si>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</si>
  <si>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</si>
  <si>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</si>
  <si>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</si>
  <si>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</si>
  <si>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</si>
  <si>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</si>
  <si>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</si>
  <si>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</si>
  <si>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</si>
  <si>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</si>
  <si>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</si>
  <si>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</si>
  <si>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</si>
  <si>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</si>
  <si>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</si>
  <si>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</si>
  <si>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</si>
  <si>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</si>
  <si>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</si>
  <si>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</si>
  <si>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</si>
  <si>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</si>
  <si>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</si>
  <si>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</si>
  <si>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</si>
  <si>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</si>
  <si>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</si>
  <si>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</si>
  <si>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</si>
  <si>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</si>
  <si>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</si>
  <si>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</si>
  <si>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</si>
  <si>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</si>
  <si>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</si>
  <si>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</si>
  <si>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</si>
  <si>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</si>
  <si>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</si>
  <si>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</si>
  <si>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</si>
  <si>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</si>
  <si>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</si>
  <si>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</si>
  <si>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</si>
  <si>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</si>
  <si>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</si>
  <si>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</si>
  <si>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</si>
  <si>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</si>
  <si>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</si>
  <si>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</si>
  <si>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</si>
  <si>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</si>
  <si>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</si>
  <si>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</si>
  <si>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</si>
  <si>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</si>
  <si>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</si>
  <si>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</si>
  <si>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</si>
  <si>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</si>
  <si>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</si>
  <si>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</si>
  <si>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</si>
  <si>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</si>
  <si>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</si>
  <si>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</si>
  <si>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</si>
  <si>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</si>
  <si>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</si>
  <si>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</si>
  <si>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</si>
  <si>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</si>
  <si>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</si>
  <si>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</si>
  <si>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</si>
  <si>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</si>
  <si>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</si>
  <si>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</si>
  <si>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</si>
  <si>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</si>
  <si>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</si>
  <si>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</si>
  <si>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</si>
  <si>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</si>
  <si>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</si>
  <si>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</si>
  <si>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</si>
  <si>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</si>
  <si>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</si>
  <si>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</si>
  <si>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</si>
  <si>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</si>
  <si>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</si>
  <si>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</si>
  <si>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</si>
  <si>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</si>
  <si>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</si>
  <si>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</si>
  <si>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</si>
  <si>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</si>
  <si>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</si>
  <si>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</si>
  <si>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</si>
  <si>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</si>
  <si>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</si>
  <si>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</si>
  <si>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</si>
  <si>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</si>
  <si>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</si>
  <si>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</si>
  <si>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</si>
  <si>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</si>
  <si>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</si>
  <si>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</si>
  <si>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</si>
  <si>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</si>
  <si>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</si>
  <si>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</si>
  <si>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</si>
  <si>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</si>
  <si>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</si>
  <si>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</si>
  <si>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</si>
  <si>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</si>
  <si>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</si>
  <si>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</si>
  <si>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</si>
  <si>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</si>
  <si>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</si>
  <si>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</si>
  <si>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</si>
  <si>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</si>
  <si>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</si>
  <si>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</si>
  <si>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</si>
  <si>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</si>
  <si>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</si>
  <si>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</si>
  <si>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</si>
  <si>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</si>
  <si>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</si>
  <si>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</si>
  <si>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</si>
  <si>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</si>
  <si>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</si>
  <si>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</si>
  <si>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</si>
  <si>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</si>
  <si>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</si>
  <si>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</si>
  <si>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</si>
  <si>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</si>
  <si>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</si>
  <si>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</si>
  <si>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</si>
  <si>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</si>
  <si>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</si>
  <si>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</si>
  <si>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</si>
  <si>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</si>
  <si>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</si>
  <si>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</si>
  <si>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</si>
  <si>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</si>
  <si>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</si>
  <si>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</si>
  <si>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</si>
  <si>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</si>
  <si>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</si>
  <si>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</si>
  <si>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</si>
  <si>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</si>
  <si>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</si>
  <si>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</si>
  <si>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</si>
  <si>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</si>
  <si>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</si>
  <si>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</si>
  <si>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</si>
  <si>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</si>
  <si>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</si>
  <si>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</si>
  <si>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</si>
  <si>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</si>
  <si>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</si>
  <si>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</si>
  <si>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</si>
  <si>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</si>
  <si>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</si>
  <si>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</si>
  <si>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</si>
  <si>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</si>
  <si>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</si>
  <si>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</si>
  <si>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</si>
  <si>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</si>
  <si>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</si>
  <si>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</si>
  <si>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</si>
  <si>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</si>
  <si>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</si>
  <si>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</si>
  <si>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</si>
  <si>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</si>
  <si>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</si>
  <si>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</si>
  <si>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</si>
  <si>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</si>
  <si>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</si>
  <si>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</si>
  <si>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</si>
  <si>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</si>
  <si>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</si>
  <si>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</si>
  <si>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</si>
  <si>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</si>
  <si>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</si>
  <si>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</si>
  <si>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</si>
  <si>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</si>
  <si>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</si>
  <si>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</si>
  <si>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</si>
  <si>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</si>
  <si>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</si>
  <si>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</si>
  <si>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</si>
  <si>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</si>
  <si>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</si>
  <si>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</si>
  <si>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</si>
  <si>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</si>
  <si>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</si>
  <si>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</si>
  <si>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</si>
  <si>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</si>
  <si>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</si>
  <si>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</si>
  <si>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</si>
  <si>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</si>
  <si>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</si>
  <si>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</si>
  <si>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</si>
  <si>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</si>
  <si>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</si>
  <si>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</si>
  <si>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</si>
  <si>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</si>
  <si>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</si>
  <si>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</si>
  <si>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</si>
  <si>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</si>
  <si>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</si>
  <si>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</si>
  <si>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</si>
  <si>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</si>
  <si>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</si>
  <si>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</si>
  <si>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</si>
  <si>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</si>
  <si>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</si>
  <si>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</si>
  <si>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</si>
  <si>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</si>
  <si>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</si>
  <si>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</si>
  <si>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</si>
  <si>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</si>
  <si>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</si>
  <si>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</si>
  <si>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</si>
  <si>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</si>
  <si>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</si>
  <si>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</si>
  <si>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</si>
  <si>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</si>
  <si>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</si>
  <si>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</si>
  <si>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</si>
  <si>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</si>
  <si>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</si>
  <si>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</si>
  <si>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</si>
  <si>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</si>
  <si>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</si>
  <si>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</si>
  <si>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</si>
  <si>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</si>
  <si>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</si>
  <si>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</si>
  <si>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</si>
  <si>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</si>
  <si>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</si>
  <si>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</si>
  <si>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</si>
  <si>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</si>
  <si>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</si>
  <si>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</si>
  <si>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</si>
  <si>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</si>
  <si>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</si>
  <si>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</si>
  <si>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</si>
  <si>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</si>
  <si>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</si>
  <si>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</si>
  <si>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</si>
  <si>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</si>
  <si>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</si>
  <si>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</si>
  <si>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</si>
  <si>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</si>
  <si>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</si>
  <si>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</si>
  <si>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</si>
  <si>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</si>
  <si>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</si>
  <si>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</si>
  <si>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</si>
  <si>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</si>
  <si>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</si>
  <si>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</si>
  <si>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</si>
  <si>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</si>
  <si>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</si>
  <si>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</si>
  <si>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</si>
  <si>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</si>
  <si>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</si>
  <si>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</si>
  <si>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</si>
  <si>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</si>
  <si>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</si>
  <si>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</si>
  <si>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</si>
  <si>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</si>
  <si>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</si>
  <si>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</si>
  <si>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</si>
  <si>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</si>
  <si>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</si>
  <si>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</si>
  <si>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</si>
  <si>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</si>
  <si>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</si>
  <si>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</si>
  <si>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</si>
  <si>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</si>
  <si>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</si>
  <si>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</si>
  <si>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</si>
  <si>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</si>
  <si>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</si>
  <si>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</si>
  <si>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</si>
  <si>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</si>
  <si>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</si>
  <si>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</si>
  <si>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</si>
  <si>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</si>
  <si>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</si>
  <si>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</si>
  <si>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</si>
  <si>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</si>
  <si>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</si>
  <si>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</si>
  <si>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</si>
  <si>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</si>
  <si>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</si>
  <si>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</si>
  <si>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</si>
  <si>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</si>
  <si>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</si>
  <si>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</si>
  <si>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</si>
  <si>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</si>
  <si>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</si>
  <si>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</si>
  <si>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</si>
  <si>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</si>
  <si>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</si>
  <si>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</si>
  <si>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</si>
  <si>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</si>
  <si>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</si>
  <si>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</si>
  <si>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</si>
  <si>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</si>
  <si>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</si>
  <si>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</si>
  <si>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</si>
  <si>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</si>
  <si>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</si>
  <si>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</si>
  <si>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</si>
  <si>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</si>
  <si>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</si>
  <si>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</si>
  <si>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</si>
  <si>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</si>
  <si>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</si>
  <si>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</si>
  <si>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</si>
  <si>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</si>
  <si>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</si>
  <si>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</si>
  <si>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</si>
  <si>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</si>
  <si>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</si>
  <si>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</si>
  <si>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</si>
  <si>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</si>
  <si>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</si>
  <si>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</si>
  <si>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</si>
  <si>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</si>
  <si>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</si>
  <si>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</si>
  <si>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</si>
  <si>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</si>
  <si>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</si>
  <si>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</si>
  <si>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</si>
  <si>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</si>
  <si>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</si>
  <si>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</si>
  <si>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</si>
  <si>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</si>
  <si>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</si>
  <si>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</si>
  <si>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</si>
  <si>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</si>
  <si>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</si>
  <si>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</si>
  <si>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</si>
  <si>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</si>
  <si>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</si>
  <si>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</si>
  <si>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</si>
  <si>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</si>
  <si>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</si>
  <si>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</si>
  <si>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</si>
  <si>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</si>
  <si>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</si>
  <si>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</si>
  <si>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</si>
  <si>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</si>
  <si>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</si>
  <si>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</si>
  <si>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</si>
  <si>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</si>
  <si>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</si>
  <si>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</si>
  <si>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</si>
  <si>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</si>
  <si>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</si>
  <si>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</si>
  <si>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</si>
  <si>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</si>
  <si>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</si>
  <si>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</si>
  <si>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</si>
  <si>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</si>
  <si>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</si>
  <si>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</si>
  <si>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</si>
  <si>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</si>
  <si>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</si>
  <si>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</si>
  <si>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</si>
  <si>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</si>
  <si>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</si>
  <si>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</si>
  <si>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</si>
  <si>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</si>
  <si>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</si>
  <si>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</si>
  <si>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</si>
  <si>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</si>
  <si>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</si>
  <si>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</si>
  <si>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</si>
  <si>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</si>
  <si>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</si>
  <si>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</si>
  <si>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</si>
  <si>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</si>
  <si>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</si>
  <si>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</si>
  <si>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</si>
  <si>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</si>
  <si>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</si>
  <si>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</si>
  <si>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</si>
  <si>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</si>
  <si>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</si>
  <si>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</si>
  <si>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</si>
  <si>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</si>
  <si>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</si>
  <si>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</si>
  <si>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</si>
  <si>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</si>
  <si>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</si>
  <si>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</si>
  <si>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</si>
  <si>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</si>
  <si>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</si>
  <si>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</si>
  <si>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</si>
  <si>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</si>
  <si>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</si>
  <si>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</si>
  <si>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</si>
  <si>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</si>
  <si>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</si>
  <si>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</si>
  <si>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</si>
  <si>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</si>
  <si>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</si>
  <si>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</si>
  <si>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</si>
  <si>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</si>
  <si>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</si>
  <si>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</si>
  <si>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</si>
  <si>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</si>
  <si>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</si>
  <si>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</si>
  <si>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</si>
  <si>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</si>
  <si>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</si>
  <si>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</si>
  <si>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</si>
  <si>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</si>
  <si>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</si>
  <si>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</si>
  <si>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</si>
  <si>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</si>
  <si>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</si>
  <si>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</si>
  <si>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</si>
  <si>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</si>
  <si>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</si>
  <si>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</si>
  <si>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</si>
  <si>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</si>
  <si>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</si>
  <si>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</si>
  <si>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</si>
  <si>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</si>
  <si>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</si>
  <si>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</si>
  <si>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</si>
  <si>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</si>
  <si>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</si>
  <si>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</si>
  <si>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</si>
  <si>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</si>
  <si>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</si>
  <si>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</si>
  <si>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</si>
  <si>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</si>
  <si>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</si>
  <si>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</si>
  <si>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</si>
  <si>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</si>
  <si>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</si>
  <si>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</si>
  <si>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</si>
  <si>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</si>
  <si>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</si>
  <si>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</si>
  <si>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</si>
  <si>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</si>
  <si>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</si>
  <si>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</si>
  <si>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</si>
  <si>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</si>
  <si>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</si>
  <si>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</si>
  <si>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</si>
  <si>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</si>
  <si>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</si>
  <si>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</si>
  <si>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</si>
  <si>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</si>
  <si>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</si>
  <si>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</si>
  <si>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</si>
  <si>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</si>
  <si>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</si>
  <si>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</si>
  <si>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</si>
  <si>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</si>
  <si>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</si>
  <si>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</si>
  <si>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</si>
  <si>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</si>
  <si>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</si>
  <si>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</si>
  <si>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</si>
  <si>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</si>
  <si>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</si>
  <si>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</si>
  <si>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</si>
  <si>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</si>
  <si>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</si>
  <si>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</si>
  <si>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</si>
  <si>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</si>
  <si>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</si>
  <si>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</si>
  <si>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</si>
  <si>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</si>
  <si>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</si>
  <si>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</si>
  <si>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</si>
  <si>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</si>
  <si>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</si>
  <si>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</si>
  <si>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</si>
  <si>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</si>
  <si>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</si>
  <si>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</si>
  <si>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</si>
  <si>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</si>
  <si>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</si>
  <si>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</si>
  <si>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</si>
  <si>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</si>
  <si>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</si>
  <si>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</si>
  <si>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</si>
  <si>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</si>
  <si>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</si>
  <si>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</si>
  <si>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</si>
  <si>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</si>
  <si>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</si>
  <si>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</si>
  <si>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</si>
  <si>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</si>
  <si>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</si>
  <si>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</si>
  <si>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</si>
  <si>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</si>
  <si>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</si>
  <si>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</si>
  <si>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</si>
  <si>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</si>
  <si>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</si>
  <si>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</si>
  <si>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</si>
  <si>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</si>
  <si>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</si>
  <si>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</si>
  <si>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</si>
  <si>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</si>
  <si>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</si>
  <si>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</si>
  <si>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</si>
  <si>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</si>
  <si>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</si>
  <si>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</si>
  <si>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</si>
  <si>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</si>
  <si>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</si>
  <si>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</si>
  <si>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</si>
  <si>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</si>
  <si>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</si>
  <si>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</si>
  <si>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</si>
  <si>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</si>
  <si>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</si>
  <si>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</si>
  <si>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</si>
  <si>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</si>
  <si>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</si>
  <si>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</si>
  <si>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</si>
  <si>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</si>
  <si>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</si>
  <si>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</si>
  <si>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</si>
  <si>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</si>
  <si>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</si>
  <si>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</si>
  <si>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</si>
  <si>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</si>
  <si>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</si>
  <si>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</si>
  <si>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</si>
  <si>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</si>
  <si>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</si>
  <si>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</si>
  <si>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</si>
  <si>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</si>
  <si>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</si>
  <si>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</si>
  <si>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</si>
  <si>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</si>
  <si>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</si>
  <si>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</si>
  <si>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</si>
  <si>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</si>
  <si>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</si>
  <si>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</si>
  <si>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</si>
  <si>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</si>
  <si>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</si>
  <si>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</si>
  <si>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</si>
  <si>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</si>
  <si>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</si>
  <si>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</si>
  <si>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</si>
  <si>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</si>
  <si>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</si>
  <si>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</si>
  <si>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</si>
  <si>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</si>
  <si>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</si>
  <si>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</si>
  <si>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</si>
  <si>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</si>
  <si>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</si>
  <si>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</si>
  <si>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</si>
  <si>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</si>
  <si>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</si>
  <si>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</si>
  <si>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</si>
  <si>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</si>
  <si>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</si>
  <si>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</si>
  <si>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</si>
  <si>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</si>
  <si>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</si>
  <si>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</si>
  <si>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</si>
  <si>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</si>
  <si>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</si>
  <si>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</si>
  <si>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</si>
  <si>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</si>
  <si>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</si>
  <si>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</si>
  <si>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</si>
  <si>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</si>
  <si>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</si>
  <si>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</si>
  <si>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</si>
  <si>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</si>
  <si>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</si>
  <si>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</si>
  <si>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</si>
  <si>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</si>
  <si>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</si>
  <si>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</si>
  <si>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</si>
  <si>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</si>
  <si>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</si>
  <si>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</si>
  <si>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</si>
  <si>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</si>
  <si>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</si>
  <si>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</si>
  <si>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</si>
  <si>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</si>
  <si>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</si>
  <si>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</si>
  <si>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</si>
  <si>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</si>
  <si>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</si>
  <si>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</si>
  <si>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</si>
  <si>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</si>
  <si>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</si>
  <si>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</si>
  <si>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</si>
  <si>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</si>
  <si>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</si>
  <si>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</si>
  <si>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</si>
  <si>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</si>
  <si>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</si>
  <si>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</si>
  <si>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</si>
  <si>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</si>
  <si>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</si>
  <si>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</si>
  <si>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</si>
  <si>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</si>
  <si>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</si>
  <si>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</si>
  <si>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</si>
  <si>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</si>
  <si>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</si>
  <si>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</si>
  <si>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</si>
  <si>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</si>
  <si>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</si>
  <si>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</si>
  <si>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</si>
  <si>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</si>
  <si>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</si>
  <si>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</si>
  <si>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</si>
  <si>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</si>
  <si>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</si>
  <si>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</si>
  <si>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</si>
  <si>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</si>
  <si>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</si>
  <si>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</si>
  <si>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</si>
  <si>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</si>
  <si>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</si>
  <si>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</si>
  <si>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</si>
  <si>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</si>
  <si>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</si>
  <si>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</si>
  <si>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</si>
  <si>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</si>
  <si>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</si>
  <si>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</si>
  <si>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</si>
  <si>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</si>
  <si>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</si>
  <si>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</si>
  <si>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</si>
  <si>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</si>
  <si>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</si>
  <si>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</si>
  <si>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</si>
  <si>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</si>
  <si>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</si>
  <si>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</si>
  <si>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</si>
  <si>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</si>
  <si>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</si>
  <si>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</si>
  <si>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</si>
  <si>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</si>
  <si>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</si>
  <si>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</si>
  <si>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</si>
  <si>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</si>
  <si>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</si>
  <si>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</si>
  <si>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</si>
  <si>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</si>
  <si>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</si>
  <si>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</si>
  <si>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</si>
  <si>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</si>
  <si>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</si>
  <si>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</si>
  <si>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</si>
  <si>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</si>
  <si>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</si>
  <si>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</si>
  <si>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</si>
  <si>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</si>
  <si>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</si>
  <si>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</si>
  <si>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</si>
  <si>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</si>
  <si>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</si>
  <si>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</si>
  <si>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</si>
  <si>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</si>
  <si>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</si>
  <si>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</si>
  <si>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</si>
  <si>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</si>
  <si>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</si>
  <si>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</si>
  <si>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</si>
  <si>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</si>
  <si>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</si>
  <si>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</si>
  <si>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</si>
  <si>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</si>
  <si>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</si>
  <si>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</si>
  <si>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</si>
  <si>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</si>
  <si>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</si>
  <si>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</si>
  <si>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</si>
  <si>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</si>
  <si>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</si>
  <si>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</si>
  <si>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</si>
  <si>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</si>
  <si>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</si>
  <si>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</si>
  <si>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</si>
  <si>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</si>
  <si>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</si>
  <si>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</si>
  <si>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</si>
  <si>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</si>
  <si>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</si>
  <si>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</si>
  <si>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</si>
  <si>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</si>
  <si>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</si>
  <si>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</si>
  <si>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</si>
  <si>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</si>
  <si>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</si>
  <si>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</si>
  <si>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</si>
  <si>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</si>
  <si>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</si>
  <si>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</si>
  <si>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</si>
  <si>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</si>
  <si>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</si>
  <si>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</si>
  <si>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</si>
  <si>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</si>
  <si>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</si>
  <si>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</si>
  <si>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</si>
  <si>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</si>
  <si>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</si>
  <si>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</si>
  <si>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</si>
  <si>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</si>
  <si>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</si>
  <si>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</si>
  <si>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</si>
  <si>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</si>
  <si>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</si>
  <si>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</si>
  <si>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</si>
  <si>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</si>
  <si>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</si>
  <si>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</si>
  <si>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</si>
  <si>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</si>
  <si>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</si>
  <si>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</si>
  <si>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</si>
  <si>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</si>
  <si>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</si>
  <si>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</si>
  <si>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</si>
  <si>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</si>
  <si>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</si>
  <si>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</si>
  <si>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</si>
  <si>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</si>
  <si>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</si>
  <si>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</si>
  <si>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</si>
  <si>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</si>
  <si>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</si>
  <si>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</si>
  <si>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</si>
  <si>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</si>
  <si>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</si>
  <si>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</si>
  <si>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</si>
  <si>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</si>
  <si>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</si>
  <si>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</si>
  <si>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</si>
  <si>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</si>
  <si>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</si>
  <si>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</si>
  <si>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</si>
  <si>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</si>
  <si>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</si>
  <si>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</si>
  <si>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</si>
  <si>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</si>
  <si>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</si>
  <si>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</si>
  <si>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</si>
  <si>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</si>
  <si>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</si>
  <si>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</si>
  <si>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</si>
  <si>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</si>
  <si>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</si>
  <si>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</si>
  <si>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</si>
  <si>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</si>
  <si>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</si>
  <si>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</si>
  <si>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</si>
  <si>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</si>
  <si>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</si>
  <si>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</si>
  <si>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</si>
  <si>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</si>
  <si>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</si>
  <si>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</si>
  <si>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</si>
  <si>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</si>
  <si>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</si>
  <si>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</si>
  <si>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</si>
  <si>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</si>
  <si>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</si>
  <si>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</si>
  <si>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</si>
  <si>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</si>
  <si>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</si>
  <si>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</si>
  <si>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</si>
  <si>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</si>
  <si>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</si>
  <si>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</si>
  <si>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</si>
  <si>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</si>
  <si>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</si>
  <si>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</si>
  <si>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</si>
  <si>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</si>
  <si>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</si>
  <si>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</si>
  <si>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</si>
  <si>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</si>
  <si>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</si>
  <si>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</si>
  <si>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</si>
  <si>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</si>
  <si>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</si>
  <si>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</si>
  <si>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</si>
  <si>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</si>
  <si>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</si>
  <si>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</si>
  <si>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</si>
  <si>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</si>
  <si>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</si>
  <si>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</si>
  <si>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</si>
  <si>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</si>
  <si>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</si>
  <si>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</si>
  <si>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</si>
  <si>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</si>
  <si>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</si>
  <si>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</si>
  <si>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</si>
  <si>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</si>
  <si>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</si>
  <si>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</si>
  <si>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</si>
  <si>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</si>
  <si>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</si>
  <si>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</si>
  <si>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</si>
  <si>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</si>
  <si>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</si>
  <si>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</si>
  <si>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</si>
  <si>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</si>
  <si>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</si>
  <si>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</si>
  <si>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</si>
  <si>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</si>
  <si>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</si>
  <si>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</si>
  <si>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</si>
  <si>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</si>
  <si>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</si>
  <si>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</si>
  <si>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</si>
  <si>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</si>
  <si>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</si>
  <si>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</si>
  <si>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</si>
  <si>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</si>
  <si>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</si>
  <si>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</si>
  <si>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</si>
  <si>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</si>
  <si>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</si>
  <si>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</si>
  <si>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</si>
  <si>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</si>
  <si>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</si>
  <si>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</si>
  <si>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</si>
  <si>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</si>
  <si>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</si>
  <si>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</si>
  <si>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</si>
  <si>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</si>
  <si>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</si>
  <si>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</si>
  <si>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</si>
  <si>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</si>
  <si>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</si>
  <si>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</si>
  <si>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</si>
  <si>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</si>
  <si>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</si>
  <si>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</si>
  <si>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</si>
  <si>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</si>
  <si>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</si>
  <si>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</si>
  <si>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</si>
  <si>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</si>
  <si>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</si>
  <si>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</si>
  <si>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</si>
  <si>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</si>
  <si>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</si>
  <si>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</si>
  <si>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</si>
  <si>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</si>
  <si>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</si>
  <si>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</si>
  <si>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</si>
  <si>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</si>
  <si>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</si>
  <si>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</si>
  <si>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</si>
  <si>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</si>
  <si>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</si>
  <si>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</si>
  <si>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</si>
  <si>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</si>
  <si>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</si>
  <si>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</si>
  <si>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</si>
  <si>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</si>
  <si>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</si>
  <si>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</si>
  <si>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</si>
  <si>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</si>
  <si>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</si>
  <si>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</si>
  <si>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</si>
  <si>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</si>
  <si>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</si>
  <si>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</si>
  <si>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</si>
  <si>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</si>
  <si>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</si>
  <si>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</si>
  <si>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</si>
  <si>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</si>
  <si>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</si>
  <si>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</si>
  <si>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</si>
  <si>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</si>
  <si>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</si>
  <si>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</si>
  <si>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</si>
  <si>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</si>
  <si>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</si>
  <si>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</si>
  <si>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</si>
  <si>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</si>
  <si>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</si>
  <si>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</si>
  <si>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</si>
  <si>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</si>
  <si>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</si>
  <si>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</si>
  <si>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</si>
  <si>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</si>
  <si>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</si>
  <si>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</si>
  <si>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</si>
  <si>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</si>
  <si>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</si>
  <si>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</si>
  <si>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</si>
  <si>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</si>
  <si>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</si>
  <si>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</si>
  <si>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</si>
  <si>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</si>
  <si>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</si>
  <si>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</si>
  <si>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</si>
  <si>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</si>
  <si>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</si>
  <si>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</si>
  <si>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</si>
  <si>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</si>
  <si>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</si>
  <si>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</si>
  <si>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</si>
  <si>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</si>
  <si>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</si>
  <si>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</si>
  <si>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</si>
  <si>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</si>
  <si>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</si>
  <si>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</si>
  <si>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</si>
  <si>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</si>
  <si>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</si>
  <si>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</si>
  <si>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</si>
  <si>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</si>
  <si>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</si>
  <si>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</si>
  <si>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</si>
  <si>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</si>
  <si>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</si>
  <si>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</si>
  <si>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</si>
  <si>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</si>
  <si>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</si>
  <si>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</si>
  <si>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</si>
  <si>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</si>
  <si>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</si>
  <si>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</si>
  <si>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</si>
  <si>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</si>
  <si>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</si>
  <si>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</si>
  <si>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</si>
  <si>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</si>
  <si>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</si>
  <si>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</si>
  <si>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</si>
  <si>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</si>
  <si>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</si>
  <si>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</si>
  <si>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</si>
  <si>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</si>
  <si>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</si>
  <si>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</si>
  <si>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</si>
  <si>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</si>
  <si>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</si>
  <si>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</si>
  <si>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</si>
  <si>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</si>
  <si>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</si>
  <si>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</si>
  <si>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</si>
  <si>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</si>
  <si>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</si>
  <si>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</si>
  <si>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</si>
  <si>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</si>
  <si>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</si>
  <si>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</si>
  <si>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</si>
  <si>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</si>
  <si>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</si>
  <si>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</si>
  <si>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</si>
  <si>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</si>
  <si>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</si>
  <si>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</si>
  <si>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</si>
  <si>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</si>
  <si>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</si>
  <si>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</si>
  <si>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</si>
  <si>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</si>
  <si>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</si>
  <si>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</si>
  <si>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</si>
  <si>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</si>
  <si>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</si>
  <si>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</si>
  <si>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</si>
  <si>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</si>
  <si>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</si>
  <si>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</si>
  <si>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</si>
  <si>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</si>
  <si>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</si>
  <si>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</si>
  <si>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</si>
  <si>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</si>
  <si>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</si>
  <si>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</si>
  <si>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</si>
  <si>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</si>
  <si>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</si>
  <si>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</si>
  <si>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</si>
  <si>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</si>
  <si>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</si>
  <si>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</si>
  <si>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</si>
  <si>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</si>
  <si>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</si>
  <si>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</si>
  <si>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</si>
  <si>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</si>
  <si>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</si>
  <si>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</si>
  <si>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</si>
  <si>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</si>
  <si>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</si>
  <si>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</si>
  <si>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</si>
  <si>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</si>
  <si>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</si>
  <si>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</si>
  <si>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</si>
  <si>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</si>
  <si>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</si>
  <si>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</si>
  <si>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</si>
  <si>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</si>
  <si>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</si>
  <si>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</si>
  <si>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</si>
  <si>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</si>
  <si>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</si>
  <si>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</si>
  <si>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</si>
  <si>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</si>
  <si>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</si>
  <si>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</si>
  <si>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</si>
  <si>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</si>
  <si>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</si>
  <si>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</si>
  <si>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</si>
  <si>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</si>
  <si>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</si>
  <si>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</si>
  <si>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</si>
  <si>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</si>
  <si>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</si>
  <si>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</si>
  <si>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</si>
  <si>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</si>
  <si>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</si>
  <si>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</si>
  <si>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</si>
  <si>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</si>
  <si>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</si>
  <si>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</si>
  <si>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</si>
  <si>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</si>
  <si>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</si>
  <si>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</si>
  <si>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</si>
  <si>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</si>
  <si>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</si>
  <si>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</si>
  <si>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</si>
  <si>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</si>
  <si>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</si>
  <si>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</si>
  <si>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</si>
  <si>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</si>
  <si>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</si>
  <si>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</si>
  <si>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</si>
  <si>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</si>
  <si>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</si>
  <si>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</si>
  <si>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</si>
  <si>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</si>
  <si>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</si>
  <si>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</si>
  <si>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</si>
  <si>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</si>
  <si>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</si>
  <si>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</si>
  <si>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</si>
  <si>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</si>
  <si>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</si>
  <si>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</si>
  <si>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</si>
  <si>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</si>
  <si>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</si>
  <si>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</si>
  <si>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</si>
  <si>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</si>
  <si>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</si>
  <si>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</si>
  <si>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</si>
  <si>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</si>
  <si>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</si>
  <si>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</si>
  <si>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</si>
  <si>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</si>
  <si>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</si>
  <si>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</si>
  <si>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</si>
  <si>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</si>
  <si>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</si>
  <si>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</si>
  <si>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</si>
  <si>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</si>
  <si>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</si>
  <si>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</si>
  <si>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</si>
  <si>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</si>
  <si>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</si>
  <si>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</si>
  <si>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</si>
  <si>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</si>
  <si>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</si>
  <si>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</si>
  <si>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</si>
  <si>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</si>
  <si>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</si>
  <si>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</si>
  <si>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</si>
  <si>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</si>
  <si>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</si>
  <si>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</si>
  <si>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</si>
  <si>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</si>
  <si>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</si>
  <si>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</si>
  <si>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</si>
  <si>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</si>
  <si>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</si>
  <si>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</si>
  <si>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</si>
  <si>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</si>
  <si>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</si>
  <si>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</si>
  <si>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</si>
  <si>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</si>
  <si>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</si>
  <si>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</si>
  <si>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</si>
  <si>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</si>
  <si>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</si>
  <si>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</si>
  <si>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</si>
  <si>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</si>
  <si>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</si>
  <si>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</si>
  <si>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</si>
  <si>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</si>
  <si>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</si>
  <si>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</si>
  <si>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</si>
  <si>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</si>
  <si>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</si>
  <si>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</si>
  <si>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</si>
  <si>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</si>
  <si>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</si>
  <si>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</si>
  <si>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</si>
  <si>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</si>
  <si>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</si>
  <si>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</si>
  <si>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</si>
  <si>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</si>
  <si>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</si>
  <si>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</si>
  <si>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</si>
  <si>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</si>
  <si>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</si>
  <si>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</si>
  <si>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</si>
  <si>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</si>
  <si>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</si>
  <si>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</si>
  <si>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</si>
  <si>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</si>
  <si>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</si>
  <si>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</si>
  <si>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</si>
  <si>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</si>
  <si>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</si>
  <si>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</si>
  <si>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</si>
  <si>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</si>
  <si>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</si>
  <si>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</si>
  <si>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</si>
  <si>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</si>
  <si>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</si>
  <si>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</si>
  <si>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</si>
  <si>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</si>
  <si>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</si>
  <si>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</si>
  <si>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</si>
  <si>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</si>
  <si>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</si>
  <si>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</si>
  <si>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</si>
  <si>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</si>
  <si>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</si>
  <si>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</si>
  <si>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</si>
  <si>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</si>
  <si>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</si>
  <si>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</si>
  <si>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</si>
  <si>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</si>
  <si>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</si>
  <si>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</si>
  <si>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</si>
  <si>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</si>
  <si>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</si>
  <si>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</si>
  <si>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</si>
  <si>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</si>
  <si>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</si>
  <si>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</si>
  <si>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</si>
  <si>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</si>
  <si>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</si>
  <si>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</si>
  <si>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</si>
  <si>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</si>
  <si>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</si>
  <si>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</si>
  <si>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</si>
  <si>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</si>
  <si>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</si>
  <si>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</si>
  <si>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</si>
  <si>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</si>
  <si>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</si>
  <si>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</si>
  <si>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</si>
  <si>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</si>
  <si>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</si>
  <si>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</si>
  <si>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</si>
  <si>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</si>
  <si>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</si>
  <si>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</si>
  <si>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</si>
  <si>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</si>
  <si>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</si>
  <si>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</si>
  <si>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</si>
  <si>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</si>
  <si>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</si>
  <si>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</si>
  <si>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</si>
  <si>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</si>
  <si>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</si>
  <si>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</si>
  <si>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</si>
  <si>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</si>
  <si>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</si>
  <si>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</si>
  <si>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</si>
  <si>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</si>
  <si>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</si>
  <si>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</si>
  <si>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</si>
  <si>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</si>
  <si>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</si>
  <si>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</si>
  <si>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</si>
  <si>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</si>
  <si>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</si>
  <si>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</si>
  <si>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</si>
  <si>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</si>
  <si>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</si>
  <si>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</si>
  <si>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</si>
  <si>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</si>
  <si>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</si>
  <si>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</si>
  <si>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</si>
  <si>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</si>
  <si>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</si>
  <si>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</si>
  <si>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</si>
  <si>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</si>
  <si>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</si>
  <si>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</si>
  <si>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</si>
  <si>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</si>
  <si>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</si>
  <si>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</si>
  <si>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</si>
  <si>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</si>
  <si>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</si>
  <si>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</si>
  <si>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</si>
  <si>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</si>
  <si>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</si>
  <si>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</si>
  <si>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</si>
  <si>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</si>
  <si>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</si>
  <si>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</si>
  <si>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</si>
  <si>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</si>
  <si>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</si>
  <si>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</si>
  <si>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</si>
  <si>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</si>
  <si>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</si>
  <si>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</si>
  <si>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</si>
  <si>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</si>
  <si>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</si>
  <si>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</si>
  <si>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</si>
  <si>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</si>
  <si>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</si>
  <si>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</si>
  <si>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</si>
  <si>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</si>
  <si>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</si>
  <si>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</si>
  <si>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</si>
  <si>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</si>
  <si>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</si>
  <si>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</si>
  <si>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</si>
  <si>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</si>
  <si>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</si>
  <si>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</si>
  <si>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</si>
  <si>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</si>
  <si>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</si>
  <si>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</si>
  <si>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</si>
  <si>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</si>
  <si>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</si>
  <si>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</si>
  <si>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</si>
  <si>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</si>
  <si>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</si>
  <si>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</si>
  <si>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</si>
  <si>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</si>
  <si>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</si>
  <si>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</si>
  <si>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</si>
  <si>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</si>
  <si>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</si>
  <si>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</si>
  <si>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</si>
  <si>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</si>
  <si>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</si>
  <si>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</si>
  <si>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</si>
  <si>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</si>
  <si>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</si>
  <si>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</si>
  <si>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</si>
  <si>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</si>
  <si>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</si>
  <si>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</si>
  <si>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</si>
  <si>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</si>
  <si>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</si>
  <si>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</si>
  <si>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</si>
  <si>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</si>
  <si>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</si>
  <si>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</si>
  <si>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</si>
  <si>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</si>
  <si>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</si>
  <si>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</si>
  <si>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</si>
  <si>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</si>
  <si>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</si>
  <si>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</si>
  <si>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</si>
  <si>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</si>
  <si>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</si>
  <si>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</si>
  <si>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</si>
  <si>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</si>
  <si>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</si>
  <si>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</si>
  <si>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</si>
  <si>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</si>
  <si>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</si>
  <si>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</si>
  <si>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</si>
  <si>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</si>
  <si>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</si>
  <si>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</si>
  <si>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</si>
  <si>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</si>
  <si>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</si>
  <si>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</si>
  <si>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</si>
  <si>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</si>
  <si>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</si>
  <si>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</si>
  <si>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</si>
  <si>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</si>
  <si>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</si>
  <si>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</si>
  <si>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</si>
  <si>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</si>
  <si>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</si>
  <si>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</si>
  <si>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</si>
  <si>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</si>
  <si>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</si>
  <si>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</si>
  <si>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</si>
  <si>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</si>
  <si>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</si>
  <si>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</si>
  <si>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</si>
  <si>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</si>
  <si>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</si>
  <si>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</si>
  <si>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</si>
  <si>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</si>
  <si>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</si>
  <si>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</si>
  <si>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</si>
  <si>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</si>
  <si>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</si>
  <si>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</si>
  <si>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</si>
  <si>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</si>
  <si>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</si>
  <si>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</si>
  <si>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</si>
  <si>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</si>
  <si>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</si>
  <si>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</si>
  <si>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</si>
  <si>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</si>
  <si>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</si>
  <si>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</si>
  <si>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</si>
  <si>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</si>
  <si>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</si>
  <si>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</si>
  <si>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</si>
  <si>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</si>
  <si>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</si>
  <si>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</si>
  <si>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</si>
  <si>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</si>
  <si>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</si>
  <si>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</si>
  <si>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</si>
  <si>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</si>
  <si>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</si>
  <si>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</si>
  <si>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欧红伟</t>
  </si>
  <si>
    <t>崔锴</t>
  </si>
  <si>
    <t>北京恒星意达科技有限公司</t>
    <phoneticPr fontId="6" type="noConversion"/>
  </si>
  <si>
    <t>北京交通银行通州支行</t>
    <phoneticPr fontId="6" type="noConversion"/>
  </si>
  <si>
    <t>抵押</t>
  </si>
  <si>
    <t>房地产抵押价值</t>
  </si>
  <si>
    <t>北京市</t>
  </si>
  <si>
    <t>企业</t>
  </si>
  <si>
    <t>出让</t>
  </si>
  <si>
    <t>工业用地</t>
  </si>
  <si>
    <t>工业用地</t>
    <phoneticPr fontId="6" type="noConversion"/>
  </si>
  <si>
    <t>《建设工程规划许可证》[2016规（大）建字0039号、2018规（大）建字0002号]及附件、附图</t>
  </si>
  <si>
    <t>《不动产权证书》[京（2015）大兴区不动产权第0000019号]及《关于北京恒星意达科技有限公司北京生物医药企业港项目抵押用地面积分摊计算说明》</t>
  </si>
  <si>
    <t>工业项目</t>
  </si>
  <si>
    <t>无</t>
  </si>
  <si>
    <t>否</t>
  </si>
  <si>
    <t>在建</t>
  </si>
  <si>
    <t>正常</t>
  </si>
  <si>
    <t>通路</t>
  </si>
  <si>
    <t>通电</t>
  </si>
  <si>
    <t>通讯</t>
  </si>
  <si>
    <t>通上水</t>
  </si>
  <si>
    <t>通下水</t>
  </si>
  <si>
    <t>通热</t>
  </si>
  <si>
    <t>Ⅷ-生物医药基地</t>
  </si>
  <si>
    <t>是</t>
  </si>
  <si>
    <t>5-A</t>
  </si>
  <si>
    <t>5-B</t>
  </si>
  <si>
    <t>6-A</t>
  </si>
  <si>
    <t>6-B</t>
  </si>
  <si>
    <t>10-A</t>
  </si>
  <si>
    <t>10-B</t>
  </si>
  <si>
    <t>11-A</t>
  </si>
  <si>
    <t>11-B</t>
  </si>
  <si>
    <t>12-A</t>
  </si>
  <si>
    <t>12-B</t>
  </si>
  <si>
    <t>14-A</t>
  </si>
  <si>
    <t>14-B</t>
  </si>
  <si>
    <t>15-A</t>
  </si>
  <si>
    <t>15-B</t>
  </si>
  <si>
    <t>地上</t>
  </si>
  <si>
    <t>办公楼</t>
  </si>
  <si>
    <t>一期</t>
  </si>
  <si>
    <t>一期</t>
    <phoneticPr fontId="7" type="noConversion"/>
  </si>
  <si>
    <t>正常</t>
    <phoneticPr fontId="6" type="noConversion"/>
  </si>
  <si>
    <t>否</t>
    <phoneticPr fontId="3" type="noConversion"/>
  </si>
  <si>
    <t>未包含在土地购买价格中</t>
  </si>
  <si>
    <t>全部缴纳</t>
  </si>
  <si>
    <t>已包含在土地取得成本中</t>
  </si>
  <si>
    <t>大兴区中关村科技园区大兴生物医药基地北京生物医药企业港项目工业用房</t>
    <phoneticPr fontId="6" type="noConversion"/>
  </si>
  <si>
    <t>生物医药企业港</t>
  </si>
  <si>
    <t>大兴生物医药基地</t>
  </si>
  <si>
    <t>估价对象位于大兴生物医药基地，周边1公里范围内有味多美食品技术开发公司、北京以岭药业等项目，产业集聚程度较好。</t>
  </si>
  <si>
    <t>周边1公里范围内有兴11路、兴15路、兴16路等公交线路及地铁大兴线经过，交通便捷度一般。</t>
  </si>
  <si>
    <t>周边无银行、超市、餐饮等配套，公共服务设施较差</t>
  </si>
  <si>
    <t>七通</t>
  </si>
  <si>
    <t>区域内污染物排放及治理状况一般，周边无危险设施及污染源，环境状况较好。</t>
  </si>
  <si>
    <t>工业</t>
    <phoneticPr fontId="33" type="noConversion"/>
  </si>
  <si>
    <t>单面临街</t>
  </si>
  <si>
    <t>较差</t>
  </si>
  <si>
    <t>较好</t>
  </si>
  <si>
    <t>一般</t>
  </si>
  <si>
    <t>双面临街</t>
  </si>
  <si>
    <t>高速公路</t>
  </si>
  <si>
    <t>城市快速路</t>
  </si>
  <si>
    <t>城市主干道</t>
  </si>
  <si>
    <t>城市次干道</t>
  </si>
  <si>
    <t>城市支路</t>
  </si>
  <si>
    <t>市政道路-未命名</t>
  </si>
  <si>
    <t>规则</t>
  </si>
  <si>
    <t>较规则</t>
  </si>
  <si>
    <t>较不规则</t>
  </si>
  <si>
    <t>不规则</t>
  </si>
  <si>
    <t>六通</t>
  </si>
  <si>
    <t>五通</t>
  </si>
  <si>
    <t>四通</t>
  </si>
  <si>
    <t>三通</t>
  </si>
  <si>
    <t>好</t>
  </si>
  <si>
    <t>差</t>
  </si>
  <si>
    <t>零星有其他宗地，基本不影响本宗地</t>
    <phoneticPr fontId="25" type="noConversion"/>
  </si>
  <si>
    <t>支路-华佗路</t>
  </si>
  <si>
    <t>8级</t>
  </si>
  <si>
    <t>地块名称</t>
  </si>
  <si>
    <t>城市</t>
  </si>
  <si>
    <t>用地性质</t>
  </si>
  <si>
    <t>区县</t>
  </si>
  <si>
    <t>土地位置</t>
  </si>
  <si>
    <t>出让方式</t>
  </si>
  <si>
    <t>建设用地面积(㎡)</t>
  </si>
  <si>
    <t>规划建筑面积(㎡)</t>
  </si>
  <si>
    <t>容积率</t>
  </si>
  <si>
    <t>开发进度</t>
  </si>
  <si>
    <t>公告时间</t>
  </si>
  <si>
    <t>截止日期</t>
  </si>
  <si>
    <t>成交日期</t>
  </si>
  <si>
    <t>交易状态</t>
  </si>
  <si>
    <t>受让单位</t>
  </si>
  <si>
    <t>成交价(万元)</t>
  </si>
  <si>
    <t>出让年限</t>
  </si>
  <si>
    <t>北京经济技术开发区路东区B10M1地块</t>
  </si>
  <si>
    <t>大兴区</t>
  </si>
  <si>
    <t>挂牌</t>
  </si>
  <si>
    <t>1-1.5</t>
  </si>
  <si>
    <t>开工中</t>
  </si>
  <si>
    <t>2016-09-13</t>
  </si>
  <si>
    <t>2016-10-24</t>
  </si>
  <si>
    <t>已成交</t>
  </si>
  <si>
    <t>北京屹唐集成电路科技有限公司</t>
  </si>
  <si>
    <t>50年</t>
  </si>
  <si>
    <t>北京经济技术开发区河西区X52M1地块</t>
  </si>
  <si>
    <t>≤2</t>
  </si>
  <si>
    <t>2016-08-12</t>
  </si>
  <si>
    <t>2016-09-18</t>
  </si>
  <si>
    <t>中国机动车辆安全鉴定检测中心</t>
  </si>
  <si>
    <t>北京经济技术开发区77M1-a地块</t>
  </si>
  <si>
    <t>≤1.5</t>
  </si>
  <si>
    <t>2016-05-10</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</si>
  <si>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</si>
  <si>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</si>
  <si>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</si>
  <si>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</si>
  <si>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</si>
  <si>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</si>
  <si>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</si>
  <si>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</si>
  <si>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北京经济技术开发区河西区X18-1M2地块</t>
  </si>
  <si>
    <t>2016-01-05</t>
  </si>
  <si>
    <t>2016-02-06</t>
  </si>
  <si>
    <t>阿尔特置业(北京)有限公司</t>
  </si>
  <si>
    <t>北京经济技术开发区路南区N13M1地块</t>
  </si>
  <si>
    <t>≤1.2</t>
  </si>
  <si>
    <t>已完工</t>
  </si>
  <si>
    <t>2015-11-20</t>
  </si>
  <si>
    <t>2015-12-24</t>
  </si>
  <si>
    <t>北京奔驰汽车有限公司</t>
  </si>
  <si>
    <t>中关村科技园区大兴生物医药产业基地0501-57-2地块</t>
  </si>
  <si>
    <t>中关村科技园区大兴生物医药产业基地</t>
  </si>
  <si>
    <t>≤1.4</t>
  </si>
  <si>
    <t>2015-08-04</t>
  </si>
  <si>
    <t>2015-09-30</t>
  </si>
  <si>
    <t>北京京孚徵慈工贸有限公司</t>
  </si>
  <si>
    <t>中关村科技园区大兴生物医药产业基地DX00-0501-6001地块</t>
  </si>
  <si>
    <t>2015-09-18</t>
  </si>
  <si>
    <t>北京东旭宏达科技有限公司</t>
  </si>
  <si>
    <t>北京经济技术开发区路东区C11M-2地块</t>
  </si>
  <si>
    <t>2015-08-12</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</si>
  <si>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</si>
  <si>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</si>
  <si>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</si>
  <si>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</si>
  <si>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</si>
  <si>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</si>
  <si>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</si>
  <si>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</si>
  <si>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</si>
  <si>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</si>
  <si>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</si>
  <si>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</si>
  <si>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</si>
  <si>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</si>
  <si>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多面临街</t>
  </si>
  <si>
    <t>单位面积地价</t>
  </si>
  <si>
    <r>
      <rPr>
        <sz val="10"/>
        <rFont val="宋体"/>
        <family val="3"/>
        <charset val="134"/>
      </rPr>
      <t>成交楼面价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143" type="noConversion"/>
  </si>
  <si>
    <t>成交地面价(元/㎡)</t>
    <phoneticPr fontId="143" type="noConversion"/>
  </si>
  <si>
    <r>
      <rPr>
        <b/>
        <sz val="11"/>
        <rFont val="宋体"/>
        <family val="3"/>
        <charset val="134"/>
      </rPr>
      <t>估价对象</t>
    </r>
    <r>
      <rPr>
        <b/>
        <sz val="11"/>
        <color theme="9" tint="-0.249977111117893"/>
        <rFont val="宋体"/>
        <family val="3"/>
        <charset val="134"/>
      </rPr>
      <t>工业用房的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</si>
  <si>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七通一平</t>
  </si>
  <si>
    <t>燃气</t>
  </si>
  <si>
    <t>不临58条商业街</t>
  </si>
  <si>
    <t>估价对象容积率</t>
  </si>
  <si>
    <t>容积率修正</t>
  </si>
  <si>
    <t>已全部缴纳</t>
  </si>
  <si>
    <t>在建（套用方法）</t>
  </si>
  <si>
    <t>按租金收入计税</t>
  </si>
  <si>
    <t>押一</t>
  </si>
  <si>
    <t>收益法</t>
  </si>
  <si>
    <t>钢混</t>
  </si>
  <si>
    <t>非生产用房</t>
  </si>
  <si>
    <r>
      <t>45.24</t>
    </r>
    <r>
      <rPr>
        <sz val="12"/>
        <color theme="9" tint="-0.249977111117893"/>
        <rFont val="宋体"/>
        <family val="3"/>
        <charset val="134"/>
      </rPr>
      <t>年</t>
    </r>
    <phoneticPr fontId="6" type="noConversion"/>
  </si>
  <si>
    <t>《不动产权证书》</t>
  </si>
  <si>
    <t>项目全部</t>
  </si>
  <si>
    <t>成本法</t>
  </si>
  <si>
    <t>假设开发法</t>
  </si>
  <si>
    <t>出让国有建设用地使用权价值</t>
  </si>
  <si>
    <t>分摊土地面积</t>
  </si>
  <si>
    <t>规划建筑面积</t>
  </si>
  <si>
    <t>2018-1-0818-F01DYGJ1</t>
    <phoneticPr fontId="6" type="noConversion"/>
  </si>
  <si>
    <t>成本比率</t>
  </si>
  <si>
    <t>增加</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</si>
</sst>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6" fillId="0" borderId="0" xfId="17"/>
    <xf numFmtId="2" fontId="56" fillId="0" borderId="0" xfId="17" applyNumberFormat="1" applyAlignment="1">
      <alignment horizontal="left"/>
    </xf>
    <xf numFmtId="0" fontId="56" fillId="5" borderId="0" xfId="17" applyFill="1"/>
    <xf numFmtId="2" fontId="56" fillId="5" borderId="0" xfId="17" applyNumberFormat="1" applyFill="1" applyAlignment="1">
      <alignment horizontal="left"/>
    </xf>
    <xf numFmtId="0" fontId="56" fillId="9" borderId="0" xfId="17" applyFill="1"/>
    <xf numFmtId="2" fontId="56" fillId="9" borderId="0" xfId="17" applyNumberFormat="1" applyFill="1" applyAlignment="1">
      <alignment horizontal="left"/>
    </xf>
    <xf numFmtId="0" fontId="19" fillId="0" borderId="0" xfId="17" applyFont="1"/>
    <xf numFmtId="1" fontId="73" fillId="3" borderId="20" xfId="0" applyNumberFormat="1" applyFont="1" applyFill="1" applyBorder="1" applyAlignment="1" applyProtection="1">
      <alignment vertical="center" wrapText="1"/>
      <protection locked="0"/>
    </xf>
    <xf numFmtId="1" fontId="73" fillId="3" borderId="51" xfId="0" applyNumberFormat="1" applyFont="1" applyFill="1" applyBorder="1" applyAlignment="1" applyProtection="1">
      <alignment vertical="center" wrapText="1"/>
      <protection locked="0"/>
    </xf>
    <xf numFmtId="1" fontId="56" fillId="0" borderId="0" xfId="17" applyNumberForma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78" fillId="0" borderId="37" xfId="0"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47" fillId="17" borderId="1" xfId="1" applyNumberFormat="1" applyFont="1" applyFill="1" applyBorder="1" applyAlignment="1" applyProtection="1">
      <alignment horizontal="center" vertical="center"/>
      <protection locked="0"/>
    </xf>
    <xf numFmtId="0" fontId="120" fillId="17" borderId="17" xfId="0" applyFont="1" applyFill="1" applyBorder="1" applyAlignment="1" applyProtection="1">
      <alignment horizontal="center" vertical="center" wrapText="1"/>
      <protection locked="0"/>
    </xf>
    <xf numFmtId="0" fontId="120" fillId="17" borderId="9" xfId="0" applyFont="1" applyFill="1" applyBorder="1" applyAlignment="1" applyProtection="1">
      <alignment horizontal="right" vertical="center" wrapText="1"/>
      <protection locked="0"/>
    </xf>
    <xf numFmtId="0" fontId="120" fillId="17" borderId="1" xfId="0" applyFont="1" applyFill="1" applyBorder="1" applyAlignment="1" applyProtection="1">
      <alignment horizontal="center" vertical="center" wrapText="1"/>
      <protection locked="0"/>
    </xf>
    <xf numFmtId="187" fontId="115" fillId="17" borderId="84" xfId="0" applyNumberFormat="1" applyFont="1" applyFill="1" applyBorder="1" applyAlignment="1" applyProtection="1">
      <alignment horizontal="center" vertical="center" wrapText="1"/>
    </xf>
    <xf numFmtId="0" fontId="115" fillId="17" borderId="13" xfId="0" applyFont="1" applyFill="1" applyBorder="1" applyAlignment="1" applyProtection="1">
      <alignment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5745;&#31639;&#34920;-&#22823;&#20852;&#29983;&#29289;&#21307;&#33647;&#22522;&#22320;&#24658;&#26143;&#24847;&#36798;-&#20108;&#26399;.-&#29579;&#32043;&#29020;20181127-1410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土地案例"/>
      <sheetName val="土地比较法-工业"/>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47619.73</v>
          </cell>
          <cell r="C118">
            <v>30128.42</v>
          </cell>
          <cell r="H118">
            <v>17004</v>
          </cell>
        </row>
        <row r="122">
          <cell r="D122">
            <v>17004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北京市大兴区中关村科技园区大兴生物医药基地北京生物医药企业港项目工业用房出让国有建设用地使用权及在建建筑物房地产抵押价值预评估</v>
      </c>
    </row>
    <row r="3" spans="1:2" s="1596" customFormat="1">
      <c r="A3" s="1594" t="s">
        <v>1221</v>
      </c>
      <c r="B3" s="1595" t="str">
        <f>'预评函-封皮'!B40</f>
        <v>北京恒星意达科技有限公司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康正预评字2018-1-0818-F01DYGJ1号</v>
      </c>
    </row>
    <row r="6" spans="1:2" s="1593" customFormat="1" ht="15" thickTop="1">
      <c r="A6" s="1591" t="s">
        <v>1224</v>
      </c>
      <c r="B6" s="1592" t="str">
        <f>'预评函-1'!A4</f>
        <v>受贵公司委托，我公司对北京市大兴区中关村科技园区大兴生物医药基地北京生物医药企业港项目工业用房出让国有建设用地使用权及在建建筑物房地产抵押价值进行了预评估。</v>
      </c>
    </row>
    <row r="7" spans="1:2" s="1596" customFormat="1">
      <c r="A7" s="1594" t="s">
        <v>1264</v>
      </c>
      <c r="B7" s="1595" t="str">
        <f>'预评函-1'!A7</f>
        <v>估价对象为北京市大兴区中关村科技园区大兴生物医药基地北京生物医药企业港项目工业用房出让国有建设用地使用权及在建建筑物房地产，为所有。根据《不动产权证书》[京（2015）大兴区不动产权第0000019号]及《关于北京恒星意达科技有限公司北京生物医药企业港项目抵押用地面积分摊计算说明》，估价对象（分摊）出让国有建设用地使用权面积为23303.32平方米，建筑面积为36832.27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大兴区中关村科技园区大兴生物医药基地北京生物医药企业港项目工业用房出让国有建设用地使用权及在建建筑物房地产,为开发建设的工业项目，该项目尚在开发建设中。根据《不动产权证书》[京（2015）大兴区不动产权第0000019号]及《关于北京恒星意达科技有限公司北京生物医药企业港项目抵押用地面积分摊计算说明》，估价对象（分摊）出让国有建设用地使用权面积为23303.32平方米，规划建筑面积为36832.27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为估价委托人在向北京交通银行通州支行办理贷款手续过程中，确定房地产抵押贷款额度提供参考依据而评估房地产抵押价值。</v>
      </c>
    </row>
    <row r="12" spans="1:2" s="1596" customFormat="1">
      <c r="A12" s="1594" t="s">
        <v>1226</v>
      </c>
      <c r="B12" s="1595" t="str">
        <f>'预评函-1'!A15</f>
        <v>2018年11月26日（评估专业人员实地查勘之日）</v>
      </c>
    </row>
    <row r="13" spans="1:2" s="1596" customFormat="1">
      <c r="A13" s="1594" t="s">
        <v>1227</v>
      </c>
      <c r="B13" s="1595" t="str">
        <f>'预评函-1'!A18</f>
        <v>本次估价的“房地产价值”是指在正常市场情况下，在价值时点2018年11月26日，估价对象规划用途为工业用地，土地取得方式为出让，出让国有建设用地使用权剩余土地使用年限为45.24年，假定未设立法定优先受偿款下的房地产市场价值。</v>
      </c>
    </row>
    <row r="14" spans="1:2" s="1596" customFormat="1">
      <c r="A14" s="1594" t="s">
        <v>1228</v>
      </c>
      <c r="B14" s="1595" t="str">
        <f>'预评函-1'!A19</f>
        <v>其中，“出让国有建设用地使用权价值”是指估价对象用途为工业用地，实际开发程度为宗地红线外“六通”（即通路、通电、通讯、通上水、通下水、通热）、红线内场地平整条件下，剩余土地使用年限为45.24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18218</v>
      </c>
    </row>
    <row r="21" spans="1:2" s="1596" customFormat="1">
      <c r="A21" s="1594" t="s">
        <v>1235</v>
      </c>
      <c r="B21" s="1595">
        <f ca="1">'预评函-2'!D7</f>
        <v>4946</v>
      </c>
    </row>
    <row r="22" spans="1:2" s="1596" customFormat="1">
      <c r="A22" s="1594" t="s">
        <v>1236</v>
      </c>
      <c r="B22" s="1595" t="str">
        <f ca="1">'预评函-2'!D6</f>
        <v>壹亿捌仟贰佰壹拾捌万元整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18218</v>
      </c>
    </row>
    <row r="31" spans="1:2" s="1596" customFormat="1">
      <c r="A31" s="1594" t="s">
        <v>1274</v>
      </c>
      <c r="B31" s="1595">
        <f ca="1">'预评函-2'!D15</f>
        <v>4946</v>
      </c>
    </row>
    <row r="32" spans="1:2" s="1596" customFormat="1">
      <c r="A32" s="1594" t="s">
        <v>1241</v>
      </c>
      <c r="B32" s="1595" t="str">
        <f ca="1">'预评函-2'!D14</f>
        <v>壹亿捌仟贰佰壹拾捌万元整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北京市大兴区中关村科技园区大兴生物医药基地北京生物医药企业港项目工业用房出让国有建设用地使用权及在建建筑物房地产</v>
      </c>
    </row>
    <row r="42" spans="1:2" s="1596" customFormat="1">
      <c r="A42" s="1594" t="s">
        <v>1288</v>
      </c>
      <c r="B42" s="1595" t="str">
        <f>'预评函-3'!B2</f>
        <v>建筑面积</v>
      </c>
    </row>
    <row r="43" spans="1:2" s="1596" customFormat="1">
      <c r="A43" s="1594" t="s">
        <v>1289</v>
      </c>
      <c r="B43" s="1595">
        <f>'预评函-3'!B4</f>
        <v>36832.270000000004</v>
      </c>
    </row>
    <row r="44" spans="1:2" s="1596" customFormat="1">
      <c r="A44" s="1594" t="s">
        <v>1273</v>
      </c>
      <c r="B44" s="1595" t="str">
        <f>'预评函-3'!C2</f>
        <v>(分摊)土地面积</v>
      </c>
    </row>
    <row r="45" spans="1:2" s="1596" customFormat="1">
      <c r="A45" s="1594" t="s">
        <v>1245</v>
      </c>
      <c r="B45" s="1595">
        <f>'预评函-3'!C4</f>
        <v>23303.32</v>
      </c>
    </row>
    <row r="46" spans="1:2" s="1596" customFormat="1">
      <c r="A46" s="1594" t="s">
        <v>1271</v>
      </c>
      <c r="B46" s="1595" t="str">
        <f>'预评函-3'!D2</f>
        <v>出让国有建设用地使用权价值</v>
      </c>
    </row>
    <row r="47" spans="1:2" s="1596" customFormat="1">
      <c r="A47" s="1594" t="s">
        <v>1246</v>
      </c>
      <c r="B47" s="1595">
        <f ca="1">'预评函-3'!D4</f>
        <v>6012</v>
      </c>
    </row>
    <row r="48" spans="1:2" s="1596" customFormat="1">
      <c r="A48" s="1594" t="s">
        <v>1247</v>
      </c>
      <c r="B48" s="1595">
        <f ca="1">'预评函-3'!E4</f>
        <v>1632</v>
      </c>
    </row>
    <row r="49" spans="1:2" s="1596" customFormat="1">
      <c r="A49" s="1594" t="s">
        <v>1248</v>
      </c>
      <c r="B49" s="1595" t="str">
        <f ca="1">'预评函-3'!D5</f>
        <v>陆仟零壹拾贰万元整</v>
      </c>
    </row>
    <row r="50" spans="1:2" s="1596" customFormat="1">
      <c r="A50" s="1594" t="s">
        <v>1272</v>
      </c>
      <c r="B50" s="1595" t="str">
        <f>'预评函-3'!F2</f>
        <v>在建建筑物价值</v>
      </c>
    </row>
    <row r="51" spans="1:2" s="1596" customFormat="1">
      <c r="A51" s="1594" t="s">
        <v>1249</v>
      </c>
      <c r="B51" s="1595">
        <f ca="1">'预评函-3'!F4</f>
        <v>12206</v>
      </c>
    </row>
    <row r="52" spans="1:2" s="1596" customFormat="1">
      <c r="A52" s="1594" t="s">
        <v>1250</v>
      </c>
      <c r="B52" s="1595">
        <f ca="1">'预评函-3'!G4</f>
        <v>3314</v>
      </c>
    </row>
    <row r="53" spans="1:2" s="1596" customFormat="1">
      <c r="A53" s="1594" t="s">
        <v>1278</v>
      </c>
      <c r="B53" s="1595" t="str">
        <f ca="1">'预评函-3'!F5</f>
        <v>壹亿贰仟贰佰零陆万元整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（1）根据估价对象《不动产权证书》原件、，截至价值时点，估价对象已设定抵押。上述抵押权设定日期为2017年3月3日，权利人为，权利范围为，权利价值为。</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为估价委托人在向北京交通银行通州支行办理贷款手续过程中，确定房地产抵押贷款额度提供参考依据而评估房地产抵押价值。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恒星意达科技有限公司拟使用北京市大兴区中关村科技园区大兴生物医药基地北京生物医药企业港项目工业用房出让国有建设用地使用权及在建建筑物房地产作为抵押担保物，向北京交通银行通州支行办理贷款手续。北京交通银行通州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26日，估价对象规划用途为工业用地土地取得方式为出让，出让国有建设用地使用权剩余土地使用年限为XX年(多用途剩余年限尾数不同时，可只体现小数点后一位)，假定未设立法定优先受偿款下的房地产市场价值。</v>
      </c>
    </row>
    <row r="54" spans="1:4">
      <c r="A54" s="3003"/>
      <c r="B54" s="2025" t="s">
        <v>864</v>
      </c>
      <c r="C54" s="2022" t="s">
        <v>1281</v>
      </c>
    </row>
    <row r="55" spans="1:4">
      <c r="A55" s="3003"/>
      <c r="B55" s="2025" t="s">
        <v>865</v>
      </c>
      <c r="C55" s="2022" t="s">
        <v>1282</v>
      </c>
    </row>
    <row r="56" spans="1:4">
      <c r="A56" s="3003"/>
      <c r="B56" s="2025" t="s">
        <v>866</v>
      </c>
      <c r="C56" s="2022" t="s">
        <v>1286</v>
      </c>
    </row>
    <row r="57" spans="1:4">
      <c r="A57" s="300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35" customWidth="1"/>
    <col min="2" max="2" width="11.25" style="2035" customWidth="1"/>
    <col min="3" max="3" width="11.5" style="2035" customWidth="1"/>
    <col min="4" max="4" width="11.625" style="2035" customWidth="1"/>
    <col min="5"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1776</v>
      </c>
      <c r="B1" s="3012" t="str">
        <f>IF(B10="北京市","北京市",C10)&amp;F10&amp;IF(结果表!G1="在建","出让国有建设用地使用权及在建建筑物",IF(结果表!G1="土地","出让国有建设用地使用权",))&amp;B9&amp;"预评估"</f>
        <v>北京市大兴区中关村科技园区大兴生物医药基地北京生物医药企业港项目工业用房出让国有建设用地使用权及在建建筑物房地产抵押价值预评估</v>
      </c>
      <c r="C1" s="3013"/>
      <c r="D1" s="3013"/>
      <c r="E1" s="3013"/>
      <c r="F1" s="3013"/>
      <c r="G1" s="3013"/>
      <c r="H1" s="3013"/>
      <c r="I1" s="301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北京市大兴区中关村科技园区大兴生物医药基地北京生物医药企业港项目工业用房出让国有建设用地使用权及在建建筑物房地产抵押价值</v>
      </c>
    </row>
    <row r="2" spans="1:19" ht="18" customHeight="1">
      <c r="A2" s="2029" t="s">
        <v>1777</v>
      </c>
      <c r="B2" s="1042" t="s">
        <v>3218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北京市大兴区中关村科技园区大兴生物医药基地北京生物医药企业港项目工业用房出让国有建设用地使用权及在建建筑物房地产</v>
      </c>
    </row>
    <row r="3" spans="1:19" ht="18" customHeight="1">
      <c r="A3" s="2038" t="s">
        <v>1778</v>
      </c>
      <c r="B3" s="2039">
        <v>43430</v>
      </c>
      <c r="C3" s="2040" t="s">
        <v>1779</v>
      </c>
      <c r="D3" s="2039">
        <v>43430</v>
      </c>
      <c r="E3" s="2029"/>
      <c r="F3" s="2029"/>
      <c r="G3" s="2029"/>
      <c r="H3" s="2029"/>
      <c r="I3" s="2029"/>
      <c r="J3" s="2029"/>
      <c r="K3" s="2030"/>
      <c r="L3" s="2031"/>
      <c r="M3" s="2031"/>
      <c r="N3" s="2032"/>
      <c r="O3" s="2033"/>
      <c r="P3" s="2032"/>
      <c r="Q3" s="2032"/>
      <c r="R3" s="2032"/>
      <c r="S3" s="2034"/>
    </row>
    <row r="4" spans="1:19" ht="18" customHeight="1" thickBot="1">
      <c r="A4" s="2041" t="s">
        <v>1780</v>
      </c>
      <c r="B4" s="2042" t="s">
        <v>3033</v>
      </c>
      <c r="C4" s="1040">
        <f ca="1">SUMIF(注册房地产估价师,B4,估价师及机构信息!B3:B24)</f>
        <v>1120000080</v>
      </c>
      <c r="D4" s="2042" t="s">
        <v>3034</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2" t="s">
        <v>3035</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1782</v>
      </c>
      <c r="B6" s="2943" t="s">
        <v>3036</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1783</v>
      </c>
      <c r="B7" s="2942" t="s">
        <v>3035</v>
      </c>
      <c r="C7" s="2051"/>
      <c r="D7" s="2052"/>
      <c r="E7" s="2037"/>
      <c r="F7" s="2045"/>
      <c r="G7" s="2045"/>
      <c r="H7" s="2045"/>
      <c r="I7" s="2045"/>
      <c r="J7" s="2045"/>
      <c r="K7" s="2054"/>
      <c r="L7" s="2031"/>
      <c r="M7" s="2031"/>
      <c r="N7" s="2032"/>
      <c r="O7" s="2033"/>
      <c r="P7" s="2032"/>
      <c r="Q7" s="2032"/>
      <c r="R7" s="2032"/>
    </row>
    <row r="8" spans="1:19" ht="18" customHeight="1">
      <c r="A8" s="2050" t="s">
        <v>1784</v>
      </c>
      <c r="B8" s="2055" t="s">
        <v>3037</v>
      </c>
      <c r="C8" s="2056"/>
      <c r="D8" s="3015" t="s">
        <v>1785</v>
      </c>
      <c r="E8" s="2057" t="s">
        <v>3038</v>
      </c>
      <c r="F8" s="2058"/>
      <c r="G8" s="2029"/>
      <c r="H8" s="2029"/>
      <c r="I8" s="2029"/>
      <c r="J8" s="2045"/>
      <c r="K8" s="2046"/>
      <c r="L8" s="2031"/>
      <c r="M8" s="2031"/>
      <c r="N8" s="2032"/>
      <c r="O8" s="2033"/>
      <c r="P8" s="2032"/>
      <c r="Q8" s="2032"/>
      <c r="R8" s="2032"/>
    </row>
    <row r="9" spans="1:19" ht="18" customHeight="1" thickBot="1">
      <c r="A9" s="2043" t="s">
        <v>1786</v>
      </c>
      <c r="B9" s="2059" t="s">
        <v>3038</v>
      </c>
      <c r="C9" s="2060"/>
      <c r="D9" s="3016"/>
      <c r="E9" s="2059"/>
      <c r="F9" s="2061"/>
      <c r="G9" s="2062"/>
      <c r="H9" s="2062"/>
      <c r="I9" s="2062"/>
      <c r="J9" s="2045"/>
      <c r="K9" s="2054"/>
      <c r="L9" s="2031"/>
      <c r="M9" s="2031"/>
      <c r="N9" s="2032"/>
      <c r="O9" s="2033"/>
      <c r="P9" s="2032"/>
      <c r="Q9" s="2032"/>
      <c r="R9" s="2032"/>
    </row>
    <row r="10" spans="1:19" ht="18" customHeight="1" thickTop="1">
      <c r="A10" s="2063" t="s">
        <v>1787</v>
      </c>
      <c r="B10" s="2064" t="s">
        <v>3039</v>
      </c>
      <c r="C10" s="2065"/>
      <c r="D10" s="2049"/>
      <c r="E10" s="2066" t="s">
        <v>1788</v>
      </c>
      <c r="F10" s="2944" t="s">
        <v>3082</v>
      </c>
      <c r="G10" s="2067"/>
      <c r="H10" s="2068"/>
      <c r="I10" s="2049"/>
      <c r="J10" s="2045"/>
      <c r="K10" s="2054"/>
      <c r="L10" s="2031"/>
      <c r="M10" s="2031"/>
      <c r="N10" s="2032"/>
      <c r="O10" s="2033"/>
      <c r="P10" s="2032"/>
      <c r="Q10" s="2032"/>
      <c r="R10" s="2032"/>
    </row>
    <row r="11" spans="1:19" ht="18" customHeight="1">
      <c r="A11" s="2069" t="s">
        <v>1789</v>
      </c>
      <c r="B11" s="2070" t="s">
        <v>3040</v>
      </c>
      <c r="C11" s="2071"/>
      <c r="D11" s="2072"/>
      <c r="E11" s="2045"/>
      <c r="F11" s="2045"/>
      <c r="G11" s="2045"/>
      <c r="H11" s="2045"/>
      <c r="I11" s="2045"/>
      <c r="J11" s="2045"/>
      <c r="K11" s="2054"/>
      <c r="L11" s="2031"/>
      <c r="M11" s="2031"/>
      <c r="N11" s="2032"/>
      <c r="O11" s="2033"/>
      <c r="P11" s="2032"/>
      <c r="Q11" s="2032"/>
      <c r="R11" s="2032"/>
    </row>
    <row r="12" spans="1:19" ht="18" customHeight="1">
      <c r="A12" s="2073" t="s">
        <v>1790</v>
      </c>
      <c r="B12" s="2070" t="s">
        <v>3041</v>
      </c>
      <c r="C12" s="2074" t="s">
        <v>1791</v>
      </c>
      <c r="D12" s="2075" t="s">
        <v>1792</v>
      </c>
      <c r="E12" s="2075" t="s">
        <v>1793</v>
      </c>
      <c r="F12" s="2075" t="s">
        <v>1794</v>
      </c>
      <c r="G12" s="2075" t="s">
        <v>1795</v>
      </c>
      <c r="H12" s="2075" t="s">
        <v>1796</v>
      </c>
      <c r="I12" s="2075" t="s">
        <v>1797</v>
      </c>
      <c r="J12" s="2045"/>
      <c r="K12" s="2054"/>
      <c r="L12" s="2031"/>
      <c r="M12" s="2031"/>
      <c r="N12" s="2032"/>
      <c r="O12" s="2033"/>
      <c r="P12" s="2032"/>
      <c r="Q12" s="2032"/>
      <c r="R12" s="2032"/>
    </row>
    <row r="13" spans="1:19" ht="18" customHeight="1">
      <c r="A13" s="2076"/>
      <c r="B13" s="2077"/>
      <c r="C13" s="2078" t="s">
        <v>1798</v>
      </c>
      <c r="D13" s="2079"/>
      <c r="E13" s="2079"/>
      <c r="F13" s="2079"/>
      <c r="G13" s="2079"/>
      <c r="H13" s="2079"/>
      <c r="I13" s="1050">
        <v>59944</v>
      </c>
      <c r="J13" s="2045"/>
      <c r="K13" s="2054"/>
      <c r="L13" s="2031"/>
      <c r="M13" s="2031"/>
      <c r="N13" s="2032"/>
      <c r="O13" s="2033"/>
      <c r="P13" s="2032"/>
      <c r="Q13" s="2032"/>
      <c r="R13" s="2032"/>
    </row>
    <row r="14" spans="1:19" ht="18" customHeight="1">
      <c r="A14" s="2076"/>
      <c r="B14" s="2077"/>
      <c r="C14" s="2078" t="s">
        <v>1799</v>
      </c>
      <c r="D14" s="1053"/>
      <c r="E14" s="1053"/>
      <c r="F14" s="1053"/>
      <c r="G14" s="1053"/>
      <c r="H14" s="1053"/>
      <c r="I14" s="1053">
        <v>50</v>
      </c>
      <c r="J14" s="2045"/>
      <c r="K14" s="2080"/>
      <c r="L14" s="2031"/>
      <c r="M14" s="2031"/>
      <c r="N14" s="2032"/>
      <c r="O14" s="2033"/>
      <c r="P14" s="2032"/>
      <c r="Q14" s="2032"/>
      <c r="R14" s="2032"/>
    </row>
    <row r="15" spans="1:19" ht="18" customHeight="1">
      <c r="A15" s="2063"/>
      <c r="B15" s="2081"/>
      <c r="C15" s="2078"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45.24</v>
      </c>
      <c r="J15" s="2045"/>
      <c r="K15" s="2082"/>
      <c r="L15" s="2083"/>
      <c r="M15" s="2083"/>
      <c r="N15" s="2084"/>
      <c r="O15" s="2083"/>
      <c r="P15" s="2084"/>
      <c r="Q15" s="2032"/>
      <c r="R15" s="2032"/>
    </row>
    <row r="16" spans="1:19" ht="30.75" customHeight="1">
      <c r="A16" s="2066" t="s">
        <v>1801</v>
      </c>
      <c r="B16" s="3022" t="s">
        <v>3043</v>
      </c>
      <c r="C16" s="3023"/>
      <c r="D16" s="3024"/>
      <c r="E16" s="2085" t="s">
        <v>1802</v>
      </c>
      <c r="F16" s="3025" t="s">
        <v>3210</v>
      </c>
      <c r="G16" s="3026"/>
      <c r="H16" s="3026"/>
      <c r="I16" s="3027"/>
      <c r="J16" s="2032"/>
      <c r="K16" s="2082"/>
      <c r="L16" s="2083"/>
      <c r="M16" s="2083"/>
      <c r="N16" s="2084"/>
      <c r="O16" s="2083"/>
      <c r="P16" s="2084"/>
      <c r="Q16" s="2032"/>
      <c r="R16" s="2032"/>
    </row>
    <row r="17" spans="1:22" ht="18" customHeight="1">
      <c r="A17" s="2086" t="s">
        <v>1803</v>
      </c>
      <c r="B17" s="2038" t="s">
        <v>1804</v>
      </c>
      <c r="C17" s="1057">
        <f>'数据-汇总表'!E3</f>
        <v>36832.270000000004</v>
      </c>
      <c r="D17" s="2087" t="s">
        <v>1805</v>
      </c>
      <c r="E17" s="3028" t="s">
        <v>3044</v>
      </c>
      <c r="F17" s="3029"/>
      <c r="G17" s="3029"/>
      <c r="H17" s="3029"/>
      <c r="I17" s="3030"/>
      <c r="J17" s="2032"/>
      <c r="K17" s="2088"/>
      <c r="L17" s="2083"/>
      <c r="M17" s="2083"/>
      <c r="N17" s="2084"/>
      <c r="O17" s="2083"/>
      <c r="P17" s="2084"/>
      <c r="Q17" s="2032"/>
      <c r="R17" s="2032"/>
      <c r="S17" s="2032"/>
      <c r="T17" s="2032"/>
      <c r="U17" s="2032"/>
      <c r="V17" s="2032"/>
    </row>
    <row r="18" spans="1:22" ht="36" customHeight="1" thickBot="1">
      <c r="A18" s="2089" t="s">
        <v>1806</v>
      </c>
      <c r="B18" s="2041" t="s">
        <v>1807</v>
      </c>
      <c r="C18" s="1447">
        <f>'数据-汇总表'!D3</f>
        <v>23303.32</v>
      </c>
      <c r="D18" s="2090" t="s">
        <v>1805</v>
      </c>
      <c r="E18" s="3031" t="s">
        <v>3045</v>
      </c>
      <c r="F18" s="3032"/>
      <c r="G18" s="3032"/>
      <c r="H18" s="3032"/>
      <c r="I18" s="3033"/>
      <c r="J18" s="2032"/>
      <c r="K18" s="2088"/>
      <c r="L18" s="2083"/>
      <c r="M18" s="2083"/>
      <c r="N18" s="2084"/>
      <c r="O18" s="2083"/>
      <c r="P18" s="2084"/>
      <c r="Q18" s="2032"/>
      <c r="R18" s="2032"/>
      <c r="S18" s="2032"/>
      <c r="T18" s="2032"/>
      <c r="U18" s="2032"/>
      <c r="V18" s="2032"/>
    </row>
    <row r="19" spans="1:22" ht="37.5" customHeight="1" thickTop="1" thickBot="1">
      <c r="A19" s="373" t="s">
        <v>1808</v>
      </c>
      <c r="B19" s="352" t="s">
        <v>1809</v>
      </c>
      <c r="C19" s="2091" t="s">
        <v>3058</v>
      </c>
      <c r="D19" s="2092" t="s">
        <v>1810</v>
      </c>
      <c r="E19" s="2093" t="s">
        <v>3058</v>
      </c>
      <c r="F19" s="2094" t="str">
        <f>IF(AND(C19="是",E19="否"),"是否提供他项权证或相关说明","")</f>
        <v/>
      </c>
      <c r="G19" s="2095" t="s">
        <v>70</v>
      </c>
      <c r="H19" s="2045"/>
      <c r="I19" s="2045"/>
      <c r="J19" s="2045"/>
      <c r="K19" s="2054"/>
      <c r="L19" s="2031"/>
      <c r="M19" s="2031"/>
      <c r="N19" s="2084"/>
      <c r="O19" s="2083"/>
      <c r="P19" s="2084"/>
      <c r="Q19" s="2032"/>
      <c r="R19" s="2032"/>
      <c r="S19" s="2032"/>
      <c r="T19" s="2032"/>
      <c r="U19" s="2032"/>
      <c r="V19" s="2032"/>
    </row>
    <row r="20" spans="1:22" ht="18" customHeight="1">
      <c r="A20" s="2096" t="s">
        <v>1811</v>
      </c>
      <c r="B20" s="3018" t="s">
        <v>1812</v>
      </c>
      <c r="C20" s="3019"/>
      <c r="D20" s="3020" t="s">
        <v>1813</v>
      </c>
      <c r="E20" s="3021"/>
      <c r="F20" s="2097" t="s">
        <v>1814</v>
      </c>
      <c r="G20" s="2045"/>
      <c r="H20" s="2045"/>
      <c r="I20" s="2045"/>
      <c r="J20" s="2045"/>
      <c r="K20" s="3017" t="s">
        <v>1815</v>
      </c>
      <c r="L20" s="748"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31"/>
      <c r="N20" s="2084"/>
      <c r="O20" s="2083"/>
      <c r="P20" s="2084"/>
      <c r="Q20" s="2032"/>
      <c r="R20" s="2032"/>
      <c r="S20" s="2032"/>
      <c r="T20" s="2032"/>
      <c r="U20" s="2032"/>
      <c r="V20" s="2032"/>
    </row>
    <row r="21" spans="1:22" ht="24.75" customHeight="1">
      <c r="A21" s="2096"/>
      <c r="B21" s="2098" t="s">
        <v>3211</v>
      </c>
      <c r="C21" s="2099" t="s">
        <v>1816</v>
      </c>
      <c r="D21" s="2100"/>
      <c r="E21" s="2101"/>
      <c r="F21" s="2102"/>
      <c r="G21" s="2045"/>
      <c r="H21" s="2045"/>
      <c r="I21" s="2045"/>
      <c r="J21" s="2045"/>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上述抵押权设定日期为2017年3月3日，权利人为，权利范围为，权利价值为。</v>
      </c>
      <c r="M21" s="2031"/>
      <c r="N21" s="2084"/>
      <c r="O21" s="2083"/>
      <c r="P21" s="2084"/>
      <c r="Q21" s="2032"/>
      <c r="R21" s="2032"/>
      <c r="S21" s="2032"/>
      <c r="T21" s="2032"/>
      <c r="U21" s="2032"/>
      <c r="V21" s="2032"/>
    </row>
    <row r="22" spans="1:22" ht="24.75" customHeight="1" thickBot="1">
      <c r="A22" s="2096"/>
      <c r="B22" s="2103"/>
      <c r="C22" s="2099"/>
      <c r="D22" s="2029"/>
      <c r="E22" s="2029"/>
      <c r="F22" s="2104"/>
      <c r="G22" s="2045"/>
      <c r="H22" s="2045"/>
      <c r="I22" s="2045"/>
      <c r="J22" s="2045"/>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1817</v>
      </c>
      <c r="B23" s="183" t="s">
        <v>1818</v>
      </c>
      <c r="C23" s="2106">
        <v>42797</v>
      </c>
      <c r="D23" s="2107" t="s">
        <v>1818</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1819</v>
      </c>
      <c r="C24" s="2111"/>
      <c r="D24" s="2105" t="s">
        <v>1819</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1820</v>
      </c>
      <c r="C25" s="2111"/>
      <c r="D25" s="2105" t="s">
        <v>1820</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1821</v>
      </c>
      <c r="C26" s="2115"/>
      <c r="D26" s="2116" t="s">
        <v>1822</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05" t="s">
        <v>1823</v>
      </c>
      <c r="B27" s="2063" t="s">
        <v>1824</v>
      </c>
      <c r="C27" s="2119" t="s">
        <v>3046</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05"/>
      <c r="B28" s="2038" t="s">
        <v>1825</v>
      </c>
      <c r="C28" s="2121" t="s">
        <v>3047</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05"/>
      <c r="B29" s="2038" t="s">
        <v>1826</v>
      </c>
      <c r="C29" s="2124" t="s">
        <v>3048</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06"/>
      <c r="B30" s="2038" t="s">
        <v>1827</v>
      </c>
      <c r="C30" s="3007"/>
      <c r="D30" s="3008"/>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09" t="s">
        <v>1828</v>
      </c>
      <c r="B31" s="2126" t="s">
        <v>3049</v>
      </c>
      <c r="C31" s="2127" t="str">
        <f>IF(B31="现房","成新及维护状况正常否",IF(B31="在建","工程状态是否正常",IF(B31="土地","是否闲置","-")))</f>
        <v>工程状态是否正常</v>
      </c>
      <c r="D31" s="2128"/>
      <c r="E31" s="2945" t="s">
        <v>3077</v>
      </c>
      <c r="F31" s="2045"/>
      <c r="G31" s="2045"/>
      <c r="H31" s="2045"/>
      <c r="I31" s="2045"/>
      <c r="J31" s="2045"/>
      <c r="K31" s="2053"/>
      <c r="L31" s="2031"/>
      <c r="M31" s="2031"/>
      <c r="N31" s="2032"/>
      <c r="O31" s="2033"/>
      <c r="P31" s="2032"/>
      <c r="Q31" s="2032"/>
      <c r="R31" s="2032"/>
      <c r="S31" s="2032"/>
      <c r="T31" s="2032"/>
      <c r="U31" s="2032"/>
      <c r="V31" s="2032"/>
    </row>
    <row r="32" spans="1:22" ht="18" customHeight="1">
      <c r="A32" s="3010"/>
      <c r="B32" s="2126"/>
      <c r="C32" s="2127" t="str">
        <f>IF(B32="现房","成新及维护状况是否正常",IF(B32="在建","工程状态是否正常",IF(B32="土地","是否闲置","-")))</f>
        <v>-</v>
      </c>
      <c r="D32" s="2128"/>
      <c r="E32" s="2945"/>
      <c r="F32" s="2045"/>
      <c r="G32" s="2045"/>
      <c r="H32" s="2045"/>
      <c r="I32" s="2045"/>
      <c r="J32" s="2045"/>
      <c r="K32" s="2054"/>
      <c r="L32" s="2031"/>
      <c r="M32" s="2031"/>
      <c r="N32" s="2032"/>
      <c r="O32" s="2033"/>
      <c r="P32" s="2032"/>
      <c r="Q32" s="2032"/>
      <c r="R32" s="2032"/>
      <c r="S32" s="2032"/>
      <c r="T32" s="2032"/>
      <c r="U32" s="2032"/>
      <c r="V32" s="2032"/>
    </row>
    <row r="33" spans="1:22" ht="18" customHeight="1">
      <c r="A33" s="3010"/>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1829</v>
      </c>
      <c r="B34" s="2132" t="s">
        <v>3051</v>
      </c>
      <c r="C34" s="2132" t="s">
        <v>3052</v>
      </c>
      <c r="D34" s="2132" t="s">
        <v>3053</v>
      </c>
      <c r="E34" s="2132" t="s">
        <v>3054</v>
      </c>
      <c r="F34" s="2132" t="s">
        <v>3055</v>
      </c>
      <c r="G34" s="2132" t="s">
        <v>3056</v>
      </c>
      <c r="H34" s="2132" t="s">
        <v>70</v>
      </c>
      <c r="I34" s="2045"/>
      <c r="J34" s="2045"/>
      <c r="K34" s="1798">
        <f>COUNTIF(B34:H34,"——")</f>
        <v>1</v>
      </c>
      <c r="L34" s="2074" t="s">
        <v>1830</v>
      </c>
      <c r="M34" s="2074" t="s">
        <v>1831</v>
      </c>
      <c r="N34" s="2074" t="s">
        <v>1832</v>
      </c>
      <c r="O34" s="2074" t="s">
        <v>1833</v>
      </c>
      <c r="P34" s="2074" t="s">
        <v>1834</v>
      </c>
      <c r="Q34" s="2074" t="s">
        <v>1835</v>
      </c>
      <c r="R34" s="2074" t="s">
        <v>1836</v>
      </c>
      <c r="S34" s="3004" t="s">
        <v>1837</v>
      </c>
      <c r="T34" s="2133" t="str">
        <f>NUMBERSTRING(7-K34,1)&amp;"通"</f>
        <v>六通</v>
      </c>
      <c r="U34" s="2032"/>
      <c r="V34" s="2032"/>
    </row>
    <row r="35" spans="1:22" ht="18" customHeight="1">
      <c r="A35" s="2134"/>
      <c r="B35" s="3011" t="s">
        <v>1838</v>
      </c>
      <c r="C35" s="3011"/>
      <c r="D35" s="3011"/>
      <c r="E35" s="3011"/>
      <c r="F35" s="2135">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04"/>
      <c r="T35" s="48" t="str">
        <f>IF(T34="一通",L35,IF(T34="二通",M35,IF(T34="三通",N35,IF(T34="四通",O35,IF(T34="五通",P35,IF(T34="六通",Q35,R35))))))</f>
        <v>通路、通电、通讯、通上水、通下水、通热</v>
      </c>
      <c r="U35" s="2032"/>
      <c r="V35" s="2032"/>
    </row>
    <row r="36" spans="1:22" ht="18" customHeight="1">
      <c r="A36" s="2136"/>
      <c r="B36" s="2135" t="s">
        <v>1839</v>
      </c>
      <c r="C36" s="2135" t="s">
        <v>1840</v>
      </c>
      <c r="D36" s="2135" t="s">
        <v>1841</v>
      </c>
      <c r="E36" s="2135" t="s">
        <v>1842</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1843</v>
      </c>
      <c r="B37" s="2139"/>
      <c r="C37" s="2139"/>
      <c r="D37" s="2139"/>
      <c r="E37" s="2139" t="s">
        <v>528</v>
      </c>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1844</v>
      </c>
      <c r="B38" s="2141"/>
      <c r="C38" s="2141"/>
      <c r="D38" s="2141"/>
      <c r="E38" s="2141" t="s">
        <v>3057</v>
      </c>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4"/>
      <c r="K40" s="666"/>
      <c r="L40" s="2083"/>
      <c r="M40" s="2083"/>
      <c r="N40" s="2084"/>
      <c r="O40" s="2083"/>
      <c r="P40" s="2032"/>
      <c r="Q40" s="2032"/>
      <c r="R40" s="2032"/>
      <c r="S40" s="2032"/>
      <c r="T40" s="2032"/>
      <c r="U40" s="2032"/>
      <c r="V40" s="2032"/>
    </row>
    <row r="41" spans="1:22" ht="18" customHeight="1">
      <c r="A41" s="8" t="s">
        <v>1846</v>
      </c>
      <c r="B41" s="2149"/>
      <c r="C41" s="2150"/>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1847</v>
      </c>
      <c r="B42" s="1798" t="s">
        <v>1848</v>
      </c>
      <c r="C42" s="1798" t="s">
        <v>1849</v>
      </c>
      <c r="D42" s="1798" t="s">
        <v>1850</v>
      </c>
      <c r="E42" s="1798" t="s">
        <v>1851</v>
      </c>
      <c r="F42" s="1798" t="s">
        <v>1852</v>
      </c>
      <c r="G42" s="1798" t="s">
        <v>1853</v>
      </c>
      <c r="H42" s="1798" t="s">
        <v>1854</v>
      </c>
      <c r="I42" s="1798" t="s">
        <v>1855</v>
      </c>
      <c r="J42" s="2151" t="s">
        <v>1856</v>
      </c>
      <c r="K42" s="2075" t="s">
        <v>1857</v>
      </c>
      <c r="L42" s="2075" t="s">
        <v>1858</v>
      </c>
      <c r="M42" s="2075" t="s">
        <v>1859</v>
      </c>
      <c r="N42" s="1798" t="s">
        <v>1860</v>
      </c>
      <c r="O42" s="1798" t="s">
        <v>1861</v>
      </c>
      <c r="P42" s="1798" t="s">
        <v>1862</v>
      </c>
      <c r="Q42" s="2074" t="s">
        <v>1863</v>
      </c>
      <c r="R42" s="2074" t="s">
        <v>1864</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 sqref="C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1870</v>
      </c>
      <c r="AZ2" s="1273"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54997.64</v>
      </c>
      <c r="B3" s="14">
        <f>IF(C3="否",G5-AT5,G5)</f>
        <v>86927.000000000015</v>
      </c>
      <c r="C3" s="2167" t="s">
        <v>3058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1873</v>
      </c>
      <c r="B5" s="1806"/>
      <c r="C5" s="1806"/>
      <c r="D5" s="1809"/>
      <c r="E5" s="16" t="s">
        <v>1</v>
      </c>
      <c r="F5" s="16">
        <f>SUM(F13:F587)</f>
        <v>0</v>
      </c>
      <c r="G5" s="16">
        <f>SUM(G13:G587)</f>
        <v>86927.000000000015</v>
      </c>
      <c r="H5" s="16">
        <f t="shared" ref="H5:AT5" si="0">SUM(H13:H656)</f>
        <v>82452.000000000015</v>
      </c>
      <c r="I5" s="16">
        <f t="shared" si="0"/>
        <v>82452.000000000015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2000</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2000</v>
      </c>
      <c r="AM5" s="16">
        <f t="shared" si="0"/>
        <v>0</v>
      </c>
      <c r="AN5" s="16">
        <f t="shared" si="0"/>
        <v>0</v>
      </c>
      <c r="AO5" s="16">
        <f t="shared" si="0"/>
        <v>0</v>
      </c>
      <c r="AP5" s="16">
        <f t="shared" si="0"/>
        <v>0</v>
      </c>
      <c r="AQ5" s="16">
        <f t="shared" si="0"/>
        <v>0</v>
      </c>
      <c r="AR5" s="16">
        <f t="shared" si="0"/>
        <v>0</v>
      </c>
      <c r="AS5" s="16">
        <f t="shared" si="0"/>
        <v>0</v>
      </c>
      <c r="AT5" s="16">
        <f t="shared" si="0"/>
        <v>2475</v>
      </c>
      <c r="AU5" s="1805"/>
      <c r="AV5" s="15" t="s">
        <v>1873</v>
      </c>
      <c r="AW5" s="1806"/>
      <c r="AX5" s="1806"/>
      <c r="AY5" s="17" t="s">
        <v>3</v>
      </c>
      <c r="AZ5" s="18">
        <f t="shared" ref="AZ5:BT5" si="1">SUM(AZ13:AZ656)</f>
        <v>36832.270000000004</v>
      </c>
      <c r="BA5" s="18">
        <f t="shared" si="1"/>
        <v>34832.270000000004</v>
      </c>
      <c r="BB5" s="18">
        <f t="shared" si="1"/>
        <v>34832.270000000004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2000</v>
      </c>
      <c r="BM5" s="18">
        <f t="shared" si="1"/>
        <v>0</v>
      </c>
      <c r="BN5" s="18">
        <f t="shared" si="1"/>
        <v>0</v>
      </c>
      <c r="BO5" s="18">
        <f t="shared" si="1"/>
        <v>0</v>
      </c>
      <c r="BP5" s="18">
        <f t="shared" si="1"/>
        <v>0</v>
      </c>
      <c r="BQ5" s="18">
        <f t="shared" si="1"/>
        <v>2000</v>
      </c>
      <c r="BR5" s="18">
        <f t="shared" si="1"/>
        <v>0</v>
      </c>
      <c r="BS5" s="18">
        <f t="shared" si="1"/>
        <v>0</v>
      </c>
      <c r="BT5" s="19">
        <f t="shared" si="1"/>
        <v>0</v>
      </c>
    </row>
    <row r="6" spans="1:72" s="2176" customFormat="1" ht="12.75">
      <c r="A6" s="15" t="s">
        <v>1874</v>
      </c>
      <c r="B6" s="2173"/>
      <c r="C6" s="2173"/>
      <c r="D6" s="2174"/>
      <c r="E6" s="16">
        <f>H6+AC6+AT6</f>
        <v>54997.64</v>
      </c>
      <c r="F6" s="16" t="s">
        <v>1</v>
      </c>
      <c r="G6" s="16" t="s">
        <v>2</v>
      </c>
      <c r="H6" s="20">
        <f>SUMIF(I$12:AB$12,"总值",I6:AB6)</f>
        <v>52166.36</v>
      </c>
      <c r="I6" s="16">
        <f t="shared" ref="I6:AB6" si="2">ROUND($A$3*I5/$B$3,2)</f>
        <v>52166.36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1265.3800000000001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1265.3800000000001</v>
      </c>
      <c r="AM6" s="16">
        <f t="shared" si="3"/>
        <v>0</v>
      </c>
      <c r="AN6" s="16">
        <f t="shared" si="3"/>
        <v>0</v>
      </c>
      <c r="AO6" s="16">
        <f t="shared" si="3"/>
        <v>0</v>
      </c>
      <c r="AP6" s="16">
        <f t="shared" si="3"/>
        <v>0</v>
      </c>
      <c r="AQ6" s="16">
        <f t="shared" si="3"/>
        <v>0</v>
      </c>
      <c r="AR6" s="16">
        <f t="shared" si="3"/>
        <v>0</v>
      </c>
      <c r="AS6" s="16">
        <f t="shared" si="3"/>
        <v>0</v>
      </c>
      <c r="AT6" s="20">
        <f>IF(C3="是",ROUND($A$3*AT5/$B$3,2),0)</f>
        <v>1565.9</v>
      </c>
      <c r="AU6" s="2175"/>
      <c r="AV6" s="15" t="s">
        <v>1874</v>
      </c>
      <c r="AW6" s="2173"/>
      <c r="AX6" s="2173"/>
      <c r="AY6" s="21">
        <f>IF(AY3&gt;0,AY3,ROUND($A$3*AZ5/$B$3,2))</f>
        <v>23303.32</v>
      </c>
      <c r="AZ6" s="16" t="s">
        <v>3</v>
      </c>
      <c r="BA6" s="16">
        <f>ROUND($AY$6*BA5/$AZ$5,2)</f>
        <v>22037.94</v>
      </c>
      <c r="BB6" s="16">
        <f>ROUND($AY$6*BB5/$AZ$5,2)</f>
        <v>22037.94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1265.3800000000001</v>
      </c>
      <c r="BM6" s="16">
        <f t="shared" si="5"/>
        <v>0</v>
      </c>
      <c r="BN6" s="16">
        <f t="shared" si="5"/>
        <v>0</v>
      </c>
      <c r="BO6" s="16">
        <f t="shared" si="5"/>
        <v>0</v>
      </c>
      <c r="BP6" s="16">
        <f t="shared" si="5"/>
        <v>0</v>
      </c>
      <c r="BQ6" s="16">
        <f t="shared" si="5"/>
        <v>1265.3800000000001</v>
      </c>
      <c r="BR6" s="16">
        <f t="shared" si="5"/>
        <v>0</v>
      </c>
      <c r="BS6" s="16">
        <f t="shared" si="5"/>
        <v>0</v>
      </c>
      <c r="BT6" s="22">
        <f t="shared" si="5"/>
        <v>0</v>
      </c>
    </row>
    <row r="7" spans="1:72" s="2166" customFormat="1" ht="24.75">
      <c r="A7" s="2109" t="s">
        <v>1875</v>
      </c>
      <c r="B7" s="2109" t="s">
        <v>1876</v>
      </c>
      <c r="C7" s="2109" t="s">
        <v>1877</v>
      </c>
      <c r="D7" s="2109" t="s">
        <v>1878</v>
      </c>
      <c r="E7" s="2109" t="s">
        <v>1879</v>
      </c>
      <c r="F7" s="2109" t="s">
        <v>1880</v>
      </c>
      <c r="G7" s="2177" t="s">
        <v>1881</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1882</v>
      </c>
      <c r="AV7" s="23" t="s">
        <v>1883</v>
      </c>
      <c r="AW7" s="2165" t="s">
        <v>1884</v>
      </c>
      <c r="AX7" s="23" t="s">
        <v>1877</v>
      </c>
      <c r="AY7" s="1806" t="s">
        <v>1885</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1886</v>
      </c>
      <c r="H8" s="2183" t="s">
        <v>1887</v>
      </c>
      <c r="I8" s="2184"/>
      <c r="J8" s="1821"/>
      <c r="K8" s="1821"/>
      <c r="L8" s="1821"/>
      <c r="M8" s="1821"/>
      <c r="N8" s="1821"/>
      <c r="O8" s="1821"/>
      <c r="P8" s="1821"/>
      <c r="Q8" s="1821"/>
      <c r="R8" s="1821"/>
      <c r="S8" s="1821"/>
      <c r="T8" s="1821"/>
      <c r="U8" s="1821"/>
      <c r="V8" s="2185"/>
      <c r="W8" s="1821"/>
      <c r="X8" s="1821"/>
      <c r="Y8" s="1821"/>
      <c r="Z8" s="1821"/>
      <c r="AA8" s="2185"/>
      <c r="AB8" s="2186"/>
      <c r="AC8" s="984" t="s">
        <v>1888</v>
      </c>
      <c r="AD8" s="2187"/>
      <c r="AE8" s="2179"/>
      <c r="AF8" s="1821"/>
      <c r="AG8" s="1821"/>
      <c r="AH8" s="1821"/>
      <c r="AI8" s="1821"/>
      <c r="AJ8" s="1821"/>
      <c r="AK8" s="1821"/>
      <c r="AL8" s="1821"/>
      <c r="AM8" s="1821"/>
      <c r="AN8" s="1821"/>
      <c r="AO8" s="1821"/>
      <c r="AP8" s="1821"/>
      <c r="AQ8" s="1821"/>
      <c r="AR8" s="1821"/>
      <c r="AS8" s="1821"/>
      <c r="AT8" s="1295" t="s">
        <v>1889</v>
      </c>
      <c r="AU8" s="2181" t="s">
        <v>1890</v>
      </c>
      <c r="AV8" s="1295"/>
      <c r="AW8" s="2164"/>
      <c r="AX8" s="1295"/>
      <c r="AY8" s="2165" t="s">
        <v>1891</v>
      </c>
      <c r="AZ8" s="1820" t="s">
        <v>1892</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1893</v>
      </c>
      <c r="I9" s="2190" t="s">
        <v>3073</v>
      </c>
      <c r="J9" s="984"/>
      <c r="K9" s="2190"/>
      <c r="L9" s="984"/>
      <c r="M9" s="2190"/>
      <c r="N9" s="984"/>
      <c r="O9" s="2190"/>
      <c r="P9" s="984"/>
      <c r="Q9" s="2190"/>
      <c r="R9" s="984"/>
      <c r="S9" s="2190"/>
      <c r="T9" s="984"/>
      <c r="U9" s="2190"/>
      <c r="V9" s="984"/>
      <c r="W9" s="2190"/>
      <c r="X9" s="2191"/>
      <c r="Y9" s="2190"/>
      <c r="Z9" s="984"/>
      <c r="AA9" s="2190"/>
      <c r="AB9" s="984"/>
      <c r="AC9" s="2182" t="s">
        <v>1893</v>
      </c>
      <c r="AD9" s="15" t="s">
        <v>1894</v>
      </c>
      <c r="AE9" s="1301"/>
      <c r="AF9" s="15" t="s">
        <v>1895</v>
      </c>
      <c r="AG9" s="1301"/>
      <c r="AH9" s="15" t="s">
        <v>1894</v>
      </c>
      <c r="AI9" s="1301"/>
      <c r="AJ9" s="15" t="s">
        <v>1895</v>
      </c>
      <c r="AK9" s="1301"/>
      <c r="AL9" s="15" t="s">
        <v>1894</v>
      </c>
      <c r="AM9" s="1301"/>
      <c r="AN9" s="15" t="s">
        <v>1895</v>
      </c>
      <c r="AO9" s="1301"/>
      <c r="AP9" s="15" t="s">
        <v>1894</v>
      </c>
      <c r="AQ9" s="1301"/>
      <c r="AR9" s="15" t="s">
        <v>1895</v>
      </c>
      <c r="AS9" s="2192"/>
      <c r="AT9" s="2181"/>
      <c r="AU9" s="2181" t="s">
        <v>1896</v>
      </c>
      <c r="AV9" s="1295"/>
      <c r="AW9" s="2164"/>
      <c r="AX9" s="1295"/>
      <c r="AY9" s="28"/>
      <c r="AZ9" s="28" t="s">
        <v>1886</v>
      </c>
      <c r="BA9" s="2193" t="s">
        <v>1897</v>
      </c>
      <c r="BB9" s="2194"/>
      <c r="BC9" s="1341"/>
      <c r="BD9" s="1341"/>
      <c r="BE9" s="1341"/>
      <c r="BF9" s="1341"/>
      <c r="BG9" s="1341"/>
      <c r="BH9" s="1341"/>
      <c r="BI9" s="1341"/>
      <c r="BJ9" s="1341"/>
      <c r="BK9" s="2195"/>
      <c r="BL9" s="15" t="s">
        <v>1898</v>
      </c>
      <c r="BM9" s="1821"/>
      <c r="BN9" s="2184"/>
      <c r="BO9" s="1821"/>
      <c r="BP9" s="1821"/>
      <c r="BQ9" s="1821"/>
      <c r="BR9" s="1821"/>
      <c r="BS9" s="1821"/>
      <c r="BT9" s="26"/>
    </row>
    <row r="10" spans="1:72" s="2188" customFormat="1" ht="12.75">
      <c r="A10" s="2181"/>
      <c r="B10" s="2181"/>
      <c r="C10" s="2181"/>
      <c r="D10" s="2181"/>
      <c r="E10" s="2181"/>
      <c r="F10" s="2181"/>
      <c r="G10" s="1295"/>
      <c r="H10" s="28"/>
      <c r="I10" s="2190" t="s">
        <v>6</v>
      </c>
      <c r="J10" s="984"/>
      <c r="K10" s="2196"/>
      <c r="L10" s="984"/>
      <c r="M10" s="2196"/>
      <c r="N10" s="984"/>
      <c r="O10" s="2196"/>
      <c r="P10" s="984"/>
      <c r="Q10" s="2196"/>
      <c r="R10" s="984"/>
      <c r="S10" s="2196"/>
      <c r="T10" s="984"/>
      <c r="U10" s="2196"/>
      <c r="V10" s="984"/>
      <c r="W10" s="2196"/>
      <c r="X10" s="984"/>
      <c r="Y10" s="2196"/>
      <c r="Z10" s="984"/>
      <c r="AA10" s="2196"/>
      <c r="AB10" s="984"/>
      <c r="AC10" s="1295"/>
      <c r="AD10" s="15" t="s">
        <v>1899</v>
      </c>
      <c r="AE10" s="2197"/>
      <c r="AF10" s="15" t="s">
        <v>1899</v>
      </c>
      <c r="AG10" s="2197"/>
      <c r="AH10" s="15" t="s">
        <v>1900</v>
      </c>
      <c r="AI10" s="2197"/>
      <c r="AJ10" s="15" t="s">
        <v>1900</v>
      </c>
      <c r="AK10" s="2197"/>
      <c r="AL10" s="15" t="s">
        <v>1901</v>
      </c>
      <c r="AM10" s="1301"/>
      <c r="AN10" s="15" t="s">
        <v>1901</v>
      </c>
      <c r="AO10" s="1301"/>
      <c r="AP10" s="15" t="s">
        <v>1902</v>
      </c>
      <c r="AQ10" s="1301"/>
      <c r="AR10" s="15" t="s">
        <v>1902</v>
      </c>
      <c r="AS10" s="1301"/>
      <c r="AT10" s="2181"/>
      <c r="AU10" s="2181"/>
      <c r="AV10" s="1295"/>
      <c r="AW10" s="2164"/>
      <c r="AX10" s="1295"/>
      <c r="AY10" s="28"/>
      <c r="AZ10" s="28"/>
      <c r="BA10" s="2198" t="s">
        <v>1893</v>
      </c>
      <c r="BB10" s="2199" t="str">
        <f>I9</f>
        <v>地上</v>
      </c>
      <c r="BC10" s="29">
        <f>K9</f>
        <v>0</v>
      </c>
      <c r="BD10" s="29">
        <f>M9</f>
        <v>0</v>
      </c>
      <c r="BE10" s="29">
        <f>O9</f>
        <v>0</v>
      </c>
      <c r="BF10" s="29">
        <f>Q9</f>
        <v>0</v>
      </c>
      <c r="BG10" s="29">
        <f>S9</f>
        <v>0</v>
      </c>
      <c r="BH10" s="29">
        <f>U9</f>
        <v>0</v>
      </c>
      <c r="BI10" s="29">
        <f>W9</f>
        <v>0</v>
      </c>
      <c r="BJ10" s="29">
        <f>Y9</f>
        <v>0</v>
      </c>
      <c r="BK10" s="29">
        <f>AA9</f>
        <v>0</v>
      </c>
      <c r="BL10" s="25" t="s">
        <v>1893</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3074</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1903</v>
      </c>
      <c r="AE11" s="1822"/>
      <c r="AF11" s="2203" t="s">
        <v>1903</v>
      </c>
      <c r="AG11" s="1822"/>
      <c r="AH11" s="2203" t="s">
        <v>1904</v>
      </c>
      <c r="AI11" s="2204"/>
      <c r="AJ11" s="2203" t="s">
        <v>1904</v>
      </c>
      <c r="AK11" s="1822"/>
      <c r="AL11" s="1820"/>
      <c r="AM11" s="1822"/>
      <c r="AN11" s="1820"/>
      <c r="AO11" s="1822"/>
      <c r="AP11" s="1820"/>
      <c r="AQ11" s="1822"/>
      <c r="AR11" s="1820"/>
      <c r="AS11" s="1822"/>
      <c r="AT11" s="2164"/>
      <c r="AU11" s="2181"/>
      <c r="AV11" s="1295"/>
      <c r="AW11" s="2164"/>
      <c r="AX11" s="1295"/>
      <c r="AY11" s="28"/>
      <c r="AZ11" s="28"/>
      <c r="BA11" s="28"/>
      <c r="BB11" s="2186" t="str">
        <f>I10</f>
        <v>工业</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5" t="s">
        <v>1906</v>
      </c>
      <c r="W12" s="11" t="s">
        <v>1905</v>
      </c>
      <c r="X12" s="11" t="s">
        <v>1906</v>
      </c>
      <c r="Y12" s="11" t="s">
        <v>1905</v>
      </c>
      <c r="Z12" s="11" t="s">
        <v>1906</v>
      </c>
      <c r="AA12" s="11" t="s">
        <v>1905</v>
      </c>
      <c r="AB12" s="11" t="s">
        <v>1906</v>
      </c>
      <c r="AC12" s="2208"/>
      <c r="AD12" s="1809"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6" t="s">
        <v>1906</v>
      </c>
      <c r="AT12" s="2209"/>
      <c r="AU12" s="2206"/>
      <c r="AV12" s="31"/>
      <c r="AW12" s="2165"/>
      <c r="AX12" s="31"/>
      <c r="AY12" s="2210"/>
      <c r="AZ12" s="28"/>
      <c r="BA12" s="2198"/>
      <c r="BB12" s="24" t="str">
        <f>I11</f>
        <v>办公楼</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v>1</v>
      </c>
      <c r="D13" s="2212" t="s">
        <v>3058</v>
      </c>
      <c r="E13" s="16">
        <f>IF($C$3="是",ROUND($A$3*G13/$B$3,2),ROUND($A$3*(G13-AT13)/$B$3,2))</f>
        <v>2217.39</v>
      </c>
      <c r="F13" s="32"/>
      <c r="G13" s="33">
        <f>H13+AC13+AT13</f>
        <v>3504.72</v>
      </c>
      <c r="H13" s="20">
        <f>SUMIF(I$12:AB$12,"总值",I13:AB13)</f>
        <v>3504.72</v>
      </c>
      <c r="I13" s="2213">
        <v>3504.72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1</v>
      </c>
      <c r="AY13" s="1809">
        <f>ROUND($AY$6*AZ13/$AZ$5,2)</f>
        <v>2217.39</v>
      </c>
      <c r="AZ13" s="16">
        <f>BA13+BL13</f>
        <v>3504.72</v>
      </c>
      <c r="BA13" s="16">
        <f>SUM(BB13:BK13)</f>
        <v>3504.72</v>
      </c>
      <c r="BB13" s="16">
        <f>IF($D13="是",I13-J13,0)</f>
        <v>3504.72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1275">
        <v>2</v>
      </c>
      <c r="D14" s="2212" t="s">
        <v>3058</v>
      </c>
      <c r="E14" s="16">
        <f>IF($C$3="是",ROUND($A$3*G14/$B$3,2),ROUND($A$3*(G14-AT14)/$B$3,2))</f>
        <v>2756.71</v>
      </c>
      <c r="F14" s="32"/>
      <c r="G14" s="33">
        <f>H14+AC14+AT14</f>
        <v>4357.1400000000003</v>
      </c>
      <c r="H14" s="20">
        <f>SUMIF(I$12:AB$12,"总值",I14:AB14)</f>
        <v>4357.1400000000003</v>
      </c>
      <c r="I14" s="2213">
        <v>4357.1400000000003</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2</v>
      </c>
      <c r="AY14" s="1809">
        <f>ROUND($AY$6*AZ14/$AZ$5,2)</f>
        <v>2756.71</v>
      </c>
      <c r="AZ14" s="16">
        <f>BA14+BL14</f>
        <v>4357.1400000000003</v>
      </c>
      <c r="BA14" s="16">
        <f>SUM(BB14:BK14)</f>
        <v>4357.1400000000003</v>
      </c>
      <c r="BB14" s="16">
        <f>IF($D14="是",I14-J14,0)</f>
        <v>4357.1400000000003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1275">
        <v>3</v>
      </c>
      <c r="D15" s="2212" t="s">
        <v>3058</v>
      </c>
      <c r="E15" s="16">
        <f>IF($C$3="是",ROUND($A$3*G15/$B$3,2),ROUND($A$3*(G15-AT15)/$B$3,2))</f>
        <v>2301.11</v>
      </c>
      <c r="F15" s="32"/>
      <c r="G15" s="33">
        <f>H15+AC15+AT15</f>
        <v>3637.04</v>
      </c>
      <c r="H15" s="20">
        <f>SUMIF(I$12:AB$12,"总值",I15:AB15)</f>
        <v>3637.04</v>
      </c>
      <c r="I15" s="2213">
        <v>3637.04</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3</v>
      </c>
      <c r="AY15" s="1809">
        <f>ROUND($AY$6*AZ15/$AZ$5,2)</f>
        <v>2301.11</v>
      </c>
      <c r="AZ15" s="16">
        <f>BA15+BL15</f>
        <v>3637.04</v>
      </c>
      <c r="BA15" s="16">
        <f>SUM(BB15:BK15)</f>
        <v>3637.04</v>
      </c>
      <c r="BB15" s="16">
        <f>IF($D15="是",I15-J15,0)</f>
        <v>3637.04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1275">
        <v>4</v>
      </c>
      <c r="D16" s="2212" t="s">
        <v>3058</v>
      </c>
      <c r="E16" s="16">
        <f>IF($C$3="是",ROUND($A$3*G16/$B$3,2),ROUND($A$3*(G16-AT16)/$B$3,2))</f>
        <v>2298.7199999999998</v>
      </c>
      <c r="F16" s="32"/>
      <c r="G16" s="33">
        <f>H16+AC16+AT16</f>
        <v>3633.26</v>
      </c>
      <c r="H16" s="20">
        <f>SUMIF(I$12:AB$12,"总值",I16:AB16)</f>
        <v>3633.26</v>
      </c>
      <c r="I16" s="2213">
        <v>3633.26</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4</v>
      </c>
      <c r="AY16" s="1809">
        <f>ROUND($AY$6*AZ16/$AZ$5,2)</f>
        <v>2298.7199999999998</v>
      </c>
      <c r="AZ16" s="16">
        <f>BA16+BL16</f>
        <v>3633.26</v>
      </c>
      <c r="BA16" s="16">
        <f>SUM(BB16:BK16)</f>
        <v>3633.26</v>
      </c>
      <c r="BB16" s="16">
        <f>IF($D16="是",I16-J16,0)</f>
        <v>3633.26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1275" t="s">
        <v>3059</v>
      </c>
      <c r="D17" s="2212" t="s">
        <v>3058</v>
      </c>
      <c r="E17" s="16">
        <f>IF($C$3="是",ROUND($A$3*G17/$B$3,2),ROUND($A$3*(G17-AT17)/$B$3,2))</f>
        <v>1556.87</v>
      </c>
      <c r="F17" s="32"/>
      <c r="G17" s="33">
        <f>H17+AC17+AT17</f>
        <v>2460.7199999999998</v>
      </c>
      <c r="H17" s="20">
        <f>SUMIF(I$12:AB$12,"总值",I17:AB17)</f>
        <v>2460.7199999999998</v>
      </c>
      <c r="I17" s="2213">
        <v>2460.7199999999998</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5-A</v>
      </c>
      <c r="AY17" s="1809">
        <f>ROUND($AY$6*AZ17/$AZ$5,2)</f>
        <v>1556.87</v>
      </c>
      <c r="AZ17" s="16">
        <f>BA17+BL17</f>
        <v>2460.7199999999998</v>
      </c>
      <c r="BA17" s="16">
        <f>SUM(BB17:BK17)</f>
        <v>2460.7199999999998</v>
      </c>
      <c r="BB17" s="16">
        <f>IF($D17="是",I17-J17,0)</f>
        <v>2460.7199999999998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3060</v>
      </c>
      <c r="D18" s="2212" t="s">
        <v>3058</v>
      </c>
      <c r="E18" s="35">
        <f t="shared" ref="E18:E112" si="7">IF($C$3="是",ROUND($A$3*G18/$B$3,2),ROUND($A$3*(G18-AT18)/$B$3,2))</f>
        <v>1556.87</v>
      </c>
      <c r="F18" s="36"/>
      <c r="G18" s="37">
        <f t="shared" ref="G18:G109" si="8">H18+AC18+AT18</f>
        <v>2460.7199999999998</v>
      </c>
      <c r="H18" s="38">
        <f t="shared" ref="H18:H109" si="9">SUMIF(I$12:AB$12,"总值",I18:AB18)</f>
        <v>2460.7199999999998</v>
      </c>
      <c r="I18" s="39">
        <v>2460.7199999999998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t="str">
        <f t="shared" ref="AX18:AX112" si="13">C18</f>
        <v>5-B</v>
      </c>
      <c r="AY18" s="42">
        <f t="shared" ref="AY18:AY109" si="14">ROUND($AY$6*AZ18/$AZ$5,2)</f>
        <v>1556.87</v>
      </c>
      <c r="AZ18" s="35">
        <f t="shared" ref="AZ18:AZ109" si="15">BA18+BL18</f>
        <v>2460.7199999999998</v>
      </c>
      <c r="BA18" s="35">
        <f t="shared" ref="BA18:BA109" si="16">SUM(BB18:BK18)</f>
        <v>2460.7199999999998</v>
      </c>
      <c r="BB18" s="35">
        <f t="shared" ref="BB18:BB109" si="17">IF($D18="是",I18-J18,0)</f>
        <v>2460.7199999999998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3061</v>
      </c>
      <c r="D19" s="2212" t="s">
        <v>3058</v>
      </c>
      <c r="E19" s="35">
        <f t="shared" si="7"/>
        <v>1556.87</v>
      </c>
      <c r="F19" s="36"/>
      <c r="G19" s="37">
        <f t="shared" si="8"/>
        <v>2460.7199999999998</v>
      </c>
      <c r="H19" s="38">
        <f t="shared" si="9"/>
        <v>2460.7199999999998</v>
      </c>
      <c r="I19" s="39">
        <v>2460.7199999999998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t="str">
        <f t="shared" si="13"/>
        <v>6-A</v>
      </c>
      <c r="AY19" s="42">
        <f t="shared" si="14"/>
        <v>1556.87</v>
      </c>
      <c r="AZ19" s="35">
        <f t="shared" si="15"/>
        <v>2460.7199999999998</v>
      </c>
      <c r="BA19" s="35">
        <f t="shared" si="16"/>
        <v>2460.7199999999998</v>
      </c>
      <c r="BB19" s="35">
        <f t="shared" si="17"/>
        <v>2460.7199999999998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3062</v>
      </c>
      <c r="D20" s="2212" t="s">
        <v>3058</v>
      </c>
      <c r="E20" s="35">
        <f t="shared" si="7"/>
        <v>1556.87</v>
      </c>
      <c r="F20" s="36"/>
      <c r="G20" s="37">
        <f t="shared" si="8"/>
        <v>2460.7199999999998</v>
      </c>
      <c r="H20" s="38">
        <f t="shared" si="9"/>
        <v>2460.7199999999998</v>
      </c>
      <c r="I20" s="39">
        <v>2460.7199999999998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t="str">
        <f t="shared" si="13"/>
        <v>6-B</v>
      </c>
      <c r="AY20" s="42">
        <f t="shared" si="14"/>
        <v>1556.87</v>
      </c>
      <c r="AZ20" s="35">
        <f t="shared" si="15"/>
        <v>2460.7199999999998</v>
      </c>
      <c r="BA20" s="35">
        <f t="shared" si="16"/>
        <v>2460.7199999999998</v>
      </c>
      <c r="BB20" s="35">
        <f t="shared" si="17"/>
        <v>2460.7199999999998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7</v>
      </c>
      <c r="D21" s="2212" t="s">
        <v>3058</v>
      </c>
      <c r="E21" s="35">
        <f t="shared" si="7"/>
        <v>2141.83</v>
      </c>
      <c r="F21" s="36"/>
      <c r="G21" s="37">
        <f t="shared" si="8"/>
        <v>3385.29</v>
      </c>
      <c r="H21" s="38">
        <f t="shared" si="9"/>
        <v>3385.29</v>
      </c>
      <c r="I21" s="39">
        <v>3385.29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7</v>
      </c>
      <c r="AY21" s="42">
        <f t="shared" si="14"/>
        <v>2141.83</v>
      </c>
      <c r="AZ21" s="35">
        <f t="shared" si="15"/>
        <v>3385.29</v>
      </c>
      <c r="BA21" s="35">
        <f t="shared" si="16"/>
        <v>3385.29</v>
      </c>
      <c r="BB21" s="35">
        <f t="shared" si="17"/>
        <v>3385.29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8</v>
      </c>
      <c r="D22" s="2212" t="s">
        <v>3058</v>
      </c>
      <c r="E22" s="35">
        <f t="shared" si="7"/>
        <v>2142.56</v>
      </c>
      <c r="F22" s="36"/>
      <c r="G22" s="37">
        <f t="shared" si="8"/>
        <v>3386.44</v>
      </c>
      <c r="H22" s="38">
        <f t="shared" si="9"/>
        <v>3386.44</v>
      </c>
      <c r="I22" s="39">
        <v>3386.44</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8</v>
      </c>
      <c r="AY22" s="42">
        <f t="shared" si="14"/>
        <v>2142.56</v>
      </c>
      <c r="AZ22" s="35">
        <f t="shared" si="15"/>
        <v>3386.44</v>
      </c>
      <c r="BA22" s="35">
        <f t="shared" si="16"/>
        <v>3386.44</v>
      </c>
      <c r="BB22" s="35">
        <f t="shared" si="17"/>
        <v>3386.44</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9</v>
      </c>
      <c r="D23" s="2212" t="s">
        <v>3058</v>
      </c>
      <c r="E23" s="35">
        <f t="shared" si="7"/>
        <v>1952.16</v>
      </c>
      <c r="F23" s="36"/>
      <c r="G23" s="37">
        <f t="shared" si="8"/>
        <v>3085.5</v>
      </c>
      <c r="H23" s="38">
        <f t="shared" si="9"/>
        <v>3085.5</v>
      </c>
      <c r="I23" s="39">
        <v>3085.5</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9</v>
      </c>
      <c r="AY23" s="42">
        <f t="shared" si="14"/>
        <v>1952.16</v>
      </c>
      <c r="AZ23" s="35">
        <f t="shared" si="15"/>
        <v>3085.5</v>
      </c>
      <c r="BA23" s="35">
        <f t="shared" si="16"/>
        <v>3085.5</v>
      </c>
      <c r="BB23" s="35">
        <f t="shared" si="17"/>
        <v>3085.5</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t="s">
        <v>48</v>
      </c>
      <c r="D24" s="2212" t="s">
        <v>3058</v>
      </c>
      <c r="E24" s="35">
        <f t="shared" si="7"/>
        <v>2831.28</v>
      </c>
      <c r="F24" s="36"/>
      <c r="G24" s="37">
        <f t="shared" si="8"/>
        <v>4475</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2000</v>
      </c>
      <c r="AD24" s="40"/>
      <c r="AE24" s="40"/>
      <c r="AF24" s="40"/>
      <c r="AG24" s="40"/>
      <c r="AH24" s="40"/>
      <c r="AI24" s="40"/>
      <c r="AJ24" s="40"/>
      <c r="AK24" s="40"/>
      <c r="AL24" s="40">
        <v>2000</v>
      </c>
      <c r="AM24" s="40"/>
      <c r="AN24" s="40"/>
      <c r="AO24" s="40"/>
      <c r="AP24" s="40"/>
      <c r="AQ24" s="40"/>
      <c r="AR24" s="40"/>
      <c r="AS24" s="40"/>
      <c r="AT24" s="41">
        <f>44+2431</f>
        <v>2475</v>
      </c>
      <c r="AU24" s="2218"/>
      <c r="AV24" s="1798">
        <f t="shared" si="11"/>
        <v>0</v>
      </c>
      <c r="AW24" s="1798">
        <f t="shared" si="12"/>
        <v>0</v>
      </c>
      <c r="AX24" s="1798" t="str">
        <f t="shared" si="13"/>
        <v>地下车库</v>
      </c>
      <c r="AY24" s="42">
        <f t="shared" si="14"/>
        <v>1265.3800000000001</v>
      </c>
      <c r="AZ24" s="35">
        <f t="shared" si="15"/>
        <v>2000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2000</v>
      </c>
      <c r="BM24" s="35">
        <f t="shared" si="28"/>
        <v>0</v>
      </c>
      <c r="BN24" s="35">
        <f t="shared" si="29"/>
        <v>0</v>
      </c>
      <c r="BO24" s="35">
        <f t="shared" si="30"/>
        <v>0</v>
      </c>
      <c r="BP24" s="35">
        <f t="shared" si="31"/>
        <v>0</v>
      </c>
      <c r="BQ24" s="35">
        <f t="shared" si="32"/>
        <v>2000</v>
      </c>
      <c r="BR24" s="35">
        <f t="shared" si="33"/>
        <v>0</v>
      </c>
      <c r="BS24" s="35">
        <f t="shared" si="34"/>
        <v>0</v>
      </c>
      <c r="BT24" s="43">
        <f t="shared" si="35"/>
        <v>0</v>
      </c>
    </row>
    <row r="25" spans="1:72">
      <c r="A25" s="9"/>
      <c r="B25" s="34"/>
      <c r="C25" s="34" t="s">
        <v>3063</v>
      </c>
      <c r="D25" s="2947" t="s">
        <v>3078</v>
      </c>
      <c r="E25" s="35">
        <f t="shared" si="7"/>
        <v>2586.41</v>
      </c>
      <c r="F25" s="36"/>
      <c r="G25" s="37">
        <f t="shared" si="8"/>
        <v>4087.98</v>
      </c>
      <c r="H25" s="38">
        <f t="shared" si="9"/>
        <v>4087.98</v>
      </c>
      <c r="I25" s="39">
        <v>4087.98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t="str">
        <f t="shared" si="13"/>
        <v>10-A</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t="s">
        <v>3064</v>
      </c>
      <c r="D26" s="2947" t="s">
        <v>3078</v>
      </c>
      <c r="E26" s="35">
        <f t="shared" si="7"/>
        <v>2586.41</v>
      </c>
      <c r="F26" s="36"/>
      <c r="G26" s="37">
        <f t="shared" si="8"/>
        <v>4087.98</v>
      </c>
      <c r="H26" s="38">
        <f t="shared" si="9"/>
        <v>4087.98</v>
      </c>
      <c r="I26" s="39">
        <v>4087.98</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t="str">
        <f t="shared" si="13"/>
        <v>10-B</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t="s">
        <v>3065</v>
      </c>
      <c r="D27" s="2947" t="s">
        <v>3078</v>
      </c>
      <c r="E27" s="35">
        <f t="shared" si="7"/>
        <v>2089.61</v>
      </c>
      <c r="F27" s="36"/>
      <c r="G27" s="37">
        <f t="shared" si="8"/>
        <v>3302.75</v>
      </c>
      <c r="H27" s="38">
        <f t="shared" si="9"/>
        <v>3302.75</v>
      </c>
      <c r="I27" s="39">
        <v>3302.75</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t="str">
        <f t="shared" si="13"/>
        <v>11-A</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t="s">
        <v>3066</v>
      </c>
      <c r="D28" s="2947" t="s">
        <v>3078</v>
      </c>
      <c r="E28" s="35">
        <f t="shared" si="7"/>
        <v>2089.61</v>
      </c>
      <c r="F28" s="36"/>
      <c r="G28" s="37">
        <f t="shared" si="8"/>
        <v>3302.75</v>
      </c>
      <c r="H28" s="38">
        <f t="shared" si="9"/>
        <v>3302.75</v>
      </c>
      <c r="I28" s="39">
        <v>3302.75</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t="str">
        <f t="shared" si="13"/>
        <v>11-B</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t="s">
        <v>3067</v>
      </c>
      <c r="D29" s="2947" t="s">
        <v>3078</v>
      </c>
      <c r="E29" s="35">
        <f t="shared" si="7"/>
        <v>1592.6</v>
      </c>
      <c r="F29" s="36"/>
      <c r="G29" s="37">
        <f t="shared" si="8"/>
        <v>2517.19</v>
      </c>
      <c r="H29" s="38">
        <f t="shared" si="9"/>
        <v>2517.19</v>
      </c>
      <c r="I29" s="39">
        <v>2517.19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t="str">
        <f t="shared" si="13"/>
        <v>12-A</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t="s">
        <v>3068</v>
      </c>
      <c r="D30" s="2947" t="s">
        <v>3078</v>
      </c>
      <c r="E30" s="35">
        <f t="shared" si="7"/>
        <v>2089.62</v>
      </c>
      <c r="F30" s="36"/>
      <c r="G30" s="37">
        <f t="shared" si="8"/>
        <v>3302.77</v>
      </c>
      <c r="H30" s="38">
        <f t="shared" si="9"/>
        <v>3302.77</v>
      </c>
      <c r="I30" s="39">
        <v>3302.77</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t="str">
        <f t="shared" si="13"/>
        <v>12-B</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v>13</v>
      </c>
      <c r="D31" s="2947" t="s">
        <v>3078</v>
      </c>
      <c r="E31" s="35">
        <f t="shared" si="7"/>
        <v>2593.56</v>
      </c>
      <c r="F31" s="36"/>
      <c r="G31" s="37">
        <f t="shared" si="8"/>
        <v>4099.28</v>
      </c>
      <c r="H31" s="38">
        <f t="shared" si="9"/>
        <v>4099.28</v>
      </c>
      <c r="I31" s="39">
        <v>4099.28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13</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t="s">
        <v>3069</v>
      </c>
      <c r="D32" s="2947" t="s">
        <v>3078</v>
      </c>
      <c r="E32" s="35">
        <f t="shared" si="7"/>
        <v>1577.36</v>
      </c>
      <c r="F32" s="36"/>
      <c r="G32" s="37">
        <f t="shared" si="8"/>
        <v>2493.11</v>
      </c>
      <c r="H32" s="38">
        <f t="shared" si="9"/>
        <v>2493.11</v>
      </c>
      <c r="I32" s="39">
        <v>2493.11</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t="str">
        <f t="shared" si="13"/>
        <v>14-A</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t="s">
        <v>3070</v>
      </c>
      <c r="D33" s="2947" t="s">
        <v>3078</v>
      </c>
      <c r="E33" s="35">
        <f t="shared" si="7"/>
        <v>1577.36</v>
      </c>
      <c r="F33" s="36"/>
      <c r="G33" s="37">
        <f t="shared" si="8"/>
        <v>2493.11</v>
      </c>
      <c r="H33" s="38">
        <f t="shared" si="9"/>
        <v>2493.11</v>
      </c>
      <c r="I33" s="39">
        <v>2493.11</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t="str">
        <f t="shared" si="13"/>
        <v>14-B</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t="s">
        <v>3071</v>
      </c>
      <c r="D34" s="2947" t="s">
        <v>3078</v>
      </c>
      <c r="E34" s="35">
        <f t="shared" si="7"/>
        <v>1577.36</v>
      </c>
      <c r="F34" s="36"/>
      <c r="G34" s="37">
        <f t="shared" si="8"/>
        <v>2493.11</v>
      </c>
      <c r="H34" s="38">
        <f t="shared" si="9"/>
        <v>2493.11</v>
      </c>
      <c r="I34" s="39">
        <v>2493.11</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t="str">
        <f t="shared" si="13"/>
        <v>15-A</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t="s">
        <v>3072</v>
      </c>
      <c r="D35" s="2947" t="s">
        <v>3078</v>
      </c>
      <c r="E35" s="35">
        <f t="shared" si="7"/>
        <v>1577.36</v>
      </c>
      <c r="F35" s="36"/>
      <c r="G35" s="37">
        <f t="shared" si="8"/>
        <v>2493.11</v>
      </c>
      <c r="H35" s="38">
        <f t="shared" si="9"/>
        <v>2493.11</v>
      </c>
      <c r="I35" s="39">
        <v>2493.11</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t="str">
        <f t="shared" si="13"/>
        <v>15-B</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v>16</v>
      </c>
      <c r="D36" s="2947" t="s">
        <v>3078</v>
      </c>
      <c r="E36" s="35">
        <f t="shared" si="7"/>
        <v>2792.26</v>
      </c>
      <c r="F36" s="36"/>
      <c r="G36" s="37">
        <f t="shared" si="8"/>
        <v>4413.33</v>
      </c>
      <c r="H36" s="38">
        <f t="shared" si="9"/>
        <v>4413.33</v>
      </c>
      <c r="I36" s="39">
        <v>4413.33</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16</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v>17</v>
      </c>
      <c r="D37" s="2947" t="s">
        <v>3078</v>
      </c>
      <c r="E37" s="35">
        <f t="shared" si="7"/>
        <v>2792.84</v>
      </c>
      <c r="F37" s="36"/>
      <c r="G37" s="37">
        <f t="shared" si="8"/>
        <v>4414.24</v>
      </c>
      <c r="H37" s="38">
        <f t="shared" si="9"/>
        <v>4414.24</v>
      </c>
      <c r="I37" s="39">
        <v>4414.24</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17</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v>18</v>
      </c>
      <c r="D38" s="2947" t="s">
        <v>3078</v>
      </c>
      <c r="E38" s="35">
        <f t="shared" si="7"/>
        <v>2606.0500000000002</v>
      </c>
      <c r="F38" s="36"/>
      <c r="G38" s="37">
        <f t="shared" si="8"/>
        <v>4119.0200000000004</v>
      </c>
      <c r="H38" s="38">
        <f t="shared" si="9"/>
        <v>4119.0200000000004</v>
      </c>
      <c r="I38" s="39">
        <v>4119.0200000000004</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18</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7" sqref="E37"/>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1932</v>
      </c>
      <c r="B1" s="1395"/>
      <c r="C1" s="1395"/>
      <c r="D1" s="1395"/>
      <c r="E1" s="1395"/>
      <c r="F1" s="1395"/>
      <c r="G1" s="1395"/>
      <c r="H1" s="1395"/>
      <c r="I1" s="1395"/>
      <c r="J1" s="1395"/>
      <c r="K1" s="1395"/>
      <c r="L1" s="1395"/>
      <c r="M1" s="1395"/>
      <c r="N1" s="1395"/>
      <c r="O1" s="1395"/>
      <c r="P1" s="1395"/>
    </row>
    <row r="2" spans="1:16" ht="15">
      <c r="A2" s="3045" t="s">
        <v>1933</v>
      </c>
      <c r="B2" s="3045"/>
      <c r="C2" s="3045"/>
      <c r="D2" s="970" t="s">
        <v>1909</v>
      </c>
      <c r="E2" s="2226" t="s">
        <v>1910</v>
      </c>
      <c r="F2" s="1395"/>
      <c r="G2" s="2227"/>
      <c r="H2" s="2228"/>
      <c r="I2" s="2229" t="s">
        <v>1934</v>
      </c>
      <c r="J2" s="1395"/>
      <c r="K2" s="1395"/>
      <c r="L2" s="1395"/>
      <c r="M2" s="1395"/>
      <c r="N2" s="1430"/>
      <c r="O2" s="1395"/>
      <c r="P2" s="1395"/>
    </row>
    <row r="3" spans="1:16" ht="15.75" thickBot="1">
      <c r="A3" s="3046" t="s">
        <v>1907</v>
      </c>
      <c r="B3" s="3046"/>
      <c r="C3" s="3046"/>
      <c r="D3" s="3290">
        <f>'数据-基础表'!AY6</f>
        <v>23303.32</v>
      </c>
      <c r="E3" s="46">
        <f>'数据-基础表'!AZ5</f>
        <v>36832.270000000004</v>
      </c>
      <c r="F3" s="1395"/>
      <c r="G3" s="1402"/>
      <c r="H3" s="1250" t="s">
        <v>1908</v>
      </c>
      <c r="I3" s="55">
        <f>ROUND('数据-基础表'!B3/'数据-基础表'!A3,2)</f>
        <v>1.58</v>
      </c>
      <c r="J3" s="1395"/>
      <c r="K3" s="1395"/>
      <c r="L3" s="1395"/>
      <c r="M3" s="1395"/>
      <c r="N3" s="1430"/>
      <c r="O3" s="1395"/>
      <c r="P3" s="1395"/>
    </row>
    <row r="4" spans="1:16" ht="15">
      <c r="A4" s="3047"/>
      <c r="B4" s="3048"/>
      <c r="C4" s="3049"/>
      <c r="D4" s="2230" t="s">
        <v>1909</v>
      </c>
      <c r="E4" s="2231" t="s">
        <v>1910</v>
      </c>
      <c r="F4" s="1395"/>
      <c r="G4" s="2232" t="s">
        <v>1935</v>
      </c>
      <c r="H4" s="1250" t="s">
        <v>1915</v>
      </c>
      <c r="I4" s="55">
        <f>ROUND(SUMIF('数据-基础表'!I9:AS9,"地上",'数据-基础表'!I5:AS5)/'数据-基础表'!A3,2)</f>
        <v>1.54</v>
      </c>
      <c r="J4" s="1395"/>
      <c r="K4" s="1395"/>
      <c r="L4" s="1395"/>
      <c r="M4" s="1395"/>
      <c r="N4" s="1430"/>
      <c r="O4" s="1395"/>
      <c r="P4" s="1395"/>
    </row>
    <row r="5" spans="1:16">
      <c r="A5" s="47" t="s">
        <v>1911</v>
      </c>
      <c r="B5" s="3050" t="s">
        <v>1912</v>
      </c>
      <c r="C5" s="3050"/>
      <c r="D5" s="48">
        <f>ROUND($D$3*E5/$E$3,2)</f>
        <v>0</v>
      </c>
      <c r="E5" s="49">
        <f>SUMIF('数据-基础表'!$11:$11,"住宅",'数据-基础表'!$5:$5)</f>
        <v>0</v>
      </c>
      <c r="F5" s="1395"/>
      <c r="G5" s="1402"/>
      <c r="H5" s="1250" t="s">
        <v>1908</v>
      </c>
      <c r="I5" s="55">
        <f>ROUND(E31/D31,2)</f>
        <v>1.58</v>
      </c>
      <c r="J5" s="1395"/>
      <c r="K5" s="1395"/>
      <c r="L5" s="1395"/>
      <c r="M5" s="1395"/>
      <c r="N5" s="1395"/>
      <c r="O5" s="1395"/>
      <c r="P5" s="1395"/>
    </row>
    <row r="6" spans="1:16" ht="15" thickBot="1">
      <c r="A6" s="2233"/>
      <c r="B6" s="3050" t="s">
        <v>1913</v>
      </c>
      <c r="C6" s="3050"/>
      <c r="D6" s="48">
        <f>ROUND($D$3*E6/$E$3,2)</f>
        <v>23303.32</v>
      </c>
      <c r="E6" s="49">
        <f>E3-E5</f>
        <v>36832.270000000004</v>
      </c>
      <c r="F6" s="1395"/>
      <c r="G6" s="2234" t="s">
        <v>1914</v>
      </c>
      <c r="H6" s="1402" t="s">
        <v>1915</v>
      </c>
      <c r="I6" s="942">
        <f>ROUND(F31/D31,2)</f>
        <v>1.58</v>
      </c>
      <c r="J6" s="1395"/>
      <c r="K6" s="1395"/>
      <c r="L6" s="1395"/>
      <c r="M6" s="1395"/>
      <c r="N6" s="1395"/>
      <c r="O6" s="1395"/>
      <c r="P6" s="1395"/>
    </row>
    <row r="7" spans="1:16" ht="15">
      <c r="A7" s="3042"/>
      <c r="B7" s="3043"/>
      <c r="C7" s="3044"/>
      <c r="D7" s="2230" t="s">
        <v>1909</v>
      </c>
      <c r="E7" s="2235" t="s">
        <v>1916</v>
      </c>
      <c r="F7" s="1395"/>
      <c r="G7" s="2227" t="s">
        <v>1917</v>
      </c>
      <c r="H7" s="64"/>
      <c r="I7" s="420"/>
      <c r="J7" s="1395"/>
      <c r="K7" s="1395"/>
      <c r="L7" s="1395"/>
      <c r="M7" s="1395"/>
      <c r="N7" s="1395"/>
      <c r="O7" s="1395"/>
      <c r="P7" s="1395"/>
    </row>
    <row r="8" spans="1:16">
      <c r="A8" s="47" t="s">
        <v>1918</v>
      </c>
      <c r="B8" s="50" t="s">
        <v>1919</v>
      </c>
      <c r="C8" s="48" t="s">
        <v>1920</v>
      </c>
      <c r="D8" s="48">
        <f t="shared" ref="D8:D15" si="0">ROUND($D$3*E8/$E$3,2)</f>
        <v>22037.94</v>
      </c>
      <c r="E8" s="51">
        <f>SUMIF('数据-基础表'!BB10:BK10,"地上",'数据-基础表'!BB5:BK5)</f>
        <v>34832.270000000004</v>
      </c>
      <c r="F8" s="1395"/>
      <c r="G8" s="2236"/>
      <c r="H8" s="2236"/>
      <c r="I8" s="1395"/>
      <c r="J8" s="1395"/>
      <c r="K8" s="1395"/>
      <c r="L8" s="1395"/>
      <c r="M8" s="1395"/>
      <c r="N8" s="1395"/>
      <c r="O8" s="1395"/>
      <c r="P8" s="1395"/>
    </row>
    <row r="9" spans="1:16">
      <c r="A9" s="2237"/>
      <c r="B9" s="2238"/>
      <c r="C9" s="48" t="s">
        <v>1921</v>
      </c>
      <c r="D9" s="48">
        <f t="shared" si="0"/>
        <v>0</v>
      </c>
      <c r="E9" s="52">
        <v>0</v>
      </c>
      <c r="F9" s="1395"/>
      <c r="G9" s="2236"/>
      <c r="H9" s="2236"/>
      <c r="I9" s="1395"/>
      <c r="J9" s="1395"/>
      <c r="K9" s="1395"/>
      <c r="L9" s="1395"/>
      <c r="M9" s="1395"/>
      <c r="N9" s="1395"/>
      <c r="O9" s="1395"/>
      <c r="P9" s="1395"/>
    </row>
    <row r="10" spans="1:16">
      <c r="A10" s="2237"/>
      <c r="B10" s="2238"/>
      <c r="C10" s="48" t="s">
        <v>1930</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1922</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1923</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1924</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1936</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1931</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1925</v>
      </c>
      <c r="D16" s="50">
        <f>SUM(D8:D15)</f>
        <v>22037.94</v>
      </c>
      <c r="E16" s="53">
        <f>SUM(E8:E15)</f>
        <v>34832.270000000004</v>
      </c>
      <c r="F16" s="1395"/>
      <c r="G16" s="2236"/>
      <c r="H16" s="2239" t="s">
        <v>1937</v>
      </c>
      <c r="I16" s="2240"/>
      <c r="J16" s="1395"/>
      <c r="K16" s="3039" t="s">
        <v>1937</v>
      </c>
      <c r="L16" s="3040"/>
      <c r="M16" s="3040"/>
      <c r="N16" s="3040"/>
      <c r="O16" s="3040"/>
      <c r="P16" s="3041"/>
    </row>
    <row r="17" spans="1:19" ht="15">
      <c r="A17" s="2241" t="s">
        <v>1938</v>
      </c>
      <c r="B17" s="2242" t="s">
        <v>1939</v>
      </c>
      <c r="C17" s="2243" t="s">
        <v>1940</v>
      </c>
      <c r="D17" s="2244" t="s">
        <v>1928</v>
      </c>
      <c r="E17" s="2245" t="s">
        <v>1929</v>
      </c>
      <c r="F17" s="2246"/>
      <c r="G17" s="2247"/>
      <c r="H17" s="2248" t="s">
        <v>1941</v>
      </c>
      <c r="I17" s="2249" t="s">
        <v>1926</v>
      </c>
      <c r="J17" s="1395"/>
      <c r="K17" s="3036" t="s">
        <v>1942</v>
      </c>
      <c r="L17" s="3037"/>
      <c r="M17" s="3038"/>
      <c r="N17" s="3036" t="s">
        <v>1943</v>
      </c>
      <c r="O17" s="3037"/>
      <c r="P17" s="3038"/>
      <c r="R17" s="2227" t="s">
        <v>1944</v>
      </c>
      <c r="S17" s="64"/>
    </row>
    <row r="18" spans="1:19" ht="15">
      <c r="A18" s="2237"/>
      <c r="B18" s="2250"/>
      <c r="C18" s="2251"/>
      <c r="D18" s="2252"/>
      <c r="E18" s="2253" t="s">
        <v>1945</v>
      </c>
      <c r="F18" s="2254" t="s">
        <v>1946</v>
      </c>
      <c r="G18" s="2255" t="s">
        <v>1947</v>
      </c>
      <c r="H18" s="1265" t="s">
        <v>1948</v>
      </c>
      <c r="I18" s="2256" t="s">
        <v>1949</v>
      </c>
      <c r="J18" s="1395"/>
      <c r="K18" s="1265" t="s">
        <v>1950</v>
      </c>
      <c r="L18" s="2257" t="s">
        <v>1951</v>
      </c>
      <c r="M18" s="1049" t="s">
        <v>1952</v>
      </c>
      <c r="N18" s="1265" t="s">
        <v>1950</v>
      </c>
      <c r="O18" s="2257" t="s">
        <v>1951</v>
      </c>
      <c r="P18" s="1049" t="s">
        <v>1952</v>
      </c>
      <c r="R18" s="1250" t="s">
        <v>1953</v>
      </c>
      <c r="S18" s="1250" t="s">
        <v>1954</v>
      </c>
    </row>
    <row r="19" spans="1:19">
      <c r="A19" s="2258"/>
      <c r="B19" s="50" t="s">
        <v>1927</v>
      </c>
      <c r="C19" s="2946" t="s">
        <v>3076</v>
      </c>
      <c r="D19" s="48">
        <f>ROUND($D$3*E19/$E$3,2)</f>
        <v>22037.94</v>
      </c>
      <c r="E19" s="56">
        <f t="shared" ref="E19:E26" si="1">SUM(F19:G19)</f>
        <v>34832.270000000004</v>
      </c>
      <c r="F19" s="57">
        <v>34832.270000000004</v>
      </c>
      <c r="G19" s="58"/>
      <c r="H19" s="723">
        <f>ROUND($D$3*I19/$E$3,2)</f>
        <v>1265.3800000000001</v>
      </c>
      <c r="I19" s="51">
        <f t="shared" ref="I19:I26" si="2">IF($I$17="自定义",P19,M19)</f>
        <v>2000</v>
      </c>
      <c r="J19" s="1395"/>
      <c r="K19" s="1394">
        <f t="shared" ref="K19:K26" si="3">ROUND(E$28*E19/E$27,2)</f>
        <v>2000</v>
      </c>
      <c r="L19" s="1250">
        <f t="shared" ref="L19:L26" si="4">ROUND(IF(COUNTIF(C19,"*住宅*")&gt;0,E$29*E19/E$32,0),2)</f>
        <v>0</v>
      </c>
      <c r="M19" s="1406">
        <f>K19+L19</f>
        <v>2000</v>
      </c>
      <c r="N19" s="2260"/>
      <c r="O19" s="2261"/>
      <c r="P19" s="1406">
        <f>N19+O19</f>
        <v>0</v>
      </c>
      <c r="R19" s="1250">
        <f t="shared" ref="R19:S26" si="5">D19+H19</f>
        <v>23303.32</v>
      </c>
      <c r="S19" s="1251">
        <f t="shared" si="5"/>
        <v>36832.270000000004</v>
      </c>
    </row>
    <row r="20" spans="1:19">
      <c r="A20" s="2262"/>
      <c r="B20" s="50" t="s">
        <v>1955</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1955</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1955</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1956</v>
      </c>
      <c r="D27" s="1396">
        <f>SUM(D19:D26)</f>
        <v>22037.94</v>
      </c>
      <c r="E27" s="1397">
        <f>IF(SUM(E19:E26)='数据-基础表'!BA5,SUM(E19:E26),IF(F27="地上面积有误","面积有误","地下面积有误"))</f>
        <v>34832.270000000004</v>
      </c>
      <c r="F27" s="1396">
        <f>IF(SUM(F19:F26)=E8,SUM(F19:F26),"地上面积有误")</f>
        <v>34832.270000000004</v>
      </c>
      <c r="G27" s="1398">
        <f>SUM(G19:G26)</f>
        <v>0</v>
      </c>
      <c r="H27" s="1399">
        <f>SUM(H19:H26)</f>
        <v>1265.3800000000001</v>
      </c>
      <c r="I27" s="1400">
        <f>SUM(I19:I26)</f>
        <v>2000</v>
      </c>
      <c r="J27" s="1395"/>
      <c r="K27" s="1403">
        <f>SUM(K19:K26)</f>
        <v>2000</v>
      </c>
      <c r="L27" s="1404">
        <f>SUM(L19:L26)</f>
        <v>0</v>
      </c>
      <c r="M27" s="1407">
        <f>SUM(M19:M26)</f>
        <v>2000</v>
      </c>
      <c r="N27" s="1403">
        <f t="shared" ref="N27:O27" si="10">SUM(N19:N26)</f>
        <v>0</v>
      </c>
      <c r="O27" s="1404">
        <f t="shared" si="10"/>
        <v>0</v>
      </c>
      <c r="P27" s="1405">
        <f>SUM(P19:P26)</f>
        <v>0</v>
      </c>
      <c r="R27" s="1252">
        <f>IF(SUM(R19:R26)=$D$3,SUM(R19:R26),SUM(R19:R26)&amp;"误差"&amp;ROUND(SUM(R19:R26)-$D$3,2))</f>
        <v>23303.32</v>
      </c>
      <c r="S27" s="1250">
        <f>IF(SUM(S19:S26)=$E$3,SUM(S19:S26),SUM(S19:S26)&amp;"误差"&amp;ROUND(SUM(S19:S26)-E3,2))</f>
        <v>36832.270000000004</v>
      </c>
    </row>
    <row r="28" spans="1:19">
      <c r="A28" s="2262"/>
      <c r="B28" s="50" t="s">
        <v>1957</v>
      </c>
      <c r="C28" s="1262" t="s">
        <v>1958</v>
      </c>
      <c r="D28" s="48">
        <f>ROUND($D$3*E28/$E$3,2)</f>
        <v>1265.3800000000001</v>
      </c>
      <c r="E28" s="56">
        <f>SUM(F28:G28)</f>
        <v>2000</v>
      </c>
      <c r="F28" s="64">
        <f>'数据-基础表'!BQ5+'数据-基础表'!BS5</f>
        <v>2000</v>
      </c>
      <c r="G28" s="65">
        <f>'数据-基础表'!BR5+'数据-基础表'!BT5</f>
        <v>0</v>
      </c>
      <c r="H28" s="1395"/>
      <c r="I28" s="1395"/>
      <c r="J28" s="1395"/>
      <c r="K28" s="1395"/>
      <c r="L28" s="1395"/>
      <c r="M28" s="1395"/>
      <c r="N28" s="1395"/>
      <c r="O28" s="1395"/>
      <c r="P28" s="1395"/>
    </row>
    <row r="29" spans="1:19">
      <c r="A29" s="2262"/>
      <c r="B29" s="50" t="s">
        <v>1957</v>
      </c>
      <c r="C29" s="2266" t="s">
        <v>1959</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1956</v>
      </c>
      <c r="D30" s="1396">
        <f>SUM(D28:D29)</f>
        <v>1265.3800000000001</v>
      </c>
      <c r="E30" s="1396">
        <f>SUM(E28:E29)</f>
        <v>2000</v>
      </c>
      <c r="F30" s="1396">
        <f>SUM(F28:F29)</f>
        <v>2000</v>
      </c>
      <c r="G30" s="1398">
        <f>SUM(G28:G29)</f>
        <v>0</v>
      </c>
      <c r="H30" s="1395"/>
      <c r="I30" s="1395"/>
      <c r="J30" s="1395"/>
      <c r="K30" s="1395"/>
      <c r="L30" s="1395"/>
      <c r="M30" s="1395"/>
      <c r="N30" s="1395"/>
      <c r="O30" s="1395"/>
      <c r="P30" s="1395"/>
    </row>
    <row r="31" spans="1:19" ht="15.75" thickBot="1">
      <c r="A31" s="2268"/>
      <c r="B31" s="2269"/>
      <c r="C31" s="1010" t="s">
        <v>1960</v>
      </c>
      <c r="D31" s="729">
        <f>D27+D30</f>
        <v>23303.32</v>
      </c>
      <c r="E31" s="729">
        <f>E27+E30</f>
        <v>36832.270000000004</v>
      </c>
      <c r="F31" s="730">
        <f>F27+F30</f>
        <v>36832.270000000004</v>
      </c>
      <c r="G31" s="731">
        <f>G27+G30</f>
        <v>0</v>
      </c>
      <c r="H31" s="1395"/>
      <c r="I31" s="1395"/>
      <c r="J31" s="1395"/>
      <c r="K31" s="1395"/>
      <c r="L31" s="1395"/>
      <c r="M31" s="1395"/>
      <c r="N31" s="1395"/>
      <c r="O31" s="1395"/>
      <c r="P31" s="1395"/>
    </row>
    <row r="32" spans="1:19">
      <c r="A32" s="2232"/>
      <c r="B32" s="2232" t="s">
        <v>1961</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1962</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1963</v>
      </c>
      <c r="B2" s="1269">
        <f>项目基本情况!D3</f>
        <v>43430</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1964</v>
      </c>
      <c r="B4" s="2280"/>
      <c r="C4" s="2281"/>
      <c r="D4" s="2282"/>
      <c r="E4" s="2281" t="s">
        <v>1965</v>
      </c>
      <c r="F4" s="2281"/>
      <c r="G4" s="2281"/>
      <c r="H4" s="2281"/>
      <c r="I4" s="2281"/>
      <c r="J4" s="2283"/>
      <c r="K4" s="2284"/>
      <c r="L4" s="2285"/>
      <c r="M4" s="2281"/>
      <c r="N4" s="2281" t="s">
        <v>1966</v>
      </c>
      <c r="O4" s="2281"/>
      <c r="P4" s="2281"/>
      <c r="Q4" s="2281"/>
      <c r="R4" s="2281"/>
      <c r="S4" s="2283"/>
      <c r="T4" s="2286" t="str">
        <f>'数据-汇总表'!I17</f>
        <v>按面积比例</v>
      </c>
      <c r="U4" s="2280" t="s">
        <v>1967</v>
      </c>
      <c r="V4" s="2281"/>
      <c r="W4" s="2281"/>
      <c r="X4" s="2281"/>
      <c r="Y4" s="2283"/>
      <c r="Z4" s="2243" t="s">
        <v>1968</v>
      </c>
      <c r="AA4" s="2243"/>
      <c r="AB4" s="2243"/>
      <c r="AC4" s="2243"/>
      <c r="AD4" s="2243"/>
      <c r="AE4" s="2241" t="s">
        <v>1969</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1970</v>
      </c>
      <c r="B5" s="2289" t="s">
        <v>1971</v>
      </c>
      <c r="C5" s="2290" t="s">
        <v>1972</v>
      </c>
      <c r="D5" s="2291" t="s">
        <v>1973</v>
      </c>
      <c r="E5" s="1271" t="s">
        <v>1974</v>
      </c>
      <c r="F5" s="2292" t="s">
        <v>1975</v>
      </c>
      <c r="G5" s="1271" t="s">
        <v>1976</v>
      </c>
      <c r="H5" s="1271" t="s">
        <v>1977</v>
      </c>
      <c r="I5" s="1271" t="s">
        <v>1978</v>
      </c>
      <c r="J5" s="2293" t="s">
        <v>1979</v>
      </c>
      <c r="K5" s="2294" t="s">
        <v>1980</v>
      </c>
      <c r="L5" s="2295" t="s">
        <v>1981</v>
      </c>
      <c r="M5" s="2296" t="s">
        <v>1982</v>
      </c>
      <c r="N5" s="2297" t="s">
        <v>1983</v>
      </c>
      <c r="O5" s="2295" t="s">
        <v>1984</v>
      </c>
      <c r="P5" s="2298" t="s">
        <v>1985</v>
      </c>
      <c r="Q5" s="69" t="s">
        <v>1986</v>
      </c>
      <c r="R5" s="2299" t="s">
        <v>1987</v>
      </c>
      <c r="S5" s="2300" t="s">
        <v>1988</v>
      </c>
      <c r="T5" s="2301" t="s">
        <v>1989</v>
      </c>
      <c r="U5" s="1270" t="s">
        <v>1990</v>
      </c>
      <c r="V5" s="1271" t="s">
        <v>1991</v>
      </c>
      <c r="W5" s="1271" t="s">
        <v>1992</v>
      </c>
      <c r="X5" s="71"/>
      <c r="Y5" s="70" t="s">
        <v>1993</v>
      </c>
      <c r="Z5" s="2302" t="s">
        <v>1990</v>
      </c>
      <c r="AA5" s="1271" t="s">
        <v>1991</v>
      </c>
      <c r="AB5" s="1271" t="s">
        <v>1992</v>
      </c>
      <c r="AC5" s="71"/>
      <c r="AD5" s="71" t="s">
        <v>1993</v>
      </c>
      <c r="AE5" s="1270" t="s">
        <v>1994</v>
      </c>
      <c r="AF5" s="1271" t="s">
        <v>1995</v>
      </c>
      <c r="AG5" s="70" t="s">
        <v>1996</v>
      </c>
      <c r="AH5" s="1270" t="s">
        <v>1997</v>
      </c>
      <c r="AI5" s="2302" t="s">
        <v>1998</v>
      </c>
      <c r="AJ5" s="2302" t="s">
        <v>1999</v>
      </c>
      <c r="AK5" s="1271" t="s">
        <v>2000</v>
      </c>
      <c r="AL5" s="1271" t="s">
        <v>2001</v>
      </c>
      <c r="AM5" s="70" t="s">
        <v>2002</v>
      </c>
      <c r="AN5" s="2303" t="s">
        <v>2003</v>
      </c>
      <c r="AO5" s="2074" t="s">
        <v>2004</v>
      </c>
      <c r="AP5" s="1252"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一期</v>
      </c>
      <c r="B6" s="2306" t="str">
        <f>IF(A6=0,"","经营性")</f>
        <v>经营性</v>
      </c>
      <c r="C6" s="2307" t="s">
        <v>6</v>
      </c>
      <c r="D6" s="1054">
        <f>SUMIF(项目基本情况!D$12:I$12,C6,项目基本情况!D$14:I$14)</f>
        <v>50</v>
      </c>
      <c r="E6" s="1051">
        <f>IF(B6="","",SUMIF(项目基本情况!D$12:I$12,C6,项目基本情况!D$13:I$13))</f>
        <v>59944</v>
      </c>
      <c r="F6" s="72">
        <f>SUMIF(项目基本情况!D$12:I$12,C6,项目基本情况!D$15:I$15)</f>
        <v>45.24</v>
      </c>
      <c r="G6" s="73">
        <f>IF(ISERROR(ROUND(POWER(1+H6,D6-F6)*(POWER(1+H6,F6)-1)/(POWER(1+H6,D6)-1),3)),0,ROUND(POWER(1+H6,D6-F6)*(POWER(1+H6,F6)-1)/(POWER(1+H6,D6)-1),3))</f>
        <v>0.97099999999999997</v>
      </c>
      <c r="H6" s="802">
        <v>4.4999999999999998E-2</v>
      </c>
      <c r="I6" s="802">
        <v>0.05</v>
      </c>
      <c r="J6" s="74">
        <v>8.5000000000000006E-2</v>
      </c>
      <c r="K6" s="1254">
        <f>SUMIF('数据-汇总表'!C$19:C$33,A6,'数据-汇总表'!E$19:E$33)</f>
        <v>34832.270000000004</v>
      </c>
      <c r="L6" s="803">
        <v>2500</v>
      </c>
      <c r="M6" s="75">
        <f t="shared" ref="M6:M14" si="0">ROUND(K6*L6/10000,0)</f>
        <v>8708</v>
      </c>
      <c r="N6" s="801">
        <v>0.95</v>
      </c>
      <c r="O6" s="75">
        <f>IF($N$5="成新度","——",ROUND(M6*N6,0))</f>
        <v>8273</v>
      </c>
      <c r="P6" s="76">
        <f>IF($N$5="成新度","——",M6-O6)</f>
        <v>435</v>
      </c>
      <c r="Q6" s="804">
        <v>0.1</v>
      </c>
      <c r="R6" s="77">
        <f ca="1">SUMIF('数据-汇总表'!C$19:C$33,A6,'数据-汇总表'!R$19:R$27)</f>
        <v>23303.32</v>
      </c>
      <c r="S6" s="54">
        <f>IF('数据-汇总表'!$I$17="按面积比例",SUMIF('数据-汇总表'!C$19:C$33,A6,'数据-汇总表'!K$19:K$33),SUMIF('数据-汇总表'!C$19:C$33,A6,'数据-汇总表'!N$19:N$33))</f>
        <v>2000</v>
      </c>
      <c r="T6" s="1446">
        <f>ROUND($L$14*S6/10000,0)</f>
        <v>400</v>
      </c>
      <c r="U6" s="78">
        <v>1.2</v>
      </c>
      <c r="V6" s="79">
        <v>0.01</v>
      </c>
      <c r="W6" s="79">
        <v>0.1</v>
      </c>
      <c r="X6" s="1264"/>
      <c r="Y6" s="80">
        <v>1</v>
      </c>
      <c r="Z6" s="81"/>
      <c r="AA6" s="74"/>
      <c r="AB6" s="74"/>
      <c r="AC6" s="1264"/>
      <c r="AD6" s="82"/>
      <c r="AE6" s="1265">
        <f ca="1">IF(AN6="",0,SUMIF(INDIRECT("'"&amp;AN6&amp;"'"&amp;"!E:E"),$AE$5,INDIRECT("'"&amp;AN6&amp;"'"&amp;"!F:F")))</f>
        <v>45.04</v>
      </c>
      <c r="AF6" s="1807"/>
      <c r="AG6" s="147">
        <f>IF(AF6="",0,AE6-AF6)</f>
        <v>0</v>
      </c>
      <c r="AH6" s="83"/>
      <c r="AI6" s="85">
        <v>365</v>
      </c>
      <c r="AJ6" s="86"/>
      <c r="AK6" s="87">
        <v>2E-3</v>
      </c>
      <c r="AL6" s="88">
        <v>2.5000000000000001E-4</v>
      </c>
      <c r="AM6" s="89">
        <v>0.02</v>
      </c>
      <c r="AN6" s="2308" t="s">
        <v>3207</v>
      </c>
      <c r="AO6" s="55">
        <f ca="1">SUMIF(INDIRECT("'"&amp;AN6&amp;"'"&amp;"!A:A"),"总价",INDIRECT("'"&amp;AN6&amp;"'"&amp;"!B:B"))</f>
        <v>22264</v>
      </c>
      <c r="AP6" s="2309">
        <f>IF(C6="住宅",K6*L6,0)</f>
        <v>0</v>
      </c>
      <c r="AQ6" s="55">
        <f>ROUND($L$14*$N$14*S6/10000,0)</f>
        <v>0</v>
      </c>
      <c r="AR6" s="55">
        <f>ROUND($L$14*(1-$N$14)*S6/10000,0)</f>
        <v>400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2008</v>
      </c>
      <c r="B14" s="2306" t="s">
        <v>2009</v>
      </c>
      <c r="C14" s="2311" t="s">
        <v>2008</v>
      </c>
      <c r="D14" s="1054"/>
      <c r="E14" s="1051"/>
      <c r="F14" s="72"/>
      <c r="G14" s="73"/>
      <c r="H14" s="1253"/>
      <c r="I14" s="1253"/>
      <c r="J14" s="1253"/>
      <c r="K14" s="1254">
        <f>SUMIF('数据-汇总表'!C$19:C$33,A14,'数据-汇总表'!E$19:E$33)</f>
        <v>2000</v>
      </c>
      <c r="L14" s="3285">
        <v>2000</v>
      </c>
      <c r="M14" s="75">
        <f t="shared" si="0"/>
        <v>400</v>
      </c>
      <c r="N14" s="92"/>
      <c r="O14" s="75">
        <f t="shared" si="3"/>
        <v>0</v>
      </c>
      <c r="P14" s="76">
        <f t="shared" si="4"/>
        <v>400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2010</v>
      </c>
      <c r="B15" s="2306" t="s">
        <v>2009</v>
      </c>
      <c r="C15" s="2311"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2012</v>
      </c>
      <c r="B16" s="97"/>
      <c r="C16" s="1008"/>
      <c r="D16" s="2313"/>
      <c r="E16" s="97"/>
      <c r="F16" s="97"/>
      <c r="G16" s="98">
        <f>ROUND(SUMPRODUCT(G6:G13,K6:K13)/SUMPRODUCT((G6:G13&gt;0)*(K6:K13)),3)</f>
        <v>0.97099999999999997</v>
      </c>
      <c r="H16" s="99">
        <f>ROUND(SUMPRODUCT(H6:H13,K6:K13)/SUMPRODUCT((H6:H13&gt;0)*(K6:K13)),3)</f>
        <v>4.4999999999999998E-2</v>
      </c>
      <c r="I16" s="100"/>
      <c r="J16" s="100"/>
      <c r="K16" s="101">
        <f>SUM(K6:K15)</f>
        <v>36832.270000000004</v>
      </c>
      <c r="L16" s="102">
        <f>ROUND(M16*10000/SUM(K6:K14),0)</f>
        <v>2473</v>
      </c>
      <c r="M16" s="102">
        <f>SUM(M6:M14)</f>
        <v>9108</v>
      </c>
      <c r="N16" s="103">
        <f>ROUND(SUMPRODUCT(M6:M14,N6:N14)/M16,3)</f>
        <v>0.90800000000000003</v>
      </c>
      <c r="O16" s="102">
        <f>SUM(O6:O14)</f>
        <v>8273</v>
      </c>
      <c r="P16" s="102">
        <f>SUM(P6:P14)</f>
        <v>835</v>
      </c>
      <c r="Q16" s="104">
        <f>ROUND(SUMPRODUCT(Q6:Q13,K6:K13)/SUMPRODUCT((Q6:Q13&gt;0)*(K6:K13)),2)</f>
        <v>0.1</v>
      </c>
      <c r="R16" s="1258">
        <f ca="1">SUM(R6:R13)</f>
        <v>23303.32</v>
      </c>
      <c r="S16" s="105">
        <f>SUM(S6:S13)</f>
        <v>2000</v>
      </c>
      <c r="T16" s="106">
        <f>IF(SUMIF(T6:T13,"&lt;9E307")=M14,SUMIF(T6:T13,"&lt;9E307"),"有误，请检查")</f>
        <v>400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2014</v>
      </c>
      <c r="B19" s="112">
        <v>0</v>
      </c>
      <c r="C19" s="2276" t="s">
        <v>2015</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2016</v>
      </c>
      <c r="B20" s="113">
        <v>1.5</v>
      </c>
      <c r="C20" s="2276" t="s">
        <v>2017</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2018</v>
      </c>
      <c r="B21" s="113">
        <v>1.3</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2019</v>
      </c>
      <c r="B22" s="114">
        <f>B19+B20</f>
        <v>1.5</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2020</v>
      </c>
      <c r="B23" s="114">
        <f>B19+B21</f>
        <v>1.3</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2021</v>
      </c>
      <c r="B24" s="115">
        <f>B20-B21</f>
        <v>0.19999999999999996</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2022</v>
      </c>
      <c r="B26" s="2319" t="s">
        <v>2023</v>
      </c>
      <c r="C26" s="2320" t="s">
        <v>2024</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2025</v>
      </c>
      <c r="B27" s="116"/>
      <c r="C27" s="1767" t="s">
        <v>2026</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2027</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2028</v>
      </c>
      <c r="B29" s="121">
        <v>737</v>
      </c>
      <c r="C29" s="1767" t="s">
        <v>2029</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2030</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2031</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2032</v>
      </c>
      <c r="B32" s="725"/>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2033</v>
      </c>
      <c r="B33" s="726">
        <v>0.03</v>
      </c>
      <c r="C33" s="1766" t="s">
        <v>2034</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2035</v>
      </c>
      <c r="B34" s="122">
        <v>0</v>
      </c>
      <c r="C34" s="1766" t="s">
        <v>2036</v>
      </c>
      <c r="D34" s="2277" t="s">
        <v>2037</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2038</v>
      </c>
      <c r="B35" s="119">
        <v>200</v>
      </c>
      <c r="C35" s="1766" t="s">
        <v>2039</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2040</v>
      </c>
      <c r="B36" s="123">
        <v>1.4999999999999999E-2</v>
      </c>
      <c r="C36" s="1766" t="s">
        <v>2041</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2042</v>
      </c>
      <c r="B37" s="124">
        <v>0.02</v>
      </c>
      <c r="C37" s="1766" t="s">
        <v>2043</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2044</v>
      </c>
      <c r="B38" s="122">
        <v>0.02</v>
      </c>
      <c r="C38" s="1766" t="s">
        <v>2043</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2045</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2046</v>
      </c>
      <c r="B40" s="1303">
        <f ca="1">存贷款利率!G1</f>
        <v>4.7500000000000001E-2</v>
      </c>
      <c r="C40" s="1766" t="s">
        <v>2047</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2048</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2049</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2050</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2051</v>
      </c>
      <c r="B44" s="128">
        <v>0.05</v>
      </c>
      <c r="C44" s="1766" t="s">
        <v>2052</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2053</v>
      </c>
      <c r="B45" s="126">
        <v>0.03</v>
      </c>
      <c r="C45" s="1767" t="s">
        <v>2054</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2055</v>
      </c>
      <c r="B46" s="126">
        <v>0.02</v>
      </c>
      <c r="C46" s="1767" t="s">
        <v>2056</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2057</v>
      </c>
      <c r="B47" s="129">
        <v>0</v>
      </c>
      <c r="C47" s="1767" t="s">
        <v>2058</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2059</v>
      </c>
      <c r="B48" s="130">
        <v>0.03</v>
      </c>
      <c r="C48" s="1774" t="s">
        <v>2060</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2061</v>
      </c>
      <c r="B49" s="126">
        <v>5.0000000000000001E-4</v>
      </c>
      <c r="C49" s="1774" t="s">
        <v>2062</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2063</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2064</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2065</v>
      </c>
      <c r="B52" s="133">
        <f>SUMIF(A54:A63,B53,B54:B63)</f>
        <v>1.5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2066</v>
      </c>
      <c r="B53" s="2335" t="s">
        <v>56</v>
      </c>
      <c r="C53" s="1430" t="s">
        <v>2067</v>
      </c>
      <c r="D53" s="2336" t="s">
        <v>2068</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2069</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2070</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2071</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2072</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2073</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2074</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2075</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2076</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2077</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2078</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2" sqref="G22:G23"/>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1" t="s">
        <v>2079</v>
      </c>
      <c r="B1" s="3052"/>
      <c r="C1" s="3052"/>
      <c r="D1" s="3052"/>
      <c r="E1" s="3052"/>
      <c r="F1" s="3052"/>
      <c r="G1" s="3052"/>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5"/>
      <c r="G2" s="2364" t="s">
        <v>2081</v>
      </c>
      <c r="H2" s="2367"/>
      <c r="I2" s="2367"/>
      <c r="J2" s="2367"/>
      <c r="K2" s="2367"/>
      <c r="L2" s="2367"/>
      <c r="M2" s="2367"/>
      <c r="N2" s="2367"/>
      <c r="O2" s="2367"/>
      <c r="P2" s="2367"/>
      <c r="Q2" s="2367"/>
      <c r="R2" s="2367"/>
    </row>
    <row r="3" spans="1:29" ht="57">
      <c r="A3" s="415" t="s">
        <v>2082</v>
      </c>
      <c r="B3" s="1271" t="s">
        <v>2083</v>
      </c>
      <c r="C3" s="2369"/>
      <c r="D3" s="2370"/>
      <c r="E3" s="431" t="s">
        <v>2082</v>
      </c>
      <c r="F3" s="2371" t="s">
        <v>2084</v>
      </c>
      <c r="G3" s="2372" t="s">
        <v>3085</v>
      </c>
      <c r="H3" s="2367"/>
      <c r="I3" s="2367"/>
      <c r="J3" s="2367"/>
      <c r="K3" s="2367"/>
      <c r="L3" s="2367"/>
      <c r="M3" s="2367"/>
      <c r="N3" s="2367"/>
      <c r="O3" s="2367"/>
      <c r="P3" s="2367"/>
      <c r="Q3" s="2367"/>
      <c r="R3" s="2367"/>
    </row>
    <row r="4" spans="1:29" ht="57">
      <c r="A4" s="431"/>
      <c r="B4" s="1798" t="s">
        <v>2085</v>
      </c>
      <c r="C4" s="2373"/>
      <c r="D4" s="2370"/>
      <c r="E4" s="2374"/>
      <c r="F4" s="42" t="s">
        <v>2086</v>
      </c>
      <c r="G4" s="2375" t="s">
        <v>3086</v>
      </c>
      <c r="H4" s="2367"/>
      <c r="I4" s="2367"/>
      <c r="J4" s="2367"/>
      <c r="K4" s="2367"/>
      <c r="L4" s="2367"/>
      <c r="M4" s="2367"/>
      <c r="N4" s="2367"/>
      <c r="O4" s="2367"/>
      <c r="P4" s="2367"/>
      <c r="Q4" s="2367"/>
      <c r="R4" s="2367"/>
    </row>
    <row r="5" spans="1:29" ht="28.5">
      <c r="A5" s="431"/>
      <c r="B5" s="1798" t="s">
        <v>2087</v>
      </c>
      <c r="C5" s="2373"/>
      <c r="D5" s="2370"/>
      <c r="E5" s="2374"/>
      <c r="F5" s="1798" t="s">
        <v>2088</v>
      </c>
      <c r="G5" s="2375" t="s">
        <v>3087</v>
      </c>
      <c r="H5" s="2367"/>
      <c r="I5" s="2367"/>
      <c r="J5" s="2367"/>
      <c r="K5" s="2367"/>
      <c r="L5" s="2367"/>
      <c r="M5" s="2367"/>
      <c r="N5" s="2367"/>
      <c r="O5" s="2367"/>
      <c r="P5" s="2367"/>
      <c r="Q5" s="2367"/>
      <c r="R5" s="2367"/>
    </row>
    <row r="6" spans="1:29" ht="15">
      <c r="A6" s="431"/>
      <c r="B6" s="1798" t="s">
        <v>2089</v>
      </c>
      <c r="C6" s="2375"/>
      <c r="D6" s="2370"/>
      <c r="E6" s="2374"/>
      <c r="F6" s="1798" t="s">
        <v>2090</v>
      </c>
      <c r="G6" s="2375" t="s">
        <v>3088</v>
      </c>
      <c r="H6" s="2367"/>
      <c r="I6" s="2367"/>
      <c r="J6" s="2367"/>
      <c r="K6" s="2367"/>
      <c r="L6" s="2367"/>
      <c r="M6" s="2367"/>
      <c r="N6" s="2367"/>
      <c r="O6" s="2367"/>
      <c r="P6" s="2367"/>
      <c r="Q6" s="2367"/>
      <c r="R6" s="2367"/>
    </row>
    <row r="7" spans="1:29" ht="43.5" thickBot="1">
      <c r="A7" s="431"/>
      <c r="B7" s="1798" t="s">
        <v>2088</v>
      </c>
      <c r="C7" s="2375"/>
      <c r="D7" s="2376"/>
      <c r="E7" s="2377"/>
      <c r="F7" s="2378" t="s">
        <v>2091</v>
      </c>
      <c r="G7" s="2379" t="s">
        <v>3089</v>
      </c>
      <c r="H7" s="2367"/>
      <c r="I7" s="2367"/>
      <c r="J7" s="2367"/>
      <c r="K7" s="2367"/>
      <c r="L7" s="2367"/>
      <c r="M7" s="2367"/>
      <c r="N7" s="2367"/>
      <c r="O7" s="2367"/>
      <c r="P7" s="2367"/>
      <c r="Q7" s="2367"/>
      <c r="R7" s="2367"/>
    </row>
    <row r="8" spans="1:29" ht="15">
      <c r="A8" s="431"/>
      <c r="B8" s="1798" t="s">
        <v>2090</v>
      </c>
      <c r="C8" s="2375"/>
      <c r="D8" s="2376"/>
      <c r="E8" s="2376"/>
      <c r="F8" s="1136"/>
      <c r="G8" s="1136"/>
      <c r="H8" s="2367"/>
      <c r="I8" s="2367"/>
      <c r="J8" s="2367"/>
      <c r="K8" s="2367"/>
      <c r="L8" s="2367"/>
      <c r="M8" s="2367"/>
      <c r="N8" s="2367"/>
      <c r="O8" s="2367"/>
      <c r="P8" s="2367"/>
      <c r="Q8" s="2367"/>
      <c r="R8" s="2367"/>
    </row>
    <row r="9" spans="1:29" ht="15">
      <c r="A9" s="431"/>
      <c r="B9" s="1798" t="s">
        <v>2092</v>
      </c>
      <c r="C9" s="2373"/>
      <c r="D9" s="2370"/>
      <c r="E9" s="2376"/>
      <c r="F9" s="1136"/>
      <c r="G9" s="1136"/>
      <c r="H9" s="2367"/>
      <c r="I9" s="2367"/>
      <c r="J9" s="2367"/>
      <c r="K9" s="2367"/>
      <c r="L9" s="2367"/>
      <c r="M9" s="2367"/>
      <c r="N9" s="2367"/>
      <c r="O9" s="2367"/>
      <c r="P9" s="2367"/>
      <c r="Q9" s="2367"/>
      <c r="R9" s="2367"/>
    </row>
    <row r="10" spans="1:29" s="117" customFormat="1" ht="15.75" thickBot="1">
      <c r="A10" s="2380"/>
      <c r="B10" s="2381" t="s">
        <v>2093</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2094</v>
      </c>
      <c r="B13" s="2387"/>
      <c r="C13" s="2387"/>
      <c r="D13" s="2394"/>
      <c r="E13" s="2387"/>
      <c r="F13" s="2387"/>
      <c r="G13" s="2387"/>
    </row>
    <row r="14" spans="1:29" ht="15.75" thickBot="1">
      <c r="A14" s="2398"/>
      <c r="B14" s="2399"/>
      <c r="C14" s="2400" t="s">
        <v>2095</v>
      </c>
      <c r="D14" s="2370"/>
      <c r="E14" s="2401"/>
      <c r="F14" s="2401"/>
      <c r="G14" s="2364" t="s">
        <v>2096</v>
      </c>
    </row>
    <row r="15" spans="1:29" ht="57">
      <c r="A15" s="68" t="s">
        <v>2097</v>
      </c>
      <c r="B15" s="1270" t="s">
        <v>2083</v>
      </c>
      <c r="C15" s="2402">
        <f>C3</f>
        <v>0</v>
      </c>
      <c r="D15" s="2370"/>
      <c r="E15" s="2403" t="s">
        <v>2098</v>
      </c>
      <c r="F15" s="1270" t="s">
        <v>2099</v>
      </c>
      <c r="G15" s="135" t="str">
        <f>G3</f>
        <v>估价对象位于大兴生物医药基地，周边1公里范围内有味多美食品技术开发公司、北京以岭药业等项目，产业集聚程度较好。</v>
      </c>
    </row>
    <row r="16" spans="1:29" ht="57">
      <c r="A16" s="645"/>
      <c r="B16" s="2404" t="s">
        <v>2085</v>
      </c>
      <c r="C16" s="2405">
        <f>C4</f>
        <v>0</v>
      </c>
      <c r="D16" s="2370"/>
      <c r="E16" s="2406"/>
      <c r="F16" s="2407" t="s">
        <v>2086</v>
      </c>
      <c r="G16" s="136" t="str">
        <f>G4</f>
        <v>周边1公里范围内有兴11路、兴15路、兴16路等公交线路及地铁大兴线经过，交通便捷度一般。</v>
      </c>
    </row>
    <row r="17" spans="1:18" ht="27">
      <c r="A17" s="645"/>
      <c r="B17" s="2404" t="s">
        <v>2087</v>
      </c>
      <c r="C17" s="2405">
        <f>C5</f>
        <v>0</v>
      </c>
      <c r="D17" s="2376"/>
      <c r="E17" s="2406"/>
      <c r="F17" s="2407" t="s">
        <v>2100</v>
      </c>
      <c r="G17" s="2949" t="s">
        <v>3112</v>
      </c>
    </row>
    <row r="18" spans="1:18" ht="42.75">
      <c r="A18" s="645"/>
      <c r="B18" s="2407" t="s">
        <v>2089</v>
      </c>
      <c r="C18" s="136">
        <f>C6</f>
        <v>0</v>
      </c>
      <c r="D18" s="2376"/>
      <c r="E18" s="2406"/>
      <c r="F18" s="2407" t="s">
        <v>2091</v>
      </c>
      <c r="G18" s="136" t="str">
        <f>G7</f>
        <v>区域内污染物排放及治理状况一般，周边无危险设施及污染源，环境状况较好。</v>
      </c>
    </row>
    <row r="19" spans="1:18" ht="28.5">
      <c r="A19" s="645"/>
      <c r="B19" s="2407" t="s">
        <v>2101</v>
      </c>
      <c r="C19" s="1572"/>
      <c r="D19" s="2370"/>
      <c r="E19" s="2406"/>
      <c r="F19" s="1798" t="s">
        <v>2088</v>
      </c>
      <c r="G19" s="136" t="str">
        <f>G5</f>
        <v>周边无银行、超市、餐饮等配套，公共服务设施较差</v>
      </c>
    </row>
    <row r="20" spans="1:18" ht="15">
      <c r="A20" s="645"/>
      <c r="B20" s="2407" t="s">
        <v>2102</v>
      </c>
      <c r="C20" s="2405">
        <f>C9</f>
        <v>0</v>
      </c>
      <c r="D20" s="2376"/>
      <c r="E20" s="2406"/>
      <c r="F20" s="1798" t="s">
        <v>2103</v>
      </c>
      <c r="G20" s="136" t="str">
        <f>G6</f>
        <v>七通</v>
      </c>
    </row>
    <row r="21" spans="1:18" ht="15">
      <c r="A21" s="645"/>
      <c r="B21" s="1798" t="s">
        <v>2088</v>
      </c>
      <c r="C21" s="136">
        <f>C7</f>
        <v>0</v>
      </c>
      <c r="D21" s="2370"/>
      <c r="E21" s="2406"/>
      <c r="F21" s="2407" t="s">
        <v>2104</v>
      </c>
      <c r="G21" s="2408" t="s">
        <v>3091</v>
      </c>
    </row>
    <row r="22" spans="1:18" ht="13.5" customHeight="1">
      <c r="A22" s="645"/>
      <c r="B22" s="1798" t="s">
        <v>2090</v>
      </c>
      <c r="C22" s="136">
        <f>C8</f>
        <v>0</v>
      </c>
      <c r="D22" s="2370"/>
      <c r="E22" s="2406"/>
      <c r="F22" s="2407" t="s">
        <v>2093</v>
      </c>
      <c r="G22" s="1572" t="s">
        <v>3113</v>
      </c>
    </row>
    <row r="23" spans="1:18" s="2367" customFormat="1" ht="15.75" thickBot="1">
      <c r="A23" s="645"/>
      <c r="B23" s="2407" t="s">
        <v>2104</v>
      </c>
      <c r="C23" s="2408"/>
      <c r="D23" s="2395"/>
      <c r="E23" s="2409"/>
      <c r="F23" s="2410" t="s">
        <v>2105</v>
      </c>
      <c r="G23" s="2411" t="s">
        <v>3114</v>
      </c>
      <c r="H23" s="2395"/>
      <c r="I23" s="2396"/>
      <c r="J23" s="2395"/>
      <c r="K23" s="2395"/>
      <c r="L23" s="2396"/>
      <c r="M23" s="2395"/>
      <c r="N23" s="2395"/>
      <c r="O23" s="2396"/>
      <c r="P23" s="2395"/>
      <c r="Q23" s="2395"/>
      <c r="R23" s="2397"/>
    </row>
    <row r="24" spans="1:18" s="2367" customFormat="1" ht="15.75" thickBot="1">
      <c r="A24" s="2412"/>
      <c r="B24" s="2410" t="s">
        <v>2106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24" sqref="F24"/>
    </sheetView>
  </sheetViews>
  <sheetFormatPr defaultRowHeight="13.5"/>
  <cols>
    <col min="1" max="1" width="23.375" style="1741" customWidth="1"/>
    <col min="2" max="9" width="15.75" style="1741" customWidth="1"/>
    <col min="10" max="16384" width="9" style="1741"/>
  </cols>
  <sheetData>
    <row r="1" spans="1:10" ht="16.5">
      <c r="A1" s="1746" t="s">
        <v>1365</v>
      </c>
      <c r="B1" s="1746">
        <f>SUM(B14:B23)</f>
        <v>84452</v>
      </c>
      <c r="C1" s="1745"/>
      <c r="D1" s="1745"/>
      <c r="E1" s="1745"/>
      <c r="F1" s="1745"/>
      <c r="G1" s="1743"/>
    </row>
    <row r="2" spans="1:10" ht="16.5">
      <c r="A2" s="1746" t="s">
        <v>1353</v>
      </c>
      <c r="B2" s="1746">
        <f>SUM(C14:C23)</f>
        <v>53431.74</v>
      </c>
      <c r="C2" s="1745"/>
      <c r="D2" s="1745"/>
      <c r="E2" s="1745"/>
      <c r="F2" s="1745"/>
      <c r="G2" s="1743"/>
    </row>
    <row r="3" spans="1:10" ht="16.5">
      <c r="A3" s="1746" t="s">
        <v>1362</v>
      </c>
      <c r="B3" s="1747">
        <f>项目基本情况!D3</f>
        <v>43430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35222</v>
      </c>
      <c r="C5" s="1746">
        <f ca="1">ROUND(B5*10000/$B$1,0)</f>
        <v>4171</v>
      </c>
      <c r="D5" s="1746">
        <f ca="1">ROUND(B5*10000/$B$2,0)</f>
        <v>6592</v>
      </c>
      <c r="E5" s="1745"/>
      <c r="F5" s="1743"/>
      <c r="G5" s="1743"/>
    </row>
    <row r="6" spans="1:10" ht="16.5">
      <c r="A6" s="1746" t="s">
        <v>1356</v>
      </c>
      <c r="B6" s="1746">
        <f ca="1">SUM(G14:G23)</f>
        <v>35222</v>
      </c>
      <c r="C6" s="1746">
        <f ca="1">ROUND(B6*10000/$B$1,0)</f>
        <v>4171</v>
      </c>
      <c r="D6" s="1746">
        <f ca="1">ROUND(B6*10000/$B$2,0)</f>
        <v>6592</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36832.270000000004</v>
      </c>
      <c r="C14" s="1744">
        <f>结果表!C118</f>
        <v>23303.32</v>
      </c>
      <c r="D14" s="1744">
        <f ca="1">结果表!H118</f>
        <v>18218</v>
      </c>
      <c r="E14" s="1744">
        <f ca="1">ROUND(D14*10000/B14,0)</f>
        <v>4946</v>
      </c>
      <c r="F14" s="1744">
        <f ca="1">ROUND(D14*10000/C14,0)</f>
        <v>7818</v>
      </c>
      <c r="G14" s="1744">
        <f ca="1">结果表!D122</f>
        <v>18218</v>
      </c>
      <c r="H14" s="1744" t="str">
        <f>结果表!D124</f>
        <v>——</v>
      </c>
      <c r="I14" s="1744" t="str">
        <f>结果表!D126</f>
        <v>——</v>
      </c>
      <c r="J14" s="1743"/>
    </row>
    <row r="15" spans="1:10" ht="16.5">
      <c r="A15" s="1742" t="s">
        <v>1349</v>
      </c>
      <c r="B15" s="1749">
        <f>[1]结果表!$B$118</f>
        <v>47619.73</v>
      </c>
      <c r="C15" s="1749">
        <f>[1]结果表!$C$118</f>
        <v>30128.42</v>
      </c>
      <c r="D15" s="1749">
        <f ca="1">[1]结果表!$H$118</f>
        <v>17004</v>
      </c>
      <c r="E15" s="1744">
        <f t="shared" ref="E15:E23" ca="1" si="0">ROUND(D15*10000/B15,0)</f>
        <v>3571</v>
      </c>
      <c r="F15" s="1744">
        <f t="shared" ref="F15:F23" ca="1" si="1">ROUND(D15*10000/C15,0)</f>
        <v>5644</v>
      </c>
      <c r="G15" s="1750">
        <f ca="1">[1]结果表!$D$122</f>
        <v>17004</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G130" sqref="G13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2107</v>
      </c>
      <c r="B1" s="2418"/>
      <c r="C1" s="2419"/>
      <c r="D1" s="2418"/>
      <c r="E1" s="2418"/>
      <c r="F1" s="2420" t="s">
        <v>2108</v>
      </c>
      <c r="G1" s="2070" t="s">
        <v>2109</v>
      </c>
      <c r="H1" s="2421" t="str">
        <f>IF(G1="现房","——","估价对象范围")</f>
        <v>估价对象范围</v>
      </c>
      <c r="I1" s="2422" t="s">
        <v>3212</v>
      </c>
    </row>
    <row r="2" spans="1:12" ht="21.75" customHeight="1" thickBot="1">
      <c r="A2" s="3086" t="str">
        <f>项目基本情况!S2</f>
        <v>北京市大兴区中关村科技园区大兴生物医药基地北京生物医药企业港项目工业用房出让国有建设用地使用权及在建建筑物房地产</v>
      </c>
      <c r="B2" s="3087"/>
      <c r="C2" s="3087"/>
      <c r="D2" s="3087"/>
      <c r="E2" s="3087"/>
      <c r="F2" s="3087"/>
      <c r="G2" s="3087"/>
      <c r="H2" s="3087"/>
      <c r="I2" s="3088"/>
    </row>
    <row r="3" spans="1:12" ht="12.75">
      <c r="A3" s="3090" t="s">
        <v>2110</v>
      </c>
      <c r="B3" s="3091"/>
      <c r="C3" s="3091"/>
      <c r="D3" s="3091"/>
      <c r="E3" s="3091"/>
      <c r="F3" s="3091"/>
      <c r="G3" s="3091"/>
      <c r="H3" s="3091"/>
      <c r="I3" s="3091"/>
    </row>
    <row r="4" spans="1:12" ht="14.25">
      <c r="A4" s="2425" t="s">
        <v>2111</v>
      </c>
      <c r="B4" s="2426" t="s">
        <v>2112</v>
      </c>
      <c r="C4" s="2427" t="s">
        <v>3213</v>
      </c>
      <c r="D4" s="2427" t="s">
        <v>3214</v>
      </c>
      <c r="E4" s="3083" t="s">
        <v>2113</v>
      </c>
      <c r="F4" s="3084"/>
      <c r="G4" s="3084"/>
      <c r="H4" s="3084"/>
      <c r="I4" s="3092"/>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066" t="s">
        <v>2114</v>
      </c>
      <c r="B5" s="3004">
        <v>25</v>
      </c>
      <c r="C5" s="3069">
        <v>20</v>
      </c>
      <c r="D5" s="3089">
        <v>20</v>
      </c>
      <c r="E5" s="140" t="s">
        <v>2115</v>
      </c>
      <c r="F5" s="2429"/>
      <c r="G5" s="2429"/>
      <c r="H5" s="2429"/>
      <c r="I5" s="1834"/>
    </row>
    <row r="6" spans="1:12" ht="12.75">
      <c r="A6" s="3066"/>
      <c r="B6" s="3004"/>
      <c r="C6" s="3070"/>
      <c r="D6" s="3089"/>
      <c r="E6" s="140" t="s">
        <v>2116</v>
      </c>
      <c r="F6" s="2429"/>
      <c r="G6" s="2429"/>
      <c r="H6" s="2429"/>
      <c r="I6" s="1834"/>
    </row>
    <row r="7" spans="1:12" ht="12.75">
      <c r="A7" s="3066"/>
      <c r="B7" s="3004"/>
      <c r="C7" s="3071"/>
      <c r="D7" s="3089"/>
      <c r="E7" s="140" t="s">
        <v>2117</v>
      </c>
      <c r="F7" s="2429"/>
      <c r="G7" s="2429"/>
      <c r="H7" s="2429"/>
      <c r="I7" s="1834"/>
    </row>
    <row r="8" spans="1:12" ht="12.75">
      <c r="A8" s="3066" t="s">
        <v>2118</v>
      </c>
      <c r="B8" s="3004">
        <v>15</v>
      </c>
      <c r="C8" s="3069">
        <v>10</v>
      </c>
      <c r="D8" s="3089">
        <v>10</v>
      </c>
      <c r="E8" s="140" t="s">
        <v>2119</v>
      </c>
      <c r="F8" s="2429"/>
      <c r="G8" s="2429"/>
      <c r="H8" s="2429"/>
      <c r="I8" s="1834"/>
    </row>
    <row r="9" spans="1:12" ht="12.75">
      <c r="A9" s="3066"/>
      <c r="B9" s="3004"/>
      <c r="C9" s="3071"/>
      <c r="D9" s="3089"/>
      <c r="E9" s="140" t="s">
        <v>2120</v>
      </c>
      <c r="F9" s="2429"/>
      <c r="G9" s="2429"/>
      <c r="H9" s="2429"/>
      <c r="I9" s="1834"/>
    </row>
    <row r="10" spans="1:12" ht="12.75">
      <c r="A10" s="3066" t="s">
        <v>2121</v>
      </c>
      <c r="B10" s="3004">
        <v>15</v>
      </c>
      <c r="C10" s="3069">
        <v>10</v>
      </c>
      <c r="D10" s="3089">
        <v>10</v>
      </c>
      <c r="E10" s="140" t="s">
        <v>2122</v>
      </c>
      <c r="F10" s="2429"/>
      <c r="G10" s="2429"/>
      <c r="H10" s="2429"/>
      <c r="I10" s="1834"/>
    </row>
    <row r="11" spans="1:12" ht="12.75">
      <c r="A11" s="3066"/>
      <c r="B11" s="3004"/>
      <c r="C11" s="3071"/>
      <c r="D11" s="3089"/>
      <c r="E11" s="140" t="s">
        <v>2123</v>
      </c>
      <c r="F11" s="2429"/>
      <c r="G11" s="2429"/>
      <c r="H11" s="2429"/>
      <c r="I11" s="1834"/>
    </row>
    <row r="12" spans="1:12" ht="12.75" customHeight="1">
      <c r="A12" s="3066" t="s">
        <v>2124</v>
      </c>
      <c r="B12" s="3004">
        <v>15</v>
      </c>
      <c r="C12" s="3069">
        <v>10</v>
      </c>
      <c r="D12" s="3089">
        <v>10</v>
      </c>
      <c r="E12" s="140" t="s">
        <v>2125</v>
      </c>
      <c r="F12" s="2429"/>
      <c r="G12" s="2429"/>
      <c r="H12" s="2429"/>
      <c r="I12" s="1834"/>
    </row>
    <row r="13" spans="1:12" ht="12.75" customHeight="1">
      <c r="A13" s="3066"/>
      <c r="B13" s="3004"/>
      <c r="C13" s="3071"/>
      <c r="D13" s="3089"/>
      <c r="E13" s="140" t="s">
        <v>2126</v>
      </c>
      <c r="F13" s="2429"/>
      <c r="G13" s="2429"/>
      <c r="H13" s="2429"/>
      <c r="I13" s="1834"/>
    </row>
    <row r="14" spans="1:12" ht="12.75">
      <c r="A14" s="3066" t="s">
        <v>2127</v>
      </c>
      <c r="B14" s="3004">
        <v>30</v>
      </c>
      <c r="C14" s="3069">
        <v>20</v>
      </c>
      <c r="D14" s="3089">
        <v>20</v>
      </c>
      <c r="E14" s="140" t="s">
        <v>2128</v>
      </c>
      <c r="F14" s="2429"/>
      <c r="G14" s="2429"/>
      <c r="H14" s="2429"/>
      <c r="I14" s="1834"/>
    </row>
    <row r="15" spans="1:12" ht="12.75">
      <c r="A15" s="3066"/>
      <c r="B15" s="3004"/>
      <c r="C15" s="3070"/>
      <c r="D15" s="3089"/>
      <c r="E15" s="140" t="s">
        <v>2129</v>
      </c>
      <c r="F15" s="2429"/>
      <c r="G15" s="2429"/>
      <c r="H15" s="2429"/>
      <c r="I15" s="1834"/>
    </row>
    <row r="16" spans="1:12" ht="12.75">
      <c r="A16" s="3066"/>
      <c r="B16" s="3004"/>
      <c r="C16" s="3071"/>
      <c r="D16" s="3089"/>
      <c r="E16" s="140" t="s">
        <v>2130</v>
      </c>
      <c r="F16" s="2429"/>
      <c r="G16" s="2429"/>
      <c r="H16" s="2429"/>
      <c r="I16" s="1834"/>
    </row>
    <row r="17" spans="1:35" ht="15">
      <c r="A17" s="2430" t="s">
        <v>2131</v>
      </c>
      <c r="B17" s="64"/>
      <c r="C17" s="141">
        <f>SUM(C5:C16)</f>
        <v>70</v>
      </c>
      <c r="D17" s="141">
        <f>SUM(D5:D16)</f>
        <v>70</v>
      </c>
      <c r="E17" s="138"/>
      <c r="F17" s="138"/>
      <c r="G17" s="138"/>
      <c r="H17" s="138"/>
      <c r="I17" s="138"/>
      <c r="K17" s="2428"/>
      <c r="L17" s="2431" t="s">
        <v>2132</v>
      </c>
      <c r="M17" s="2431" t="s">
        <v>2133</v>
      </c>
    </row>
    <row r="18" spans="1:35" ht="15.75" thickBot="1">
      <c r="A18" s="2432" t="s">
        <v>2134</v>
      </c>
      <c r="B18" s="2433"/>
      <c r="C18" s="142">
        <f>ROUND(C17/SUM(C17:D17),2)</f>
        <v>0.5</v>
      </c>
      <c r="D18" s="142">
        <f>1-C18</f>
        <v>0.5</v>
      </c>
      <c r="E18" s="138"/>
      <c r="F18" s="138"/>
      <c r="G18" s="138"/>
      <c r="H18" s="138"/>
      <c r="I18" s="138"/>
      <c r="K18" s="2428" t="s">
        <v>2135</v>
      </c>
      <c r="L18" s="2428">
        <f>IF(C1="",'数据-汇总表'!E3,SUMIF(项目类型,C1,'数据-汇总表'!E17:E26)+SUMIF(项目类型,C1,'数据-汇总表'!I17:I26))</f>
        <v>36832.270000000004</v>
      </c>
      <c r="M18" s="2428">
        <f>IF(C1="",'数据-汇总表'!E3,SUMIF(项目类型,C1,'数据-汇总表'!E17:E26))</f>
        <v>36832.270000000004</v>
      </c>
    </row>
    <row r="19" spans="1:35" ht="15">
      <c r="A19" s="2434" t="s">
        <v>2136</v>
      </c>
      <c r="B19" s="2435" t="s">
        <v>2137</v>
      </c>
      <c r="C19" s="143">
        <f ca="1">SUMIF(INDIRECT("'"&amp;C4&amp;"'"&amp;"!A:A"),结果表!B19,INDIRECT("'"&amp;C4&amp;"'"&amp;"!B:B"))</f>
        <v>17382</v>
      </c>
      <c r="D19" s="144">
        <f ca="1">SUMIF(INDIRECT("'"&amp;D4&amp;"'"&amp;"!A:A"),结果表!B19,INDIRECT("'"&amp;D4&amp;"'"&amp;"!B:B"))</f>
        <v>19053</v>
      </c>
      <c r="E19" s="2434" t="s">
        <v>2138</v>
      </c>
      <c r="F19" s="2435" t="s">
        <v>2137</v>
      </c>
      <c r="G19" s="145">
        <f ca="1">ROUND(C19*$C$18+D19*$D$18,0)</f>
        <v>18218</v>
      </c>
      <c r="H19" s="2436" t="s">
        <v>2139</v>
      </c>
      <c r="I19" s="138"/>
      <c r="K19" s="2428" t="s">
        <v>2140</v>
      </c>
      <c r="L19" s="2428">
        <f>IF(C1="",'数据-汇总表'!D3,SUMIF(项目类型,C1,'数据-汇总表'!D17:D26)+SUMIF(项目类型,C1,'数据-汇总表'!H17:H27))</f>
        <v>23303.32</v>
      </c>
      <c r="M19" s="2428">
        <f>IF(C1="",'数据-汇总表'!D3,SUMIF(项目类型,C1,'数据-汇总表'!D17:D26))</f>
        <v>23303.32</v>
      </c>
    </row>
    <row r="20" spans="1:35" ht="15">
      <c r="A20" s="2437"/>
      <c r="B20" s="1250" t="s">
        <v>2141</v>
      </c>
      <c r="C20" s="146">
        <f ca="1">SUMIF(INDIRECT("'"&amp;C4&amp;"'"&amp;"!A:A"),结果表!B20,INDIRECT("'"&amp;C4&amp;"'"&amp;"!B:B"))</f>
        <v>4990</v>
      </c>
      <c r="D20" s="147">
        <f ca="1">SUMIF(INDIRECT("'"&amp;D4&amp;"'"&amp;"!A:A"),结果表!B20,INDIRECT("'"&amp;D4&amp;"'"&amp;"!B:B"))</f>
        <v>5470</v>
      </c>
      <c r="E20" s="2437"/>
      <c r="F20" s="1250" t="s">
        <v>2141</v>
      </c>
      <c r="G20" s="148">
        <f ca="1">ROUND(C20*$C$18+D20*$D$18,0)</f>
        <v>5230</v>
      </c>
      <c r="H20" s="983" t="s">
        <v>2142</v>
      </c>
      <c r="I20" s="138"/>
    </row>
    <row r="21" spans="1:35" ht="15" customHeight="1" thickBot="1">
      <c r="A21" s="1003"/>
      <c r="B21" s="2438" t="s">
        <v>2143</v>
      </c>
      <c r="C21" s="789">
        <f ca="1">ROUND(C19*10000/L19,0)</f>
        <v>7459</v>
      </c>
      <c r="D21" s="790">
        <f ca="1">ROUND(D19*10000/L19,0)</f>
        <v>8176</v>
      </c>
      <c r="E21" s="1003"/>
      <c r="F21" s="2438" t="s">
        <v>2143</v>
      </c>
      <c r="G21" s="149">
        <f ca="1">ROUND(G19*10000/L19,0)</f>
        <v>7818</v>
      </c>
      <c r="H21" s="2439" t="s">
        <v>2142</v>
      </c>
      <c r="I21" s="138"/>
    </row>
    <row r="22" spans="1:35" ht="15" thickBot="1">
      <c r="A22" s="2280" t="s">
        <v>2144</v>
      </c>
      <c r="B22" s="2440"/>
      <c r="C22" s="2441"/>
      <c r="D22" s="791">
        <f ca="1">IF(C19&lt;D19,D19/C19-1,C19/D19-1)</f>
        <v>9.6133931653434646E-2</v>
      </c>
      <c r="E22" s="138"/>
      <c r="F22" s="138"/>
      <c r="G22" s="138"/>
      <c r="H22" s="138"/>
      <c r="I22" s="138"/>
    </row>
    <row r="23" spans="1:35" ht="13.5" thickBot="1">
      <c r="A23" s="2418"/>
      <c r="B23" s="2418"/>
      <c r="C23" s="2418"/>
      <c r="D23" s="2418"/>
      <c r="E23" s="138"/>
      <c r="F23" s="138"/>
      <c r="G23" s="138"/>
      <c r="H23" s="138"/>
      <c r="I23" s="138"/>
    </row>
    <row r="24" spans="1:35" ht="14.25">
      <c r="A24" s="3060" t="s">
        <v>2145</v>
      </c>
      <c r="B24" s="2435" t="s">
        <v>2137</v>
      </c>
      <c r="C24" s="145">
        <f>IF(B30=0,0,D30)</f>
        <v>0</v>
      </c>
      <c r="D24" s="2442"/>
      <c r="E24" s="138"/>
      <c r="F24" s="138"/>
      <c r="G24" s="138"/>
      <c r="H24" s="138"/>
      <c r="I24" s="138"/>
    </row>
    <row r="25" spans="1:35" ht="14.25">
      <c r="A25" s="3061"/>
      <c r="B25" s="1250" t="s">
        <v>2141</v>
      </c>
      <c r="C25" s="150">
        <f>IF(B30=0,0,C30)</f>
        <v>0</v>
      </c>
      <c r="D25" s="2443"/>
      <c r="E25" s="138"/>
      <c r="F25" s="138"/>
      <c r="G25" s="138"/>
      <c r="H25" s="138"/>
      <c r="I25" s="138"/>
    </row>
    <row r="26" spans="1:35" ht="13.5" customHeight="1">
      <c r="A26" s="2444" t="s">
        <v>2146</v>
      </c>
      <c r="B26" s="151" t="s">
        <v>2147</v>
      </c>
      <c r="C26" s="151" t="s">
        <v>2148</v>
      </c>
      <c r="D26" s="152" t="s">
        <v>2149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2150</v>
      </c>
      <c r="B30" s="151"/>
      <c r="C30" s="151"/>
      <c r="D30" s="151"/>
      <c r="E30" s="2925" t="s">
        <v>3021</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2151</v>
      </c>
      <c r="B32" s="2448"/>
      <c r="C32" s="153">
        <f ca="1">IF(D32="总价",G19-C24,G20-C25)</f>
        <v>18218</v>
      </c>
      <c r="D32" s="2449" t="s">
        <v>2152</v>
      </c>
      <c r="E32" s="138"/>
      <c r="F32" s="138"/>
      <c r="G32" s="138"/>
      <c r="H32" s="138"/>
      <c r="I32" s="138"/>
    </row>
    <row r="33" spans="1:15" ht="15">
      <c r="A33" s="960" t="s">
        <v>2153</v>
      </c>
      <c r="B33" s="2450"/>
      <c r="C33" s="2451" t="s">
        <v>3219</v>
      </c>
      <c r="D33" s="2452" t="s">
        <v>3213</v>
      </c>
      <c r="E33" s="2453" t="s">
        <v>2154</v>
      </c>
      <c r="F33" s="2454" t="str">
        <f>IF(D32="楼面单价","取值（单价）","取值（总价）")</f>
        <v>取值（总价）</v>
      </c>
      <c r="G33" s="138"/>
      <c r="H33" s="138"/>
      <c r="I33" s="138"/>
    </row>
    <row r="34" spans="1:15" ht="15">
      <c r="A34" s="2455"/>
      <c r="B34" s="2456" t="s">
        <v>2155</v>
      </c>
      <c r="C34" s="157">
        <f ca="1">IF(C33="自定义",F34,C32-C35)</f>
        <v>6012</v>
      </c>
      <c r="D34" s="1058">
        <f ca="1">IF(C33="自定义",ROUND(C34/C32,3),IF(C33="收益比率",SUMIF(INDIRECT("'"&amp;D33&amp;"'"&amp;"!b:b"),"土地收益比率",INDIRECT("'"&amp;D33&amp;"'"&amp;"!c:c")),SUMIF(INDIRECT("'"&amp;D33&amp;"'"&amp;"!b:b"),"土地成本比率",INDIRECT("'"&amp;D33&amp;"'"&amp;"!c:c"))))</f>
        <v>0.32999999999999996</v>
      </c>
      <c r="E34" s="2457" t="s">
        <v>2156</v>
      </c>
      <c r="F34" s="1739"/>
      <c r="G34" s="138"/>
      <c r="H34" s="138"/>
      <c r="I34" s="138"/>
    </row>
    <row r="35" spans="1:15" ht="15.75" thickBot="1">
      <c r="A35" s="2458"/>
      <c r="B35" s="2459" t="s">
        <v>2157</v>
      </c>
      <c r="C35" s="1444">
        <f ca="1">IF(C33="自定义",F35,ROUND(C32*D35,0))</f>
        <v>12206</v>
      </c>
      <c r="D35" s="1445">
        <f ca="1">IF(C33="自定义",ROUND(C35/C32,3),IF(C33="收益比率",SUMIF(INDIRECT("'"&amp;D33&amp;"'"&amp;"!b:b"),"建筑物收益比率",INDIRECT("'"&amp;D33&amp;"'"&amp;"!c:c")),SUMIF(INDIRECT("'"&amp;D33&amp;"'"&amp;"!b:b"),"建筑物成本比率",INDIRECT("'"&amp;D33&amp;"'"&amp;"!c:c"))))</f>
        <v>0.67</v>
      </c>
      <c r="E35" s="2460" t="s">
        <v>2158</v>
      </c>
      <c r="F35" s="163"/>
      <c r="G35" s="138"/>
      <c r="H35" s="138"/>
      <c r="I35" s="138"/>
    </row>
    <row r="36" spans="1:15" ht="15.75" thickBot="1">
      <c r="A36" s="3078" t="s">
        <v>2159</v>
      </c>
      <c r="B36" s="2461" t="s">
        <v>2160</v>
      </c>
      <c r="C36" s="154"/>
      <c r="D36" s="2462"/>
      <c r="E36" s="2463"/>
      <c r="F36" s="2464"/>
      <c r="G36" s="138"/>
      <c r="H36" s="138"/>
      <c r="I36" s="138"/>
    </row>
    <row r="37" spans="1:15" ht="15.75" thickBot="1">
      <c r="A37" s="3079"/>
      <c r="B37" s="2266" t="s">
        <v>2161</v>
      </c>
      <c r="C37" s="156"/>
      <c r="D37" s="1395"/>
      <c r="E37" s="1395"/>
      <c r="F37" s="2464"/>
      <c r="G37" s="138"/>
      <c r="H37" s="138"/>
      <c r="I37" s="138"/>
    </row>
    <row r="38" spans="1:15" ht="15.75" thickBot="1">
      <c r="A38" s="3080"/>
      <c r="B38" s="2465" t="s">
        <v>2162</v>
      </c>
      <c r="C38" s="727"/>
      <c r="D38" s="2466" t="s">
        <v>2163</v>
      </c>
      <c r="E38" s="1395"/>
      <c r="F38" s="2464"/>
      <c r="G38" s="138"/>
      <c r="H38" s="138"/>
      <c r="I38" s="138"/>
    </row>
    <row r="39" spans="1:15" ht="15">
      <c r="A39" s="2437" t="s">
        <v>2164</v>
      </c>
      <c r="B39" s="2467" t="s">
        <v>2165</v>
      </c>
      <c r="C39" s="2468" t="s">
        <v>2166</v>
      </c>
      <c r="D39" s="2468" t="s">
        <v>2167</v>
      </c>
      <c r="E39" s="2469" t="s">
        <v>2168</v>
      </c>
      <c r="F39" s="2464"/>
      <c r="G39" s="138"/>
      <c r="H39" s="138"/>
      <c r="I39" s="138"/>
    </row>
    <row r="40" spans="1:15" ht="14.25">
      <c r="A40" s="2470" t="s">
        <v>2169</v>
      </c>
      <c r="B40" s="158"/>
      <c r="C40" s="159"/>
      <c r="D40" s="159"/>
      <c r="E40" s="160"/>
      <c r="F40" s="2464"/>
      <c r="G40" s="138"/>
      <c r="H40" s="138"/>
      <c r="I40" s="138"/>
    </row>
    <row r="41" spans="1:15" ht="14.25">
      <c r="A41" s="2470" t="s">
        <v>2170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2171</v>
      </c>
      <c r="B44" s="2475"/>
      <c r="C44" s="2475"/>
      <c r="D44" s="2476"/>
      <c r="E44" s="2476"/>
      <c r="F44" s="2477"/>
      <c r="G44" s="2477"/>
      <c r="H44" s="2477"/>
      <c r="I44" s="2477"/>
      <c r="J44" s="2478" t="s">
        <v>2172</v>
      </c>
      <c r="K44" s="2479"/>
      <c r="L44" s="2479"/>
      <c r="M44" s="2479"/>
      <c r="N44" s="2479"/>
      <c r="O44" s="2479"/>
    </row>
    <row r="45" spans="1:15" ht="14.25" customHeight="1" thickBot="1">
      <c r="A45" s="3057" t="s">
        <v>2173</v>
      </c>
      <c r="B45" s="3058"/>
      <c r="C45" s="3059"/>
      <c r="D45" s="164">
        <f ca="1">ROUND(H101*F45,0)</f>
        <v>18218</v>
      </c>
      <c r="E45" s="165" t="s">
        <v>2174</v>
      </c>
      <c r="F45" s="166">
        <v>1</v>
      </c>
      <c r="G45" s="167" t="s">
        <v>2175</v>
      </c>
      <c r="H45" s="138"/>
      <c r="I45" s="138"/>
      <c r="J45" s="3117" t="s">
        <v>2176</v>
      </c>
      <c r="K45" s="3117"/>
      <c r="L45" s="3117"/>
      <c r="M45" s="3117"/>
      <c r="N45" s="3117"/>
      <c r="O45" s="3117"/>
    </row>
    <row r="46" spans="1:15" ht="14.25" customHeight="1">
      <c r="A46" s="3054" t="s">
        <v>2177</v>
      </c>
      <c r="B46" s="3055"/>
      <c r="C46" s="3055"/>
      <c r="D46" s="3055"/>
      <c r="E46" s="3055"/>
      <c r="F46" s="3055"/>
      <c r="G46" s="3056"/>
      <c r="H46" s="2480"/>
      <c r="I46" s="168"/>
      <c r="J46" s="1812">
        <v>1</v>
      </c>
      <c r="K46" s="3117" t="s">
        <v>2178</v>
      </c>
      <c r="L46" s="3117"/>
      <c r="M46" s="3137"/>
      <c r="N46" s="3137"/>
      <c r="O46" s="3137"/>
    </row>
    <row r="47" spans="1:15" ht="12" customHeight="1">
      <c r="A47" s="169" t="s">
        <v>2179</v>
      </c>
      <c r="B47" s="170"/>
      <c r="C47" s="171"/>
      <c r="D47" s="172" t="s">
        <v>2180</v>
      </c>
      <c r="E47" s="24" t="s">
        <v>2181</v>
      </c>
      <c r="F47" s="173" t="s">
        <v>2182</v>
      </c>
      <c r="G47" s="174" t="s">
        <v>2183</v>
      </c>
      <c r="H47" s="2480"/>
      <c r="I47" s="168"/>
      <c r="J47" s="1812">
        <v>2</v>
      </c>
      <c r="K47" s="3117" t="s">
        <v>2184</v>
      </c>
      <c r="L47" s="3117"/>
      <c r="M47" s="3138">
        <f>'数据-取费表'!B2</f>
        <v>43430</v>
      </c>
      <c r="N47" s="3138"/>
      <c r="O47" s="3138"/>
    </row>
    <row r="48" spans="1:15" ht="25.5">
      <c r="A48" s="3085" t="s">
        <v>2185</v>
      </c>
      <c r="B48" s="3068"/>
      <c r="C48" s="3068"/>
      <c r="D48" s="140">
        <f>IF(H48="情况1",0,IF(H48="情况2",D52,IF(H48="情况3",D53,IF(H48="情况4",D54))))</f>
        <v>0</v>
      </c>
      <c r="E48" s="1801" t="str">
        <f>IF(H48="情况4","(销售额-原购置价)×税（费）率","销售额×税（费）率")</f>
        <v>销售额×税（费）率</v>
      </c>
      <c r="F48" s="175" t="str">
        <f>IF(H48="情况1","免征",'数据-取费表'!B41)</f>
        <v>免征</v>
      </c>
      <c r="G48" s="2481" t="s">
        <v>2186</v>
      </c>
      <c r="H48" s="2482" t="s">
        <v>2187</v>
      </c>
      <c r="I48" s="2480"/>
      <c r="J48" s="1812">
        <v>3</v>
      </c>
      <c r="K48" s="3117" t="s">
        <v>2188</v>
      </c>
      <c r="L48" s="3117"/>
      <c r="M48" s="3139">
        <f ca="1">H101</f>
        <v>18218</v>
      </c>
      <c r="N48" s="3139"/>
      <c r="O48" s="3139"/>
    </row>
    <row r="49" spans="1:35" ht="25.5" customHeight="1">
      <c r="A49" s="176" t="s">
        <v>2189</v>
      </c>
      <c r="B49" s="3053" t="s">
        <v>2190</v>
      </c>
      <c r="C49" s="3053"/>
      <c r="D49" s="177">
        <v>0</v>
      </c>
      <c r="E49" s="23" t="s">
        <v>2191</v>
      </c>
      <c r="F49" s="28" t="s">
        <v>34</v>
      </c>
      <c r="G49" s="3123"/>
      <c r="H49" s="138"/>
      <c r="I49" s="2483"/>
      <c r="J49" s="1812">
        <v>4</v>
      </c>
      <c r="K49" s="3117" t="str">
        <f>IF(项目基本情况!E8="房地产抵押价值","房地产抵押价值","抵押担保权已注销时的房地产抵押价值")</f>
        <v>房地产抵押价值</v>
      </c>
      <c r="L49" s="3117"/>
      <c r="M49" s="3139">
        <f ca="1">IF(项目基本情况!E8="房地产抵押价值",H107,H109)</f>
        <v>18218</v>
      </c>
      <c r="N49" s="3139"/>
      <c r="O49" s="3139"/>
    </row>
    <row r="50" spans="1:35" ht="25.5" customHeight="1">
      <c r="A50" s="178"/>
      <c r="B50" s="3053" t="s">
        <v>2192</v>
      </c>
      <c r="C50" s="3053"/>
      <c r="D50" s="179"/>
      <c r="E50" s="31"/>
      <c r="F50" s="180"/>
      <c r="G50" s="3124"/>
      <c r="H50" s="138"/>
      <c r="I50" s="2483"/>
      <c r="J50" s="3117" t="s">
        <v>2193</v>
      </c>
      <c r="K50" s="3117"/>
      <c r="L50" s="3117"/>
      <c r="M50" s="3117"/>
      <c r="N50" s="3117"/>
      <c r="O50" s="3117"/>
    </row>
    <row r="51" spans="1:35" ht="12" customHeight="1">
      <c r="A51" s="181"/>
      <c r="B51" s="3053" t="s">
        <v>2194</v>
      </c>
      <c r="C51" s="3053"/>
      <c r="D51" s="182"/>
      <c r="E51" s="30"/>
      <c r="F51" s="180"/>
      <c r="G51" s="3125"/>
      <c r="H51" s="138"/>
      <c r="I51" s="2483"/>
      <c r="J51" s="2484" t="s">
        <v>2195</v>
      </c>
      <c r="K51" s="3117" t="s">
        <v>2196</v>
      </c>
      <c r="L51" s="3117"/>
      <c r="M51" s="2484" t="s">
        <v>2197</v>
      </c>
      <c r="N51" s="2484" t="s">
        <v>2198</v>
      </c>
      <c r="O51" s="2484" t="s">
        <v>2199</v>
      </c>
    </row>
    <row r="52" spans="1:35" ht="24" customHeight="1">
      <c r="A52" s="183" t="s">
        <v>2200</v>
      </c>
      <c r="B52" s="3053" t="s">
        <v>2201</v>
      </c>
      <c r="C52" s="3053"/>
      <c r="D52" s="182">
        <f ca="1">ROUND(D45*'数据-取费表'!B41/(1+'数据-取费表'!C42),0)</f>
        <v>954</v>
      </c>
      <c r="E52" s="11" t="s">
        <v>2202</v>
      </c>
      <c r="F52" s="184">
        <f>'数据-取费表'!B41</f>
        <v>5.5000000000000007E-2</v>
      </c>
      <c r="G52" s="2485"/>
      <c r="H52" s="138"/>
      <c r="I52" s="2483"/>
      <c r="J52" s="1812">
        <v>1</v>
      </c>
      <c r="K52" s="3118" t="s">
        <v>2203</v>
      </c>
      <c r="L52" s="3118"/>
      <c r="M52" s="1754">
        <f>D48</f>
        <v>0</v>
      </c>
      <c r="N52" s="1812" t="str">
        <f>E48</f>
        <v>销售额×税（费）率</v>
      </c>
      <c r="O52" s="1755" t="str">
        <f>F48</f>
        <v>免征</v>
      </c>
    </row>
    <row r="53" spans="1:35" ht="12" customHeight="1">
      <c r="A53" s="183" t="s">
        <v>2204</v>
      </c>
      <c r="B53" s="3076" t="s">
        <v>2205</v>
      </c>
      <c r="C53" s="3077"/>
      <c r="D53" s="182">
        <f ca="1">ROUND(D45*'数据-取费表'!B41/(1+'数据-取费表'!C42),0)</f>
        <v>954</v>
      </c>
      <c r="E53" s="11" t="s">
        <v>2202</v>
      </c>
      <c r="F53" s="184">
        <f>'数据-取费表'!B41</f>
        <v>5.5000000000000007E-2</v>
      </c>
      <c r="G53" s="2485"/>
      <c r="H53" s="138"/>
      <c r="I53" s="2483"/>
      <c r="J53" s="1812">
        <v>2</v>
      </c>
      <c r="K53" s="3118" t="s">
        <v>2206</v>
      </c>
      <c r="L53" s="3118"/>
      <c r="M53" s="1754">
        <f t="shared" ref="M53:O54" ca="1" si="0">D55</f>
        <v>9</v>
      </c>
      <c r="N53" s="1812" t="str">
        <f t="shared" si="0"/>
        <v>销售额×税（费）率</v>
      </c>
      <c r="O53" s="1755">
        <f t="shared" si="0"/>
        <v>5.0000000000000001E-4</v>
      </c>
    </row>
    <row r="54" spans="1:35" ht="12" customHeight="1">
      <c r="A54" s="183" t="s">
        <v>2207</v>
      </c>
      <c r="B54" s="3076" t="s">
        <v>2208</v>
      </c>
      <c r="C54" s="3077"/>
      <c r="D54" s="182">
        <f ca="1">C68</f>
        <v>954</v>
      </c>
      <c r="E54" s="30" t="s">
        <v>2209</v>
      </c>
      <c r="F54" s="184">
        <f>'数据-取费表'!B41</f>
        <v>5.5000000000000007E-2</v>
      </c>
      <c r="G54" s="2485"/>
      <c r="H54" s="2486"/>
      <c r="I54" s="2483"/>
      <c r="J54" s="1812">
        <v>3</v>
      </c>
      <c r="K54" s="3118" t="s">
        <v>2210</v>
      </c>
      <c r="L54" s="3118"/>
      <c r="M54" s="1754">
        <f t="shared" ca="1" si="0"/>
        <v>10327</v>
      </c>
      <c r="N54" s="1812" t="str">
        <f t="shared" si="0"/>
        <v>增值额×税（费）率</v>
      </c>
      <c r="O54" s="1756" t="str">
        <f t="shared" si="0"/>
        <v>——</v>
      </c>
    </row>
    <row r="55" spans="1:35" ht="24" customHeight="1">
      <c r="A55" s="3067" t="s">
        <v>2211</v>
      </c>
      <c r="B55" s="3068"/>
      <c r="C55" s="3068"/>
      <c r="D55" s="185">
        <f ca="1">IF(H55="个人住宅",0,ROUND(D45*I55,0))</f>
        <v>9</v>
      </c>
      <c r="E55" s="11" t="s">
        <v>2212</v>
      </c>
      <c r="F55" s="184">
        <f>IF(H55="正常",I55,"免征")</f>
        <v>5.0000000000000001E-4</v>
      </c>
      <c r="G55" s="2485"/>
      <c r="H55" s="2482" t="s">
        <v>2213</v>
      </c>
      <c r="I55" s="186">
        <f>'数据-取费表'!B49</f>
        <v>5.0000000000000001E-4</v>
      </c>
      <c r="J55" s="1812" t="str">
        <f>IF(H59="非个人房产","",4)</f>
        <v/>
      </c>
      <c r="K55" s="3118" t="str">
        <f>IF(H59="非个人房产","——","个人所得税")</f>
        <v>——</v>
      </c>
      <c r="L55" s="3118"/>
      <c r="M55" s="1757" t="str">
        <f>D59</f>
        <v>——</v>
      </c>
      <c r="N55" s="1810" t="str">
        <f>E59</f>
        <v>——</v>
      </c>
      <c r="O55" s="1758" t="str">
        <f>F59</f>
        <v>——</v>
      </c>
    </row>
    <row r="56" spans="1:35" ht="24.75">
      <c r="A56" s="3067" t="s">
        <v>2214</v>
      </c>
      <c r="B56" s="3068"/>
      <c r="C56" s="3068"/>
      <c r="D56" s="185">
        <f ca="1">IF(H56="个人住宅",D57,D58)</f>
        <v>10327</v>
      </c>
      <c r="E56" s="11" t="s">
        <v>2215</v>
      </c>
      <c r="F56" s="184" t="str">
        <f>IF(H56="正常",F58,"免征")</f>
        <v>——</v>
      </c>
      <c r="G56" s="2487" t="s">
        <v>2216</v>
      </c>
      <c r="H56" s="2488" t="s">
        <v>2213</v>
      </c>
      <c r="I56" s="2489"/>
      <c r="J56" s="1812" t="str">
        <f>IF(项目基本情况!K6="上海银行",IF(J55="",4,J55+1),"")</f>
        <v/>
      </c>
      <c r="K56" s="3141" t="str">
        <f>IF(项目基本情况!K6="上海银行","其他处置费用","")</f>
        <v/>
      </c>
      <c r="L56" s="3142"/>
      <c r="M56" s="1754" t="str">
        <f>IF(项目基本情况!K6="上海银行",M69,"")</f>
        <v/>
      </c>
      <c r="N56" s="3144" t="str">
        <f>IF(项目基本情况!K6="上海银行","包含处置中涉及的律师、诉讼、拍卖、评估等费用","")</f>
        <v/>
      </c>
      <c r="O56" s="3145"/>
    </row>
    <row r="57" spans="1:35" ht="12.75">
      <c r="A57" s="183" t="s">
        <v>2189</v>
      </c>
      <c r="B57" s="3083" t="s">
        <v>2217</v>
      </c>
      <c r="C57" s="3092"/>
      <c r="D57" s="187">
        <v>0</v>
      </c>
      <c r="E57" s="23" t="s">
        <v>2191</v>
      </c>
      <c r="F57" s="155"/>
      <c r="G57" s="2485"/>
      <c r="H57" s="2489"/>
      <c r="I57" s="2489"/>
      <c r="J57" s="3118">
        <f>IF(AND(J55="",J56=""),4,IF(项目基本情况!K6="上海银行",结果表!J56+1,结果表!J55+1))</f>
        <v>4</v>
      </c>
      <c r="K57" s="3118" t="s">
        <v>2218</v>
      </c>
      <c r="L57" s="2490" t="s">
        <v>2219</v>
      </c>
      <c r="M57" s="1759"/>
      <c r="N57" s="1760">
        <f ca="1">SUMIF(M52:M56,"&lt;9e307")</f>
        <v>10336</v>
      </c>
      <c r="O57" s="2491"/>
      <c r="P57" s="1753">
        <f ca="1">N57/M49</f>
        <v>0.56735097156658254</v>
      </c>
    </row>
    <row r="58" spans="1:35" ht="24.75">
      <c r="A58" s="183" t="s">
        <v>2200</v>
      </c>
      <c r="B58" s="3083" t="s">
        <v>2220</v>
      </c>
      <c r="C58" s="3084"/>
      <c r="D58" s="185">
        <f ca="1">IF(H58="转让取得",C81,C97)</f>
        <v>10327</v>
      </c>
      <c r="E58" s="11" t="s">
        <v>2215</v>
      </c>
      <c r="F58" s="24" t="s">
        <v>34</v>
      </c>
      <c r="G58" s="2485"/>
      <c r="H58" s="2488" t="s">
        <v>2221</v>
      </c>
      <c r="I58" s="2489"/>
      <c r="J58" s="3118"/>
      <c r="K58" s="3118"/>
      <c r="L58" s="2490" t="s">
        <v>2222</v>
      </c>
      <c r="M58" s="1761"/>
      <c r="N58" s="2492" t="str">
        <f ca="1">NUMBERSTRING(INT(N57*10000),2)&amp;"元整"</f>
        <v>壹亿零叁佰叁拾陆万元整</v>
      </c>
      <c r="O58" s="2493"/>
    </row>
    <row r="59" spans="1:35" ht="24.75" thickBot="1">
      <c r="A59" s="3121" t="s">
        <v>2223</v>
      </c>
      <c r="B59" s="3122"/>
      <c r="C59" s="3122"/>
      <c r="D59" s="188" t="str">
        <f>IF(H59="非个人房产","——",IF(H59="个人住宅",0,ROUND(D45*I59,0)))</f>
        <v>——</v>
      </c>
      <c r="E59" s="189" t="str">
        <f>IF(H59="非个人房产","——","销售额×税（费）率")</f>
        <v>——</v>
      </c>
      <c r="F59" s="190" t="str">
        <f>IF(H59="非个人房产","——",IF(H59="个人住宅","免征",I59))</f>
        <v>——</v>
      </c>
      <c r="G59" s="2494" t="s">
        <v>2216</v>
      </c>
      <c r="H59" s="2488" t="s">
        <v>2224</v>
      </c>
      <c r="I59" s="191">
        <v>0.01</v>
      </c>
      <c r="J59" s="3119">
        <f>J57+1</f>
        <v>5</v>
      </c>
      <c r="K59" s="3118" t="s">
        <v>2225</v>
      </c>
      <c r="L59" s="1812" t="s">
        <v>2219</v>
      </c>
      <c r="M59" s="1762"/>
      <c r="N59" s="1763">
        <f ca="1">M49-N57</f>
        <v>7882</v>
      </c>
      <c r="O59" s="2495"/>
    </row>
    <row r="60" spans="1:35" ht="12" customHeight="1">
      <c r="A60" s="2496"/>
      <c r="B60" s="2418"/>
      <c r="C60" s="2418"/>
      <c r="D60" s="2418"/>
      <c r="E60" s="2165"/>
      <c r="F60" s="2489"/>
      <c r="G60" s="2489"/>
      <c r="H60" s="2497"/>
      <c r="I60" s="138"/>
      <c r="J60" s="3120"/>
      <c r="K60" s="3118"/>
      <c r="L60" s="2490" t="s">
        <v>2222</v>
      </c>
      <c r="M60" s="1761"/>
      <c r="N60" s="2492" t="str">
        <f ca="1">NUMBERSTRING(INT(N59*10000),2)&amp;"元整"</f>
        <v>柒仟捌佰捌拾贰万元整</v>
      </c>
      <c r="O60" s="2493"/>
    </row>
    <row r="61" spans="1:35" ht="13.5" thickBot="1">
      <c r="A61" s="3065" t="s">
        <v>2226</v>
      </c>
      <c r="B61" s="3065"/>
      <c r="C61" s="3065"/>
      <c r="D61" s="3065"/>
      <c r="E61" s="3065"/>
      <c r="F61" s="2489"/>
      <c r="G61" s="2489"/>
      <c r="H61" s="2497"/>
      <c r="I61" s="138"/>
      <c r="J61" s="1812">
        <f>J59+1</f>
        <v>6</v>
      </c>
      <c r="K61" s="3118" t="s">
        <v>2227</v>
      </c>
      <c r="L61" s="3118"/>
      <c r="M61" s="1764"/>
      <c r="N61" s="1765">
        <f ca="1">ROUND(N59*10000/'数据-汇总表'!E3,0)</f>
        <v>2140</v>
      </c>
      <c r="O61" s="2498"/>
    </row>
    <row r="62" spans="1:35" ht="12.75">
      <c r="A62" s="3081" t="s">
        <v>2228</v>
      </c>
      <c r="B62" s="3082"/>
      <c r="C62" s="1804"/>
      <c r="D62" s="1804" t="s">
        <v>2229</v>
      </c>
      <c r="E62" s="192" t="s">
        <v>2230</v>
      </c>
      <c r="F62" s="2489"/>
      <c r="G62" s="2489"/>
      <c r="H62" s="2497"/>
      <c r="I62" s="138"/>
    </row>
    <row r="63" spans="1:35" ht="12.75">
      <c r="A63" s="203" t="s">
        <v>775</v>
      </c>
      <c r="B63" s="193" t="s">
        <v>2231</v>
      </c>
      <c r="C63" s="194">
        <f ca="1">ROUND((C64+C65)/(1+'数据-取费表'!C42),0)</f>
        <v>17350</v>
      </c>
      <c r="D63" s="195"/>
      <c r="E63" s="196"/>
      <c r="F63" s="2489"/>
      <c r="G63" s="2489"/>
      <c r="H63" s="2497"/>
      <c r="I63" s="138"/>
      <c r="J63" s="3143" t="s">
        <v>2232</v>
      </c>
      <c r="K63" s="2499" t="s">
        <v>2233</v>
      </c>
      <c r="L63" s="1752">
        <f ca="1">IF(M49&gt;10000,M49*0.5%,IF(AND(M49&gt;1000,M49&lt;=10000),M49*1%,IF(AND(M49&gt;100,M49&lt;=1000),M49*3%,IF(AND(M49&gt;10,M49&lt;=100),M49*5%,M49*8%))))</f>
        <v>91.09</v>
      </c>
      <c r="M63" s="24">
        <f ca="1">ROUND(L63,1)</f>
        <v>91.1</v>
      </c>
      <c r="Z63" s="2423"/>
      <c r="AI63" s="2424"/>
    </row>
    <row r="64" spans="1:35" ht="14.25" customHeight="1">
      <c r="A64" s="197" t="s">
        <v>770</v>
      </c>
      <c r="B64" s="198" t="s">
        <v>2234</v>
      </c>
      <c r="C64" s="199">
        <f ca="1">D45</f>
        <v>18218</v>
      </c>
      <c r="D64" s="200" t="s">
        <v>32</v>
      </c>
      <c r="E64" s="201"/>
      <c r="F64" s="2489"/>
      <c r="G64" s="2489"/>
      <c r="H64" s="2497"/>
      <c r="I64" s="138"/>
      <c r="J64" s="3143"/>
      <c r="K64" s="2499" t="s">
        <v>2235</v>
      </c>
      <c r="L64" s="1752">
        <f ca="1">IF(M49&gt;2000,M49*0.5%,IF(AND(M49&gt;1000,M49&lt;=2000),M49*0.6%,IF(AND(M49&gt;500,M49&lt;=1000),M49*0.7%,IF(AND(M49&gt;200,M49&lt;=500),M49*0.8%,IF(AND(M49&gt;100,M49&lt;=200),M49*0.9%,IF(AND(M49&gt;50,M49&lt;=100),M49*1%,IF(AND(M49&gt;20,M49&lt;=50),M49*1.5%,IF(AND(M49&gt;10,M49&lt;=20),M49*2%,IF(AND(M49&gt;1,M49&lt;=10),M49*2.5%)))))))))</f>
        <v>91.09</v>
      </c>
      <c r="M64" s="24">
        <f t="shared" ref="M64:M65" ca="1" si="1">ROUND(L64,1)</f>
        <v>91.1</v>
      </c>
      <c r="N64" s="138" t="s">
        <v>2236</v>
      </c>
      <c r="Z64" s="2423"/>
      <c r="AI64" s="2424"/>
    </row>
    <row r="65" spans="1:35" ht="14.25" customHeight="1">
      <c r="A65" s="197" t="s">
        <v>771</v>
      </c>
      <c r="B65" s="198" t="s">
        <v>2237</v>
      </c>
      <c r="C65" s="202"/>
      <c r="D65" s="200"/>
      <c r="E65" s="201"/>
      <c r="F65" s="2489"/>
      <c r="G65" s="2489"/>
      <c r="H65" s="2497"/>
      <c r="I65" s="138"/>
      <c r="J65" s="3143"/>
      <c r="K65" s="2499" t="s">
        <v>2238</v>
      </c>
      <c r="L65" s="1752">
        <f ca="1">IF(M49&gt;1000,M49*0.1%,IF(AND(M49&gt;500,M49&lt;=1000),M49*0.5%,IF(AND(M49&gt;50,M49&lt;=500),M49*1%,IF(AND(M49&gt;1,M49&lt;=50),M49*1.5%))))</f>
        <v>18.218</v>
      </c>
      <c r="M65" s="24">
        <f t="shared" ca="1" si="1"/>
        <v>18.2</v>
      </c>
      <c r="N65" s="138" t="s">
        <v>2236</v>
      </c>
      <c r="Z65" s="2423"/>
      <c r="AI65" s="2424"/>
    </row>
    <row r="66" spans="1:35" ht="14.25" customHeight="1">
      <c r="A66" s="203" t="s">
        <v>772</v>
      </c>
      <c r="B66" s="204" t="s">
        <v>2239</v>
      </c>
      <c r="C66" s="205"/>
      <c r="D66" s="206" t="s">
        <v>32</v>
      </c>
      <c r="E66" s="1776" t="s">
        <v>1371</v>
      </c>
      <c r="F66" s="2489"/>
      <c r="G66" s="2489"/>
      <c r="H66" s="2497"/>
      <c r="I66" s="138"/>
      <c r="J66" s="3143"/>
      <c r="K66" s="2499" t="s">
        <v>2240</v>
      </c>
      <c r="L66" s="1752">
        <f ca="1">M49*0.5%</f>
        <v>91.09</v>
      </c>
      <c r="M66" s="24">
        <f ca="1">IF(L66&gt;0.5,0.5,ROUND(L66,0))</f>
        <v>0.5</v>
      </c>
      <c r="N66" s="138" t="s">
        <v>2241</v>
      </c>
      <c r="Z66" s="2423"/>
      <c r="AI66" s="2424"/>
    </row>
    <row r="67" spans="1:35" ht="14.25" customHeight="1">
      <c r="A67" s="203" t="s">
        <v>773</v>
      </c>
      <c r="B67" s="204" t="s">
        <v>2242</v>
      </c>
      <c r="C67" s="207">
        <f ca="1">C63-C66</f>
        <v>17350</v>
      </c>
      <c r="D67" s="200" t="s">
        <v>32</v>
      </c>
      <c r="E67" s="201"/>
      <c r="F67" s="2489"/>
      <c r="G67" s="2489"/>
      <c r="H67" s="2497"/>
      <c r="I67" s="138"/>
      <c r="J67" s="3143"/>
      <c r="K67" s="2499" t="s">
        <v>2243</v>
      </c>
      <c r="L67" s="1752">
        <f ca="1">IF(M49&gt;=10000,(8.25+(M49-10000)*0.01%),IF(AND(M49&gt;=8000,M49&lt;10000),(7.85+(M49-8000)*0.02%),IF(AND(M49&gt;=5000,M49&lt;8000),(6.65+(M49-5000)*0.04%),IF(AND(M49&gt;=2000,M49&lt;5000),(4.25+(PM49-2000)*0.08%),IF(AND(M49&gt;=1000,M49&lt;2000),(2.75+(M49-1000)*0.15%),IF(AND(M49&gt;=100,M49&lt;1000),(0.5+(M49-100)*0.25%),IF(AND(M49&gt;0,M49&lt;100),M49*0.5%)))))))</f>
        <v>9.0717999999999996</v>
      </c>
      <c r="M67" s="24">
        <f ca="1">ROUND(L67*0.9,1)</f>
        <v>8.1999999999999993</v>
      </c>
      <c r="Z67" s="2423"/>
      <c r="AI67" s="2424"/>
    </row>
    <row r="68" spans="1:35" ht="14.25" customHeight="1" thickBot="1">
      <c r="A68" s="208" t="s">
        <v>774</v>
      </c>
      <c r="B68" s="209" t="s">
        <v>2244</v>
      </c>
      <c r="C68" s="210">
        <f ca="1">IF(C67&lt;=0,0,ROUND(C67*D68,0))</f>
        <v>954</v>
      </c>
      <c r="D68" s="211">
        <f>'数据-取费表'!B41</f>
        <v>5.5000000000000007E-2</v>
      </c>
      <c r="E68" s="212"/>
      <c r="F68" s="2489"/>
      <c r="G68" s="2489"/>
      <c r="H68" s="2497"/>
      <c r="I68" s="138"/>
      <c r="J68" s="3143"/>
      <c r="K68" s="2499" t="s">
        <v>2245</v>
      </c>
      <c r="L68" s="1752">
        <f ca="1">IF(M49&gt;10000,M49*0.5%,IF(AND(M49&gt;5000,M49&lt;=10000),M49*1%,IF(AND(M49&gt;1000,M49&lt;=5000),M49*2%,IF(AND(M49&gt;200,M49&lt;=1000),M49*3%,M49*5%))))</f>
        <v>91.09</v>
      </c>
      <c r="M68" s="24">
        <f ca="1">ROUND(L68,1)</f>
        <v>91.1</v>
      </c>
      <c r="Z68" s="2423"/>
      <c r="AI68" s="2424"/>
    </row>
    <row r="69" spans="1:35" s="2446" customFormat="1" ht="16.5" customHeight="1">
      <c r="A69" s="2500"/>
      <c r="B69" s="2501"/>
      <c r="C69" s="2502"/>
      <c r="D69" s="2503"/>
      <c r="E69" s="2504"/>
      <c r="F69" s="2165"/>
      <c r="G69" s="2165"/>
      <c r="H69" s="2164"/>
      <c r="I69" s="2418"/>
      <c r="J69" s="3143"/>
      <c r="K69" s="2499" t="s">
        <v>2246</v>
      </c>
      <c r="L69" s="2505"/>
      <c r="M69" s="24">
        <f ca="1">ROUND(SUM(M63:M68),0)</f>
        <v>300</v>
      </c>
      <c r="N69" s="1753">
        <f ca="1">M69/M49</f>
        <v>1.6467230211878361E-2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2" t="s">
        <v>2247</v>
      </c>
      <c r="B70" s="3103"/>
      <c r="C70" s="3103"/>
      <c r="D70" s="3103"/>
      <c r="E70" s="3103"/>
      <c r="F70" s="3103"/>
      <c r="G70" s="3103"/>
      <c r="H70" s="310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1" t="s">
        <v>2228</v>
      </c>
      <c r="B71" s="3082"/>
      <c r="C71" s="1804"/>
      <c r="D71" s="1804" t="s">
        <v>2229</v>
      </c>
      <c r="E71" s="213" t="s">
        <v>2230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2248</v>
      </c>
      <c r="C72" s="207">
        <f ca="1">ROUND(D45/(1+'数据-取费表'!C42),0)</f>
        <v>17350</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2249</v>
      </c>
      <c r="C73" s="207">
        <f ca="1">C74+C78</f>
        <v>87</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2250</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2251</v>
      </c>
      <c r="C75" s="218"/>
      <c r="D75" s="200" t="s">
        <v>32</v>
      </c>
      <c r="E75" s="219" t="s">
        <v>2252</v>
      </c>
      <c r="F75" s="2511" t="s">
        <v>2253</v>
      </c>
      <c r="G75" s="219" t="s">
        <v>2254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2255</v>
      </c>
      <c r="C76" s="200">
        <f>IF(F75="购房发票",ROUND(C75*H75*D76,0),0)</f>
        <v>0</v>
      </c>
      <c r="D76" s="222">
        <v>0.05</v>
      </c>
      <c r="E76" s="3076" t="s">
        <v>2256</v>
      </c>
      <c r="F76" s="3053"/>
      <c r="G76" s="3053"/>
      <c r="H76" s="310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3" t="s">
        <v>2259</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2260</v>
      </c>
      <c r="C78" s="225">
        <f ca="1">ROUND(D45*D78/(1+'数据-取费表'!C42),0)</f>
        <v>87</v>
      </c>
      <c r="D78" s="226">
        <f>'数据-取费表'!B43</f>
        <v>5.000000000000001E-3</v>
      </c>
      <c r="E78" s="3062" t="s">
        <v>2261</v>
      </c>
      <c r="F78" s="3063"/>
      <c r="G78" s="3063"/>
      <c r="H78" s="307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2262</v>
      </c>
      <c r="C79" s="207">
        <f ca="1">C72-C73</f>
        <v>17263</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2263</v>
      </c>
      <c r="C80" s="227">
        <f ca="1">IF(C79&lt;=0,0,C79/C73)</f>
        <v>198.42528735632183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2264</v>
      </c>
      <c r="C81" s="228">
        <f ca="1">ROUND(IF(C79&lt;=0,0,IF(C80&gt;=200%,C79*60%-C73*35%,IF(C80&gt;=100%,C79*50%-C73*15%,IF(C80&gt;=50%,C79*40%-C73*5%,IF(C80&lt;50%,C79*30%,0))))),0)</f>
        <v>10327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2" t="s">
        <v>2265</v>
      </c>
      <c r="B83" s="3103"/>
      <c r="C83" s="3103"/>
      <c r="D83" s="3103"/>
      <c r="E83" s="3103"/>
      <c r="F83" s="3103"/>
      <c r="G83" s="3103"/>
      <c r="H83" s="310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1" t="s">
        <v>2228</v>
      </c>
      <c r="B84" s="3082"/>
      <c r="C84" s="1804"/>
      <c r="D84" s="1804" t="s">
        <v>2229</v>
      </c>
      <c r="E84" s="213" t="s">
        <v>2230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2248</v>
      </c>
      <c r="C85" s="207">
        <f ca="1">ROUND(D45/(1+'数据-取费表'!C42),0)</f>
        <v>17350</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2249</v>
      </c>
      <c r="C86" s="207">
        <f ca="1">IF(H88="仅含出让金",C87+C90+C91+C92+C93+C94,C87+C91+C92+C93+C94)</f>
        <v>87</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2266</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2267</v>
      </c>
      <c r="C88" s="236"/>
      <c r="D88" s="226"/>
      <c r="E88" s="237" t="s">
        <v>2268</v>
      </c>
      <c r="F88" s="1800"/>
      <c r="G88" s="238" t="s">
        <v>2269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2257</v>
      </c>
      <c r="C89" s="225">
        <f>ROUND(C88*D89,0)</f>
        <v>0</v>
      </c>
      <c r="D89" s="226">
        <f>'数据-取费表'!B48+'数据-取费表'!B49</f>
        <v>3.0499999999999999E-2</v>
      </c>
      <c r="E89" s="237" t="s">
        <v>2270</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2271</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2272</v>
      </c>
      <c r="B91" s="198" t="s">
        <v>2273</v>
      </c>
      <c r="C91" s="225">
        <f>IF(H91="——",成本法!C33,I91)</f>
        <v>0</v>
      </c>
      <c r="D91" s="226"/>
      <c r="E91" s="3062" t="s">
        <v>2274</v>
      </c>
      <c r="F91" s="3063"/>
      <c r="G91" s="3063"/>
      <c r="H91" s="2518" t="s">
        <v>2275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2276</v>
      </c>
      <c r="B92" s="198" t="s">
        <v>2277</v>
      </c>
      <c r="C92" s="225">
        <f>ROUND((C87+C90+C91)*D92,0)</f>
        <v>0</v>
      </c>
      <c r="D92" s="226">
        <v>0.1</v>
      </c>
      <c r="E92" s="3062" t="s">
        <v>2278</v>
      </c>
      <c r="F92" s="3063"/>
      <c r="G92" s="3063"/>
      <c r="H92" s="307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2279</v>
      </c>
      <c r="B93" s="198" t="s">
        <v>2260</v>
      </c>
      <c r="C93" s="225">
        <f ca="1">ROUND(D45*D93/(1+'数据-取费表'!C42),0)</f>
        <v>87</v>
      </c>
      <c r="D93" s="226">
        <f>'数据-取费表'!B43</f>
        <v>5.000000000000001E-3</v>
      </c>
      <c r="E93" s="3062" t="s">
        <v>2261</v>
      </c>
      <c r="F93" s="3063"/>
      <c r="G93" s="3063"/>
      <c r="H93" s="307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2280</v>
      </c>
      <c r="B94" s="198" t="s">
        <v>2281</v>
      </c>
      <c r="C94" s="236">
        <f>ROUND((C87+C90+C91)*D94,0)</f>
        <v>0</v>
      </c>
      <c r="D94" s="226">
        <v>0.2</v>
      </c>
      <c r="E94" s="3073" t="s">
        <v>2282</v>
      </c>
      <c r="F94" s="3074"/>
      <c r="G94" s="3074"/>
      <c r="H94" s="307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2262</v>
      </c>
      <c r="C95" s="207">
        <f ca="1">ROUND(C85-C86,0)</f>
        <v>17263</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2263</v>
      </c>
      <c r="C96" s="227">
        <f ca="1">IF(C95&lt;=0,0,C95/C86)</f>
        <v>198.42528735632183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2264</v>
      </c>
      <c r="C97" s="228">
        <f ca="1">ROUND(IF(C95&lt;=0,0,IF(C96&gt;=200%,C95*60%-C86*35%,IF(C96&gt;=100%,C95*50%-C86*15%,IF(C96&gt;=50%,C95*40%-C86*5%,IF(C96&lt;50%,C95*30%,0))))),0)</f>
        <v>10327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2283</v>
      </c>
      <c r="B99" s="2418"/>
      <c r="C99" s="2418"/>
      <c r="D99" s="2418"/>
      <c r="E99" s="2165"/>
      <c r="F99" s="2165"/>
      <c r="G99" s="2165"/>
      <c r="H99" s="2164"/>
      <c r="I99" s="138"/>
    </row>
    <row r="100" spans="1:35" ht="18.75" customHeight="1">
      <c r="A100" s="3047" t="s">
        <v>2284</v>
      </c>
      <c r="B100" s="3048"/>
      <c r="C100" s="3048"/>
      <c r="D100" s="3064"/>
      <c r="E100" s="3048" t="s">
        <v>2285</v>
      </c>
      <c r="F100" s="3048"/>
      <c r="G100" s="3048"/>
      <c r="H100" s="3064"/>
      <c r="I100" s="138"/>
    </row>
    <row r="101" spans="1:35" ht="18.75" customHeight="1">
      <c r="A101" s="3126" t="s">
        <v>2286</v>
      </c>
      <c r="B101" s="3127"/>
      <c r="C101" s="736" t="str">
        <f>C4</f>
        <v>成本法</v>
      </c>
      <c r="D101" s="737" t="str">
        <f>D4</f>
        <v>假设开发法</v>
      </c>
      <c r="E101" s="3140" t="s">
        <v>2287</v>
      </c>
      <c r="F101" s="3094"/>
      <c r="G101" s="2520" t="s">
        <v>2288</v>
      </c>
      <c r="H101" s="1048">
        <f ca="1">H118</f>
        <v>18218</v>
      </c>
      <c r="I101" s="138"/>
    </row>
    <row r="102" spans="1:35" ht="18.75" customHeight="1">
      <c r="A102" s="3096" t="s">
        <v>2289</v>
      </c>
      <c r="B102" s="2520" t="s">
        <v>2288</v>
      </c>
      <c r="C102" s="736">
        <f ca="1">C19</f>
        <v>17382</v>
      </c>
      <c r="D102" s="737">
        <f ca="1">D19</f>
        <v>19053</v>
      </c>
      <c r="E102" s="3140"/>
      <c r="F102" s="3094"/>
      <c r="G102" s="2520" t="s">
        <v>2290</v>
      </c>
      <c r="H102" s="371">
        <f ca="1">I118</f>
        <v>4946</v>
      </c>
      <c r="I102" s="138"/>
    </row>
    <row r="103" spans="1:35" ht="42.75" customHeight="1">
      <c r="A103" s="3096"/>
      <c r="B103" s="2520" t="s">
        <v>2290</v>
      </c>
      <c r="C103" s="738">
        <f ca="1">C20</f>
        <v>4990</v>
      </c>
      <c r="D103" s="739">
        <f ca="1">D20</f>
        <v>5470</v>
      </c>
      <c r="E103" s="3135" t="s">
        <v>2291</v>
      </c>
      <c r="F103" s="3136"/>
      <c r="G103" s="2521" t="s">
        <v>2292</v>
      </c>
      <c r="H103" s="1048">
        <f>IF(D36="正常操作",H104+H105+H106,H105+H106)</f>
        <v>0</v>
      </c>
      <c r="I103" s="138"/>
    </row>
    <row r="104" spans="1:35" ht="18.75" customHeight="1">
      <c r="A104" s="3096" t="s">
        <v>2293</v>
      </c>
      <c r="B104" s="2522" t="s">
        <v>2288</v>
      </c>
      <c r="C104" s="740">
        <f ca="1">H118</f>
        <v>18218</v>
      </c>
      <c r="D104" s="741"/>
      <c r="E104" s="2266" t="s">
        <v>2294</v>
      </c>
      <c r="F104" s="2257"/>
      <c r="G104" s="2521" t="s">
        <v>2292</v>
      </c>
      <c r="H104" s="1049">
        <f>IF(D36="同一抵押权人同一抵押物续贷",C36&amp;"（未扣减，详见特别提示）",C36)</f>
        <v>0</v>
      </c>
      <c r="I104" s="138"/>
    </row>
    <row r="105" spans="1:35" ht="18.75" customHeight="1" thickBot="1">
      <c r="A105" s="3097"/>
      <c r="B105" s="2523" t="s">
        <v>2290</v>
      </c>
      <c r="C105" s="742">
        <f ca="1">I118</f>
        <v>4946</v>
      </c>
      <c r="D105" s="743"/>
      <c r="E105" s="2266" t="s">
        <v>2295</v>
      </c>
      <c r="F105" s="2257"/>
      <c r="G105" s="2521" t="s">
        <v>2292</v>
      </c>
      <c r="H105" s="1049">
        <f>C37</f>
        <v>0</v>
      </c>
      <c r="I105" s="138"/>
    </row>
    <row r="106" spans="1:35" ht="18.75" customHeight="1">
      <c r="A106" s="2418" t="s">
        <v>2296</v>
      </c>
      <c r="B106" s="2418"/>
      <c r="C106" s="2418"/>
      <c r="D106" s="2418"/>
      <c r="E106" s="2524" t="s">
        <v>2297</v>
      </c>
      <c r="F106" s="2257"/>
      <c r="G106" s="2521" t="s">
        <v>2292</v>
      </c>
      <c r="H106" s="1049">
        <f>C38</f>
        <v>0</v>
      </c>
      <c r="I106" s="138"/>
    </row>
    <row r="107" spans="1:35" ht="18.75" customHeight="1">
      <c r="A107" s="138"/>
      <c r="B107" s="138"/>
      <c r="C107" s="138"/>
      <c r="D107" s="138"/>
      <c r="E107" s="3093" t="str">
        <f>IF(项目基本情况!E8="已注销","——","3.房地产抵押价值")</f>
        <v>3.房地产抵押价值</v>
      </c>
      <c r="F107" s="3094"/>
      <c r="G107" s="2520" t="s">
        <v>2288</v>
      </c>
      <c r="H107" s="1048">
        <f ca="1">IF(E107="——","——",H101-H103)</f>
        <v>18218</v>
      </c>
      <c r="I107" s="138"/>
    </row>
    <row r="108" spans="1:35" ht="18.75" customHeight="1">
      <c r="A108" s="138"/>
      <c r="B108" s="138"/>
      <c r="C108" s="138"/>
      <c r="D108" s="138"/>
      <c r="E108" s="3093"/>
      <c r="F108" s="3094"/>
      <c r="G108" s="2520" t="s">
        <v>2290</v>
      </c>
      <c r="H108" s="371">
        <f ca="1">ROUND(H107*10000/'数据-汇总表'!E3,0)</f>
        <v>4946</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94"/>
      <c r="G109" s="2520" t="s">
        <v>2288</v>
      </c>
      <c r="H109" s="348" t="str">
        <f>IF(E109="——","——",H101-H105-H106)</f>
        <v>——</v>
      </c>
      <c r="I109" s="138"/>
    </row>
    <row r="110" spans="1:35" ht="18.75" customHeight="1">
      <c r="A110" s="138"/>
      <c r="B110" s="138"/>
      <c r="C110" s="138"/>
      <c r="D110" s="138"/>
      <c r="E110" s="3093"/>
      <c r="F110" s="3094"/>
      <c r="G110" s="2520" t="s">
        <v>2290</v>
      </c>
      <c r="H110" s="371" t="str">
        <f>IF(H109="——","——",ROUND(H109*10000/'数据-汇总表'!E3,0))</f>
        <v>——</v>
      </c>
      <c r="I110" s="138"/>
    </row>
    <row r="111" spans="1:35" ht="18.75" customHeight="1">
      <c r="A111" s="138"/>
      <c r="B111" s="138"/>
      <c r="C111" s="138"/>
      <c r="D111" s="138"/>
      <c r="E111" s="3128" t="str">
        <f>IF(项目基本情况!E9="抵押净值",IF(OR(项目基本情况!E8="已注销",项目基本情况!E8="房地产抵押价值"),"4.抵押净值","5.抵押净值"),"——")</f>
        <v>——</v>
      </c>
      <c r="F111" s="3129"/>
      <c r="G111" s="2520" t="s">
        <v>2288</v>
      </c>
      <c r="H111" s="1048" t="str">
        <f>IF(E111="——","——",N59)</f>
        <v>——</v>
      </c>
      <c r="I111" s="138"/>
    </row>
    <row r="112" spans="1:35" ht="18.75" customHeight="1" thickBot="1">
      <c r="A112" s="138"/>
      <c r="B112" s="138"/>
      <c r="C112" s="138"/>
      <c r="D112" s="138"/>
      <c r="E112" s="3130"/>
      <c r="F112" s="3131"/>
      <c r="G112" s="2525" t="s">
        <v>2290</v>
      </c>
      <c r="H112" s="790" t="str">
        <f>IF(E111="——","——",N61)</f>
        <v>——</v>
      </c>
      <c r="I112" s="138"/>
    </row>
    <row r="113" spans="1:11" ht="18.75" customHeight="1">
      <c r="A113" s="138"/>
      <c r="B113" s="138"/>
      <c r="C113" s="138"/>
      <c r="D113" s="138"/>
      <c r="E113" s="3098" t="s">
        <v>2296</v>
      </c>
      <c r="F113" s="3098"/>
      <c r="G113" s="3098"/>
      <c r="H113" s="3098"/>
      <c r="I113" s="138"/>
    </row>
    <row r="114" spans="1:11" ht="3.75" customHeight="1">
      <c r="A114" s="2418"/>
      <c r="B114" s="2418"/>
      <c r="C114" s="2418"/>
      <c r="D114" s="2418"/>
      <c r="E114" s="2496"/>
      <c r="F114" s="2496"/>
      <c r="G114" s="2496"/>
      <c r="H114" s="2496"/>
      <c r="I114" s="2418"/>
    </row>
    <row r="115" spans="1:11" ht="18.75" customHeight="1">
      <c r="A115" s="3111" t="s">
        <v>2298</v>
      </c>
      <c r="B115" s="3112"/>
      <c r="C115" s="3112"/>
      <c r="D115" s="3112"/>
      <c r="E115" s="3112"/>
      <c r="F115" s="3112"/>
      <c r="G115" s="3112"/>
      <c r="H115" s="3112"/>
      <c r="I115" s="3113"/>
    </row>
    <row r="116" spans="1:11" ht="27" customHeight="1">
      <c r="A116" s="3004" t="s">
        <v>2299</v>
      </c>
      <c r="B116" s="3099" t="s">
        <v>3217</v>
      </c>
      <c r="C116" s="3099" t="s">
        <v>3216</v>
      </c>
      <c r="D116" s="3115" t="s">
        <v>3215</v>
      </c>
      <c r="E116" s="3116"/>
      <c r="F116" s="3107" t="s">
        <v>2300</v>
      </c>
      <c r="G116" s="3107"/>
      <c r="H116" s="3004" t="s">
        <v>2301</v>
      </c>
      <c r="I116" s="3004"/>
    </row>
    <row r="117" spans="1:11" ht="18.75" customHeight="1">
      <c r="A117" s="3004"/>
      <c r="B117" s="3100"/>
      <c r="C117" s="3100"/>
      <c r="D117" s="1798" t="s">
        <v>2302</v>
      </c>
      <c r="E117" s="1798" t="s">
        <v>2303</v>
      </c>
      <c r="F117" s="1798" t="s">
        <v>2302</v>
      </c>
      <c r="G117" s="1798" t="s">
        <v>2304</v>
      </c>
      <c r="H117" s="1798" t="s">
        <v>2302</v>
      </c>
      <c r="I117" s="1798" t="s">
        <v>2304</v>
      </c>
    </row>
    <row r="118" spans="1:11" ht="24.75" customHeight="1">
      <c r="A118" s="2526" t="str">
        <f>项目基本情况!S2</f>
        <v>北京市大兴区中关村科技园区大兴生物医药基地北京生物医药企业港项目工业用房出让国有建设用地使用权及在建建筑物房地产</v>
      </c>
      <c r="B118" s="1798">
        <f>M18</f>
        <v>36832.270000000004</v>
      </c>
      <c r="C118" s="1798">
        <f>M19</f>
        <v>23303.32</v>
      </c>
      <c r="D118" s="1798">
        <f ca="1">ROUND(IF(D32="总价",C34,E118*B118/10000),0)</f>
        <v>6012</v>
      </c>
      <c r="E118" s="1798">
        <f ca="1">ROUND(IF(C33="自定义",IF(D32="楼面单价",C34,D118*10000/B118),I118-G118),0)</f>
        <v>1632</v>
      </c>
      <c r="F118" s="1798">
        <f ca="1">ROUND(IF(D32="总价",C35,G118*B118/10000),0)</f>
        <v>12206</v>
      </c>
      <c r="G118" s="1798">
        <f ca="1">ROUND(IF(D32="楼面单价",C35,F118*10000/B118),0)</f>
        <v>3314</v>
      </c>
      <c r="H118" s="1798">
        <f ca="1">ROUND(IF(D32="总价",C32,I118*B118/10000),0)</f>
        <v>18218</v>
      </c>
      <c r="I118" s="1798">
        <f ca="1">ROUND(IF(D32="楼面单价",C32,H118*10000/B118),0)</f>
        <v>4946</v>
      </c>
      <c r="J118" s="795">
        <f ca="1">D118/C118*666.67</f>
        <v>171.99352023660146</v>
      </c>
    </row>
    <row r="119" spans="1:11" ht="18.75" customHeight="1">
      <c r="A119" s="3004" t="s">
        <v>2305</v>
      </c>
      <c r="B119" s="3004"/>
      <c r="C119" s="3004"/>
      <c r="D119" s="3104" t="str">
        <f ca="1">NUMBERSTRING(INT(D118*10000),2)&amp;"元整"</f>
        <v>陆仟零壹拾贰万元整</v>
      </c>
      <c r="E119" s="3106"/>
      <c r="F119" s="3104" t="str">
        <f ca="1">NUMBERSTRING(INT(F118*10000),2)&amp;"元整"</f>
        <v>壹亿贰仟贰佰零陆万元整</v>
      </c>
      <c r="G119" s="3106"/>
      <c r="H119" s="3104" t="str">
        <f ca="1">NUMBERSTRING(INT(H118*10000),2)&amp;"元整"</f>
        <v>壹亿捌仟贰佰壹拾捌万元整</v>
      </c>
      <c r="I119" s="3106"/>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2423" t="str">
        <f>IF(D120=0,"故，本次评估不存在"&amp;A120,"故，本次评估"&amp;A120&amp;"为人民币"&amp;D120&amp;"万元整。")</f>
        <v>故，本次评估不存在估价师知悉的法定优先受偿款</v>
      </c>
    </row>
    <row r="121" spans="1:11" ht="18.75" customHeight="1">
      <c r="A121" s="3108" t="s">
        <v>2305</v>
      </c>
      <c r="B121" s="3109"/>
      <c r="C121" s="3110"/>
      <c r="D121" s="3104" t="str">
        <f>IF(D120=0,"零元整",NUMBERSTRING(INT(D120*10000),2)&amp;"元整")</f>
        <v>零元整</v>
      </c>
      <c r="E121" s="3105"/>
      <c r="F121" s="3105"/>
      <c r="G121" s="3105"/>
      <c r="H121" s="3105"/>
      <c r="I121" s="3106"/>
    </row>
    <row r="122" spans="1:11" ht="18.75" customHeight="1">
      <c r="A122" s="3095" t="str">
        <f>IF(项目基本情况!B9="房地产市场价值","",MID(E107,3,LEN(E107)-2))</f>
        <v>房地产抵押价值</v>
      </c>
      <c r="B122" s="3095"/>
      <c r="C122" s="3095"/>
      <c r="D122" s="3132">
        <f ca="1">H107</f>
        <v>18218</v>
      </c>
      <c r="E122" s="3133"/>
      <c r="F122" s="3133"/>
      <c r="G122" s="3133"/>
      <c r="H122" s="3133"/>
      <c r="I122" s="3134"/>
    </row>
    <row r="123" spans="1:11" ht="18.75" customHeight="1">
      <c r="A123" s="3004" t="s">
        <v>2305</v>
      </c>
      <c r="B123" s="3004"/>
      <c r="C123" s="3004"/>
      <c r="D123" s="3104" t="str">
        <f ca="1">NUMBERSTRING(INT(D122*10000),2)&amp;"元整"</f>
        <v>壹亿捌仟贰佰壹拾捌万元整</v>
      </c>
      <c r="E123" s="3105"/>
      <c r="F123" s="3105"/>
      <c r="G123" s="3105"/>
      <c r="H123" s="3105"/>
      <c r="I123" s="3106"/>
    </row>
    <row r="124" spans="1:11" ht="18.75" customHeight="1">
      <c r="A124" s="3095" t="str">
        <f>IF(项目基本情况!B9="房地产市场价值","",MID(E109,3,LEN(E109)-2))</f>
        <v/>
      </c>
      <c r="B124" s="3095"/>
      <c r="C124" s="3095"/>
      <c r="D124" s="3132" t="str">
        <f>H109</f>
        <v>——</v>
      </c>
      <c r="E124" s="3133"/>
      <c r="F124" s="3133"/>
      <c r="G124" s="3133"/>
      <c r="H124" s="3133"/>
      <c r="I124" s="3134"/>
    </row>
    <row r="125" spans="1:11" ht="18.75" customHeight="1">
      <c r="A125" s="3004" t="s">
        <v>2305</v>
      </c>
      <c r="B125" s="3004"/>
      <c r="C125" s="3004"/>
      <c r="D125" s="3104" t="e">
        <f>NUMBERSTRING(INT(D124*10000),2)&amp;"元整"</f>
        <v>#VALUE!</v>
      </c>
      <c r="E125" s="3105"/>
      <c r="F125" s="3105"/>
      <c r="G125" s="3105"/>
      <c r="H125" s="3105"/>
      <c r="I125" s="3106"/>
    </row>
    <row r="126" spans="1:11" ht="18.75" customHeight="1">
      <c r="A126" s="3095" t="str">
        <f>IF(项目基本情况!B9="房地产市场价值","",MID(E111,3,LEN(E111)-2))</f>
        <v/>
      </c>
      <c r="B126" s="3095"/>
      <c r="C126" s="3095"/>
      <c r="D126" s="3132" t="str">
        <f>H111</f>
        <v>——</v>
      </c>
      <c r="E126" s="3133"/>
      <c r="F126" s="3133"/>
      <c r="G126" s="3133"/>
      <c r="H126" s="3133"/>
      <c r="I126" s="3134"/>
    </row>
    <row r="127" spans="1:11" ht="18.75" customHeight="1">
      <c r="A127" s="3004" t="s">
        <v>2305</v>
      </c>
      <c r="B127" s="3004"/>
      <c r="C127" s="3004"/>
      <c r="D127" s="3104" t="e">
        <f>NUMBERSTRING(INT(D126*10000),2)&amp;"元整"</f>
        <v>#VALUE!</v>
      </c>
      <c r="E127" s="3105"/>
      <c r="F127" s="3105"/>
      <c r="G127" s="3105"/>
      <c r="H127" s="3105"/>
      <c r="I127" s="3106"/>
    </row>
    <row r="128" spans="1:11" ht="21.75" customHeight="1">
      <c r="A128" s="3114" t="s">
        <v>2306</v>
      </c>
      <c r="B128" s="3114"/>
      <c r="C128" s="3114"/>
      <c r="D128" s="3114"/>
      <c r="E128" s="3114"/>
      <c r="F128" s="3114"/>
      <c r="G128" s="3114"/>
      <c r="H128" s="3114"/>
      <c r="I128" s="3114"/>
    </row>
    <row r="129" spans="1:35" ht="21.75" customHeight="1">
      <c r="A129" s="2527" t="s">
        <v>2307</v>
      </c>
      <c r="B129" s="2528"/>
      <c r="C129" s="2529" t="s">
        <v>2308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2309</v>
      </c>
      <c r="G135" s="2544"/>
      <c r="H135" s="2544"/>
      <c r="I135" s="2545" t="s">
        <v>2310</v>
      </c>
    </row>
    <row r="136" spans="1:35" ht="21.75" customHeight="1">
      <c r="A136" s="795"/>
      <c r="B136" s="2546"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2312</v>
      </c>
    </row>
    <row r="139" spans="1:35" ht="21.75" customHeight="1">
      <c r="A139" s="795"/>
      <c r="B139" s="2546" t="s">
        <v>2313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2312</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28" sqref="C28"/>
    </sheetView>
  </sheetViews>
  <sheetFormatPr defaultColWidth="12" defaultRowHeight="12.75"/>
  <cols>
    <col min="1" max="1" width="9.75" style="2796" customWidth="1"/>
    <col min="2" max="2" width="19.25" style="2902" customWidth="1"/>
    <col min="3" max="4" width="12" style="2722"/>
    <col min="5" max="5" width="14.625" style="2722" customWidth="1"/>
    <col min="6" max="8" width="12" style="2722"/>
    <col min="9" max="9" width="12.25" style="2722" bestFit="1" customWidth="1"/>
    <col min="10" max="10" width="12" style="2722"/>
    <col min="11" max="11" width="8.125" style="2788" customWidth="1"/>
    <col min="12" max="12" width="12" style="2722"/>
    <col min="13" max="13" width="8.5" style="2722" customWidth="1"/>
    <col min="14" max="14" width="9.75" style="2722" customWidth="1"/>
    <col min="15" max="25" width="12" style="2722"/>
    <col min="26" max="26" width="9.375" style="2796" customWidth="1"/>
    <col min="27" max="32" width="9.375" style="1375" customWidth="1"/>
    <col min="33" max="36" width="9.375" style="2796" customWidth="1"/>
    <col min="37" max="38" width="9.375" style="2722" customWidth="1"/>
    <col min="39" max="16384" width="12" style="2722"/>
  </cols>
  <sheetData>
    <row r="1" spans="1:36" ht="28.5">
      <c r="A1" s="240" t="s">
        <v>2789</v>
      </c>
      <c r="B1" s="241"/>
      <c r="C1" s="245" t="s">
        <v>2790</v>
      </c>
      <c r="D1" s="388">
        <f>SUM(D29:D30,D33:D39)</f>
        <v>34832.270000000004</v>
      </c>
      <c r="E1" s="2719"/>
      <c r="F1" s="2719"/>
      <c r="G1" s="2719"/>
      <c r="H1" s="2719"/>
      <c r="I1" s="2719"/>
      <c r="J1" s="2719"/>
      <c r="K1" s="1373"/>
      <c r="L1" s="2720" t="s">
        <v>2791</v>
      </c>
      <c r="M1" s="1083">
        <f>SUMPRODUCT((区片价!B5:B9=I2)*(区片价!C3:F3=E2)*(区片价!C5:F9))</f>
        <v>0</v>
      </c>
      <c r="N1" s="1086">
        <f>SUMPRODUCT((因素修正幅度!B5:B9=I2)*(因素修正幅度!C3:F3=E2)*(因素修正幅度!C5:F9))</f>
        <v>0</v>
      </c>
      <c r="O1" s="2721"/>
      <c r="P1" s="2721"/>
      <c r="Q1" s="1373"/>
      <c r="R1" s="1605" t="s">
        <v>2792</v>
      </c>
      <c r="S1" s="1605" t="s">
        <v>2793</v>
      </c>
      <c r="T1" s="1605" t="s">
        <v>2794</v>
      </c>
      <c r="U1" s="1605" t="s">
        <v>2795</v>
      </c>
      <c r="V1" s="1605" t="s">
        <v>2796</v>
      </c>
      <c r="W1" s="1609"/>
      <c r="X1" s="1609"/>
      <c r="Y1" s="1609"/>
      <c r="Z1" s="1609"/>
      <c r="AA1" s="1609"/>
      <c r="AB1" s="1609"/>
      <c r="AC1" s="1610"/>
      <c r="AD1" s="1611"/>
      <c r="AE1" s="1611"/>
      <c r="AF1" s="1611"/>
      <c r="AG1" s="1611"/>
      <c r="AH1" s="1611"/>
      <c r="AI1" s="1611"/>
      <c r="AJ1" s="1612"/>
    </row>
    <row r="2" spans="1:36" ht="25.5">
      <c r="A2" s="245" t="s">
        <v>2797</v>
      </c>
      <c r="B2" s="248">
        <f ca="1">C26</f>
        <v>3678</v>
      </c>
      <c r="C2" s="2723" t="s">
        <v>2798</v>
      </c>
      <c r="D2" s="2724" t="s">
        <v>2799</v>
      </c>
      <c r="E2" s="2725" t="s">
        <v>6</v>
      </c>
      <c r="F2" s="2724" t="s">
        <v>2800</v>
      </c>
      <c r="G2" s="2726" t="str">
        <f>IF(E2="商业",项目基本情况!B37,IF(E2="办公",项目基本情况!C37,IF(E2="住宅",项目基本情况!D37,项目基本情况!E37)))</f>
        <v>八级</v>
      </c>
      <c r="H2" s="2724" t="s">
        <v>2801</v>
      </c>
      <c r="I2" s="2726" t="str">
        <f>IF(E2="商业",项目基本情况!B38,IF(E2="办公",项目基本情况!C38,IF(E2="住宅",项目基本情况!D38,项目基本情况!E38)))</f>
        <v>Ⅷ-生物医药基地</v>
      </c>
      <c r="J2" s="2727"/>
      <c r="K2" s="1373"/>
      <c r="L2" s="2728" t="s">
        <v>2802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1.9419999999999999</v>
      </c>
      <c r="T2" s="1605">
        <f ca="1">ROUND($C$5*$C$18*$C$19*$C$20*S2*$C$24,0)</f>
        <v>2612</v>
      </c>
      <c r="U2" s="1606"/>
      <c r="V2" s="1605">
        <f ca="1">ROUND(T2*U2/10000,0)</f>
        <v>0</v>
      </c>
      <c r="W2" s="1609"/>
      <c r="X2" s="1609"/>
      <c r="Y2" s="1609"/>
      <c r="Z2" s="1609"/>
      <c r="AA2" s="1609"/>
      <c r="AB2" s="1609"/>
      <c r="AC2" s="1610"/>
      <c r="AD2" s="1611"/>
      <c r="AE2" s="1611"/>
      <c r="AF2" s="1611"/>
      <c r="AG2" s="1611"/>
      <c r="AH2" s="1611"/>
      <c r="AI2" s="1611"/>
      <c r="AJ2" s="1612"/>
    </row>
    <row r="3" spans="1:36" ht="15.75">
      <c r="A3" s="247" t="s">
        <v>2803</v>
      </c>
      <c r="B3" s="248">
        <f ca="1">ROUND(B2*10000/D1,0)</f>
        <v>1056</v>
      </c>
      <c r="C3" s="2723" t="s">
        <v>2804</v>
      </c>
      <c r="D3" s="2724" t="s">
        <v>2805</v>
      </c>
      <c r="E3" s="2729" t="s">
        <v>3042</v>
      </c>
      <c r="F3" s="2730" t="s">
        <v>3201</v>
      </c>
      <c r="G3" s="916">
        <f>IF(F3="宗地容积率",'数据-汇总表'!I4,IF(F3="估价对象容积率",'数据-汇总表'!I6,'数据-汇总表'!I7))</f>
        <v>1.58</v>
      </c>
      <c r="H3" s="198" t="s">
        <v>2806</v>
      </c>
      <c r="I3" s="947"/>
      <c r="J3" s="2727" t="s">
        <v>2807</v>
      </c>
      <c r="K3" s="1373"/>
      <c r="L3" s="2728" t="s">
        <v>2808</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1.2799</v>
      </c>
      <c r="T3" s="1605">
        <f t="shared" ref="T3:T16" ca="1" si="0">ROUND($C$5*$C$18*$C$19*$C$20*S3*$C$24,0)</f>
        <v>1722</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49"/>
      <c r="B4" s="3150"/>
      <c r="C4" s="3150"/>
      <c r="D4" s="3151"/>
      <c r="E4" s="3151"/>
      <c r="F4" s="3151"/>
      <c r="G4" s="3151"/>
      <c r="H4" s="3151"/>
      <c r="I4" s="3151"/>
      <c r="J4" s="3152"/>
      <c r="K4" s="1373"/>
      <c r="L4" s="2728" t="s">
        <v>2809</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1.0072000000000001</v>
      </c>
      <c r="T4" s="1605">
        <f t="shared" ca="1" si="0"/>
        <v>1355</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2810</v>
      </c>
      <c r="C5" s="917">
        <f>ROUND(IF(E2="商业",IF(F16="增加",C6*C7+C16,C6*C7-C16),IF(E2="住宅",IF(F16="增加",C6*C12+C16,C6*C12-C16),IF(F16="增加",C6+C16,C6-C16))),0)</f>
        <v>1040</v>
      </c>
      <c r="D5" s="1790">
        <f>ROUND(IF(E2="商业",IF(F16="增加",C6+C16,C6-C16)),0)</f>
        <v>0</v>
      </c>
      <c r="E5" s="2733"/>
      <c r="F5" s="2733"/>
      <c r="G5" s="2734"/>
      <c r="H5" s="2734"/>
      <c r="I5" s="2734"/>
      <c r="J5" s="2735"/>
      <c r="K5" s="2736"/>
      <c r="L5" s="2728" t="s">
        <v>2811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0.75249999999999995</v>
      </c>
      <c r="T5" s="1605">
        <f t="shared" ca="1" si="0"/>
        <v>1012</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2812</v>
      </c>
      <c r="B6" s="2742" t="s">
        <v>2813</v>
      </c>
      <c r="C6" s="918">
        <f>SUMIF(L1:L12,G2,M1:M12)</f>
        <v>970</v>
      </c>
      <c r="D6" s="2743" t="s">
        <v>2814</v>
      </c>
      <c r="E6" s="2744"/>
      <c r="F6" s="2744"/>
      <c r="G6" s="2745"/>
      <c r="H6" s="2745"/>
      <c r="I6" s="2745"/>
      <c r="J6" s="2746"/>
      <c r="K6" s="1845"/>
      <c r="L6" s="2728" t="s">
        <v>2815</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0.56589999999999996</v>
      </c>
      <c r="T6" s="1605">
        <f t="shared" ca="1" si="0"/>
        <v>761</v>
      </c>
      <c r="U6" s="1606"/>
      <c r="V6" s="1605">
        <f t="shared" ca="1" si="1"/>
        <v>0</v>
      </c>
      <c r="W6" s="1609"/>
      <c r="X6" s="1609"/>
      <c r="Y6" s="1609"/>
      <c r="Z6" s="1609"/>
      <c r="AA6" s="1609"/>
      <c r="AB6" s="1609"/>
      <c r="AC6" s="2737"/>
      <c r="AD6" s="2738"/>
      <c r="AE6" s="2738"/>
      <c r="AF6" s="2738"/>
      <c r="AG6" s="2738"/>
      <c r="AH6" s="2738"/>
      <c r="AI6" s="2738"/>
      <c r="AJ6" s="2739"/>
    </row>
    <row r="7" spans="1:36" ht="24">
      <c r="A7" s="3153" t="str">
        <f>IF(E2="商业",IF(C8="不临58条商业街","",2),"")</f>
        <v/>
      </c>
      <c r="B7" s="2747" t="s">
        <v>2816</v>
      </c>
      <c r="C7" s="919">
        <f>IF(C8="不临58条商业街",1,ROUND(1+(1.6*E8+1.2*E9+0.8*E10+0.4*E11)*C9,4))</f>
        <v>1</v>
      </c>
      <c r="D7" s="2748" t="s">
        <v>2817</v>
      </c>
      <c r="E7" s="948"/>
      <c r="F7" s="2749"/>
      <c r="G7" s="2750"/>
      <c r="H7" s="2750"/>
      <c r="I7" s="2750"/>
      <c r="J7" s="2751"/>
      <c r="K7" s="1845"/>
      <c r="L7" s="2728" t="s">
        <v>2818</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0.45250000000000001</v>
      </c>
      <c r="T7" s="1605">
        <f t="shared" ca="1" si="0"/>
        <v>609</v>
      </c>
      <c r="U7" s="1606"/>
      <c r="V7" s="1605">
        <f t="shared" ca="1" si="1"/>
        <v>0</v>
      </c>
      <c r="W7" s="1819" t="s">
        <v>2819</v>
      </c>
      <c r="X7" s="1607" t="str">
        <f>G2</f>
        <v>八级</v>
      </c>
      <c r="Y7" s="1607" t="s">
        <v>2820</v>
      </c>
      <c r="Z7" s="1608">
        <f>G3</f>
        <v>1.58</v>
      </c>
      <c r="AA7" s="1609"/>
      <c r="AB7" s="1609"/>
      <c r="AC7" s="1610"/>
      <c r="AD7" s="1611"/>
      <c r="AE7" s="1611"/>
      <c r="AF7" s="1611"/>
      <c r="AG7" s="1611"/>
      <c r="AH7" s="1611"/>
      <c r="AI7" s="1611"/>
      <c r="AJ7" s="1612"/>
    </row>
    <row r="8" spans="1:36" ht="25.5">
      <c r="A8" s="3154"/>
      <c r="B8" s="198" t="s">
        <v>2821</v>
      </c>
      <c r="C8" s="2752" t="s">
        <v>3200</v>
      </c>
      <c r="D8" s="920" t="s">
        <v>139</v>
      </c>
      <c r="E8" s="921" t="e">
        <f>ROUND(C11/E7,4)</f>
        <v>#DIV/0!</v>
      </c>
      <c r="F8" s="2753" t="s">
        <v>2822</v>
      </c>
      <c r="G8" s="2754"/>
      <c r="H8" s="2754"/>
      <c r="I8" s="2754"/>
      <c r="J8" s="2755"/>
      <c r="K8" s="1373"/>
      <c r="L8" s="2728" t="s">
        <v>2823</v>
      </c>
      <c r="M8" s="1084">
        <f>SUMPRODUCT((区片价!B206:B244=I2)*(区片价!C3:F3=E2)*(区片价!C206:F244))</f>
        <v>970</v>
      </c>
      <c r="N8" s="1086">
        <f>SUMPRODUCT((因素修正幅度!B206:B244=I2)*(因素修正幅度!C3:F3=E2)*(因素修正幅度!C206:F244))</f>
        <v>0.05</v>
      </c>
      <c r="O8" s="1373"/>
      <c r="P8" s="1373"/>
      <c r="Q8" s="1373"/>
      <c r="R8" s="1605">
        <v>7</v>
      </c>
      <c r="S8" s="1606"/>
      <c r="T8" s="1605">
        <f t="shared" ca="1" si="0"/>
        <v>0</v>
      </c>
      <c r="U8" s="1606"/>
      <c r="V8" s="1605">
        <f t="shared" ca="1" si="1"/>
        <v>0</v>
      </c>
      <c r="W8" s="3146" t="s">
        <v>2824</v>
      </c>
      <c r="X8" s="3147"/>
      <c r="Y8" s="1613" t="s">
        <v>2825</v>
      </c>
      <c r="Z8" s="1613" t="s">
        <v>2826</v>
      </c>
      <c r="AA8" s="1613" t="s">
        <v>2827</v>
      </c>
      <c r="AB8" s="1613" t="s">
        <v>2828</v>
      </c>
      <c r="AC8" s="1613" t="s">
        <v>2829</v>
      </c>
      <c r="AD8" s="1613" t="s">
        <v>2830</v>
      </c>
      <c r="AE8" s="1613" t="s">
        <v>2831</v>
      </c>
      <c r="AF8" s="1613" t="s">
        <v>2832</v>
      </c>
      <c r="AG8" s="1613" t="s">
        <v>2833</v>
      </c>
      <c r="AH8" s="1613" t="s">
        <v>2834</v>
      </c>
      <c r="AI8" s="1613" t="s">
        <v>2835</v>
      </c>
      <c r="AJ8" s="1613" t="s">
        <v>2836</v>
      </c>
    </row>
    <row r="9" spans="1:36" ht="15">
      <c r="A9" s="3154"/>
      <c r="B9" s="198" t="s">
        <v>2837</v>
      </c>
      <c r="C9" s="922">
        <f>SUMIF(修正!C59:C119,C8,修正!E59:E119)</f>
        <v>0</v>
      </c>
      <c r="D9" s="200" t="s">
        <v>140</v>
      </c>
      <c r="E9" s="200" t="e">
        <f>ROUND(C11/E7,4)</f>
        <v>#DIV/0!</v>
      </c>
      <c r="F9" s="2753" t="s">
        <v>2838</v>
      </c>
      <c r="G9" s="2754"/>
      <c r="H9" s="2754"/>
      <c r="I9" s="2754"/>
      <c r="J9" s="2755"/>
      <c r="K9" s="1373"/>
      <c r="L9" s="2728" t="s">
        <v>2839</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48" t="s">
        <v>2840</v>
      </c>
      <c r="X9" s="1614" t="s">
        <v>2841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54"/>
      <c r="B10" s="198" t="s">
        <v>2842</v>
      </c>
      <c r="C10" s="200">
        <f>SUMIF(修正!C59:C119,C8,修正!F59:F119)</f>
        <v>0</v>
      </c>
      <c r="D10" s="200" t="s">
        <v>141</v>
      </c>
      <c r="E10" s="200" t="e">
        <f>ROUND(C11/E7,4)</f>
        <v>#DIV/0!</v>
      </c>
      <c r="F10" s="2753" t="s">
        <v>2843</v>
      </c>
      <c r="G10" s="2754"/>
      <c r="H10" s="2754"/>
      <c r="I10" s="2754"/>
      <c r="J10" s="2755"/>
      <c r="K10" s="1373"/>
      <c r="L10" s="2728" t="s">
        <v>2844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4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54"/>
      <c r="B11" s="2756" t="s">
        <v>2845</v>
      </c>
      <c r="C11" s="923">
        <f>C10/4</f>
        <v>0</v>
      </c>
      <c r="D11" s="923" t="s">
        <v>142</v>
      </c>
      <c r="E11" s="923" t="e">
        <f>ROUND(C11/E7,4)</f>
        <v>#DIV/0!</v>
      </c>
      <c r="F11" s="2757" t="s">
        <v>2846</v>
      </c>
      <c r="G11" s="2758"/>
      <c r="H11" s="2758"/>
      <c r="I11" s="2758"/>
      <c r="J11" s="2759"/>
      <c r="K11" s="1373"/>
      <c r="L11" s="2728" t="s">
        <v>2847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48" t="s">
        <v>2848</v>
      </c>
      <c r="X11" s="1617" t="s">
        <v>2849</v>
      </c>
      <c r="Y11" s="1618">
        <f>$G$3</f>
        <v>1.58</v>
      </c>
      <c r="Z11" s="1618">
        <f t="shared" ref="Z11:AJ11" si="3">$G$3</f>
        <v>1.58</v>
      </c>
      <c r="AA11" s="1618">
        <f t="shared" si="3"/>
        <v>1.58</v>
      </c>
      <c r="AB11" s="1618">
        <f t="shared" si="3"/>
        <v>1.58</v>
      </c>
      <c r="AC11" s="1618">
        <f t="shared" si="3"/>
        <v>1.58</v>
      </c>
      <c r="AD11" s="1618">
        <f t="shared" si="3"/>
        <v>1.58</v>
      </c>
      <c r="AE11" s="1618">
        <f t="shared" si="3"/>
        <v>1.58</v>
      </c>
      <c r="AF11" s="1618">
        <f t="shared" si="3"/>
        <v>1.58</v>
      </c>
      <c r="AG11" s="1618">
        <f t="shared" si="3"/>
        <v>1.58</v>
      </c>
      <c r="AH11" s="1618">
        <f t="shared" si="3"/>
        <v>1.58</v>
      </c>
      <c r="AI11" s="1618">
        <f t="shared" si="3"/>
        <v>1.58</v>
      </c>
      <c r="AJ11" s="1618">
        <f t="shared" si="3"/>
        <v>1.58</v>
      </c>
    </row>
    <row r="12" spans="1:36" ht="25.5" thickBot="1">
      <c r="A12" s="3153" t="s">
        <v>2850</v>
      </c>
      <c r="B12" s="2760" t="s">
        <v>2851</v>
      </c>
      <c r="C12" s="919">
        <f>ROUND(C15*D15*E15*F15*G15*H15*I15*J15,4)</f>
        <v>1</v>
      </c>
      <c r="D12" s="2761" t="s">
        <v>2852</v>
      </c>
      <c r="E12" s="2762"/>
      <c r="F12" s="2762"/>
      <c r="G12" s="2763"/>
      <c r="H12" s="2763"/>
      <c r="I12" s="2763"/>
      <c r="J12" s="2764"/>
      <c r="K12" s="1373"/>
      <c r="L12" s="2765" t="s">
        <v>2853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48"/>
      <c r="X12" s="1619" t="s">
        <v>2854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55"/>
      <c r="B13" s="2766" t="s">
        <v>2855</v>
      </c>
      <c r="C13" s="2767" t="s">
        <v>2856</v>
      </c>
      <c r="D13" s="1811" t="s">
        <v>2857</v>
      </c>
      <c r="E13" s="1811" t="s">
        <v>2858</v>
      </c>
      <c r="F13" s="30" t="s">
        <v>2859</v>
      </c>
      <c r="G13" s="2768" t="s">
        <v>2860</v>
      </c>
      <c r="H13" s="2768" t="s">
        <v>2860</v>
      </c>
      <c r="I13" s="2768" t="s">
        <v>2860</v>
      </c>
      <c r="J13" s="2769" t="s">
        <v>2860</v>
      </c>
      <c r="K13" s="1373"/>
      <c r="L13" s="1373"/>
      <c r="M13" s="1373"/>
      <c r="N13" s="1373"/>
      <c r="O13" s="1373"/>
      <c r="P13" s="1373"/>
      <c r="Q13" s="1373"/>
      <c r="R13" s="1605">
        <v>12</v>
      </c>
      <c r="S13" s="1606"/>
      <c r="T13" s="1605">
        <f t="shared" ca="1" si="0"/>
        <v>0</v>
      </c>
      <c r="U13" s="1606"/>
      <c r="V13" s="1605">
        <f t="shared" ca="1" si="1"/>
        <v>0</v>
      </c>
      <c r="W13" s="3148"/>
      <c r="X13" s="1619"/>
      <c r="Y13" s="1616">
        <f>(-0.163*(Y12^2)-0.59*Y12+7617)*(10^(-4))/Y11</f>
        <v>0.48208860759493671</v>
      </c>
      <c r="Z13" s="1616">
        <f t="shared" ref="Z13:AJ13" si="5">(-0.163*(Z12^2)-0.59*Z12+7617)*(10^(-4))/Z11</f>
        <v>0.48208860759493671</v>
      </c>
      <c r="AA13" s="1616">
        <f t="shared" si="5"/>
        <v>0.48208860759493671</v>
      </c>
      <c r="AB13" s="1616">
        <f t="shared" si="5"/>
        <v>0.48208860759493671</v>
      </c>
      <c r="AC13" s="1616">
        <f t="shared" si="5"/>
        <v>0.48208860759493671</v>
      </c>
      <c r="AD13" s="1616">
        <f t="shared" si="5"/>
        <v>0.48208860759493671</v>
      </c>
      <c r="AE13" s="1616">
        <f t="shared" si="5"/>
        <v>0.48208860759493671</v>
      </c>
      <c r="AF13" s="1616">
        <f t="shared" si="5"/>
        <v>0.48208860759493671</v>
      </c>
      <c r="AG13" s="1616">
        <f t="shared" si="5"/>
        <v>0.48208860759493671</v>
      </c>
      <c r="AH13" s="1616">
        <f t="shared" si="5"/>
        <v>0.48208860759493671</v>
      </c>
      <c r="AI13" s="1616">
        <f t="shared" si="5"/>
        <v>0.48208860759493671</v>
      </c>
      <c r="AJ13" s="1616">
        <f t="shared" si="5"/>
        <v>0.48208860759493671</v>
      </c>
    </row>
    <row r="14" spans="1:36" ht="15">
      <c r="A14" s="3155"/>
      <c r="B14" s="2770"/>
      <c r="C14" s="2771"/>
      <c r="D14" s="2772"/>
      <c r="E14" s="2772"/>
      <c r="F14" s="2773"/>
      <c r="G14" s="2774" t="s">
        <v>2861</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56"/>
      <c r="B15" s="2778" t="s">
        <v>2862</v>
      </c>
      <c r="C15" s="229">
        <f>IF(C14="有",1.1,1)</f>
        <v>1</v>
      </c>
      <c r="D15" s="229">
        <f>IF(D14="有",1.1,1)</f>
        <v>1</v>
      </c>
      <c r="E15" s="229">
        <f>IF(E14="有",1.1,1)</f>
        <v>1</v>
      </c>
      <c r="F15" s="229">
        <f>IF(F14="500米范围内",1.2,IF(F14="500-1000米",1.1,1))</f>
        <v>1</v>
      </c>
      <c r="G15" s="949">
        <v>1</v>
      </c>
      <c r="H15" s="949">
        <v>1</v>
      </c>
      <c r="I15" s="949">
        <v>1</v>
      </c>
      <c r="J15" s="950">
        <v>1</v>
      </c>
      <c r="K15" s="1373"/>
      <c r="L15" s="2779" t="s">
        <v>2799</v>
      </c>
      <c r="M15" s="920" t="s">
        <v>2863</v>
      </c>
      <c r="N15" s="920" t="s">
        <v>2864</v>
      </c>
      <c r="O15" s="920" t="s">
        <v>2865</v>
      </c>
      <c r="P15" s="2780" t="s">
        <v>2866</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3" t="s">
        <v>2867</v>
      </c>
      <c r="B16" s="2747" t="s">
        <v>2868</v>
      </c>
      <c r="C16" s="1804">
        <f>ROUND(SUM(G17:J17)/C17,0)</f>
        <v>70</v>
      </c>
      <c r="D16" s="2781" t="s">
        <v>2869</v>
      </c>
      <c r="E16" s="3286" t="s">
        <v>3198</v>
      </c>
      <c r="F16" s="3287" t="s">
        <v>3220</v>
      </c>
      <c r="G16" s="2782" t="s">
        <v>3199</v>
      </c>
      <c r="H16" s="2782" t="s">
        <v>3056</v>
      </c>
      <c r="I16" s="2782"/>
      <c r="J16" s="2783"/>
      <c r="K16" s="1373"/>
      <c r="L16" s="2784" t="s">
        <v>2870</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4"/>
      <c r="B17" s="2785" t="s">
        <v>2871</v>
      </c>
      <c r="C17" s="924">
        <f>SUMPRODUCT((修正!A2:A5=E2)*(修正!B1:M1=G2)*(修正!B2:M5))</f>
        <v>1</v>
      </c>
      <c r="D17" s="2786" t="s">
        <v>2872</v>
      </c>
      <c r="E17" s="923" t="str">
        <f>IF(OR(G2="八级",G2="九级",G2="十级",G2="十一级",G2="十二级"),"五通一平","七通一平")</f>
        <v>五通一平</v>
      </c>
      <c r="F17" s="924" t="s">
        <v>2873</v>
      </c>
      <c r="G17" s="924">
        <f>SUMPRODUCT((七通一平=G16)*(修正!B1:M1=G2)*(修正!B6:M14))</f>
        <v>30</v>
      </c>
      <c r="H17" s="924">
        <f>SUMPRODUCT((七通一平=H16)*(修正!B1:M1=G2)*(修正!B6:M14))</f>
        <v>40</v>
      </c>
      <c r="I17" s="924">
        <f>SUMPRODUCT((七通一平=I16)*(修正!B1:M1=G2)*(修正!B6:M14))</f>
        <v>0</v>
      </c>
      <c r="J17" s="925">
        <f>SUMPRODUCT((七通一平=J16)*(修正!B1:M1=G2)*(修正!B6:M14))</f>
        <v>0</v>
      </c>
      <c r="K17" s="1373"/>
      <c r="L17" s="2787" t="s">
        <v>2874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2"/>
      <c r="AH17" s="2722"/>
      <c r="AI17" s="2722"/>
      <c r="AJ17" s="2722"/>
    </row>
    <row r="18" spans="1:37" s="2740" customFormat="1" ht="15.75" thickBot="1">
      <c r="A18" s="2789" t="s">
        <v>808</v>
      </c>
      <c r="B18" s="2790" t="s">
        <v>2875</v>
      </c>
      <c r="C18" s="926">
        <f>SUMIF(修正!C18:C39,E3,修正!E18:E39)</f>
        <v>1</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40" customFormat="1" ht="27.75" thickBot="1">
      <c r="A19" s="2789" t="s">
        <v>809</v>
      </c>
      <c r="B19" s="2790" t="s">
        <v>2876</v>
      </c>
      <c r="C19" s="927">
        <f>ROUND(IF(H19="按公示增长率计算",SUMPRODUCT((地价!A3:A24=YEAR(G19)&amp;"-"&amp;ROUNDUP(MONTH(G19)/3,0))*(地价!X2:AB2=E2)*(地价!X3:AB24)),IF(H19="地价指数",M20/M19,(1+I19)^O19)),4)</f>
        <v>1.3087</v>
      </c>
      <c r="D19" s="2797" t="s">
        <v>2877</v>
      </c>
      <c r="E19" s="928">
        <v>41640</v>
      </c>
      <c r="F19" s="2797" t="s">
        <v>2878</v>
      </c>
      <c r="G19" s="929">
        <f>'数据-取费表'!B2</f>
        <v>43430</v>
      </c>
      <c r="H19" s="2798" t="s">
        <v>2879</v>
      </c>
      <c r="I19" s="930" t="str">
        <f>IF(H19="季度增幅（自定义）",SUMIF(N21:N24,E2,O21:O24),"")</f>
        <v/>
      </c>
      <c r="J19" s="2795"/>
      <c r="K19" s="1380"/>
      <c r="L19" s="2799" t="s">
        <v>2880</v>
      </c>
      <c r="M19" s="1737">
        <f>ROUND(SUMIF(地价!B2:F2,E2,地价!B24:F24),0)</f>
        <v>230</v>
      </c>
      <c r="N19" s="2800" t="s">
        <v>2881</v>
      </c>
      <c r="O19" s="931">
        <f>ROUNDDOWN(DATEDIF(E19,G19,"M")/3,0)</f>
        <v>19</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40" customFormat="1" ht="27.75" thickBot="1">
      <c r="A20" s="2804" t="s">
        <v>810</v>
      </c>
      <c r="B20" s="2805" t="s">
        <v>2882</v>
      </c>
      <c r="C20" s="932">
        <f ca="1">ROUND(POWER(1+G20,J20-I20)*(POWER(1+G20,I20)-1)/(POWER(1+G20,J20)-1),4)</f>
        <v>0.97350000000000003</v>
      </c>
      <c r="D20" s="2806" t="s">
        <v>2883</v>
      </c>
      <c r="E20" s="1771">
        <f ca="1">存贷款利率!D4/100</f>
        <v>4.3499999999999997E-2</v>
      </c>
      <c r="F20" s="2806" t="s">
        <v>2874</v>
      </c>
      <c r="G20" s="937">
        <f ca="1">SUMIF(M15:P15,E2,M17:P17)</f>
        <v>4.8000000000000001E-2</v>
      </c>
      <c r="H20" s="2806" t="s">
        <v>2884</v>
      </c>
      <c r="I20" s="938">
        <f>SUMIF('数据-取费表'!C6:C15,E2,'数据-取费表'!F6:F15)/COUNTIF('数据-取费表'!C6:C15,E2)</f>
        <v>45.24</v>
      </c>
      <c r="J20" s="939">
        <f>IF(E2="住宅",70,IF(E2="商业",40,50))</f>
        <v>50</v>
      </c>
      <c r="K20" s="1380"/>
      <c r="L20" s="2807" t="s">
        <v>2885</v>
      </c>
      <c r="M20" s="1738">
        <f>ROUND(SUMPRODUCT((地价!A4:A24=YEAR(G19)&amp;"-"&amp;ROUNDUP(MONTH(G19)/3,0))*(地价!B2:F2=E2)*(地价!B4:F24)),0)</f>
        <v>301</v>
      </c>
      <c r="N20" s="2808" t="s">
        <v>2886</v>
      </c>
      <c r="O20" s="2809" t="s">
        <v>2887</v>
      </c>
      <c r="P20" s="2810" t="s">
        <v>2888</v>
      </c>
      <c r="R20" s="1379"/>
      <c r="S20" s="1379"/>
      <c r="T20" s="1374"/>
      <c r="U20" s="1374"/>
      <c r="V20" s="1374"/>
      <c r="W20" s="1373"/>
      <c r="X20" s="1373"/>
      <c r="Y20" s="1373"/>
      <c r="Z20" s="1380"/>
      <c r="AA20" s="1381"/>
      <c r="AB20" s="1381"/>
      <c r="AC20" s="1381"/>
      <c r="AD20" s="1381"/>
      <c r="AE20" s="1381"/>
      <c r="AF20" s="1381"/>
    </row>
    <row r="21" spans="1:37" s="2740" customFormat="1" ht="15">
      <c r="A21" s="2811" t="s">
        <v>811</v>
      </c>
      <c r="B21" s="2812" t="s">
        <v>3202</v>
      </c>
      <c r="C21" s="940">
        <f>IF(B21="容积率修正",IF(G3&lt;=10,D22,J22),C23)</f>
        <v>0.78500000000000003</v>
      </c>
      <c r="D21" s="2813"/>
      <c r="E21" s="2813"/>
      <c r="F21" s="2813"/>
      <c r="G21" s="2813"/>
      <c r="H21" s="2813"/>
      <c r="I21" s="2813"/>
      <c r="J21" s="2814"/>
      <c r="K21" s="1380"/>
      <c r="N21" s="2815" t="s">
        <v>2889</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0" customFormat="1" ht="14.25">
      <c r="A22" s="2666" t="s">
        <v>2890</v>
      </c>
      <c r="B22" s="2816" t="s">
        <v>2891</v>
      </c>
      <c r="C22" s="1813" t="s">
        <v>2892</v>
      </c>
      <c r="D22" s="1813">
        <f>IF(E22=G22,F22,IF(G3&lt;=10,ROUND(F22+(H22-F22)*(G3-E22)/(G22-E22),4),"——"))</f>
        <v>0.78500000000000003</v>
      </c>
      <c r="E22" s="916">
        <f>ROUNDDOWN(G3,1)</f>
        <v>1.5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0.80110000000000003</v>
      </c>
      <c r="G22" s="916">
        <f>ROUNDUP(G3,1)</f>
        <v>1.6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0.78100000000000003</v>
      </c>
      <c r="I22" s="1813" t="s">
        <v>155</v>
      </c>
      <c r="J22" s="941" t="str">
        <f>IF(G3&gt;10,D113,"——")</f>
        <v>——</v>
      </c>
      <c r="K22" s="1380"/>
      <c r="N22" s="2815" t="s">
        <v>2893</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6" t="s">
        <v>2894</v>
      </c>
      <c r="B23" s="2817" t="s">
        <v>2895</v>
      </c>
      <c r="C23" s="1016">
        <f>ROUND(IF(G3&gt;1,IF(I3&lt;7,SUMPRODUCT((B93:B98=I3)*(C92:N92=G2)*(C93:N98)),SUMIF(C92:N92,G2,C100:N100)),IF(I3&lt;7,SUMPRODUCT((B102:B107=I3)*(C92:N92=G2)*(C102:N107)),SUMIF(C92:N92,G2,C109:N109))),4)</f>
        <v>0</v>
      </c>
      <c r="D23" s="2775"/>
      <c r="E23" s="2775"/>
      <c r="F23" s="2818"/>
      <c r="G23" s="2819"/>
      <c r="H23" s="2820"/>
      <c r="I23" s="2821"/>
      <c r="J23" s="2822"/>
      <c r="K23" s="1373"/>
      <c r="N23" s="2815" t="s">
        <v>2896</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6"/>
    </row>
    <row r="24" spans="1:37" s="2740" customFormat="1" ht="15.75" thickBot="1">
      <c r="A24" s="2804" t="s">
        <v>812</v>
      </c>
      <c r="B24" s="2790" t="s">
        <v>2897</v>
      </c>
      <c r="C24" s="3289">
        <f>SUMIF(A45:A88,E2,B45:B88)</f>
        <v>1.0153000000000001</v>
      </c>
      <c r="D24" s="2793"/>
      <c r="E24" s="2823"/>
      <c r="F24" s="2823"/>
      <c r="G24" s="2823"/>
      <c r="H24" s="2823"/>
      <c r="I24" s="2823"/>
      <c r="J24" s="2824"/>
      <c r="K24" s="1380"/>
      <c r="N24" s="2825" t="s">
        <v>2898</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2899</v>
      </c>
      <c r="C25" s="933"/>
      <c r="D25" s="2750"/>
      <c r="E25" s="2750"/>
      <c r="F25" s="2827"/>
      <c r="G25" s="2750"/>
      <c r="H25" s="2750"/>
      <c r="I25" s="2750"/>
      <c r="J25" s="2751"/>
      <c r="K25" s="1373"/>
      <c r="N25" s="2828" t="s">
        <v>2900</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29"/>
      <c r="B26" s="2816" t="s">
        <v>2901</v>
      </c>
      <c r="C26" s="206">
        <f ca="1">E29+SUM(E33:E39)</f>
        <v>3678</v>
      </c>
      <c r="D26" s="2830"/>
      <c r="E26" s="2775"/>
      <c r="F26" s="2831"/>
      <c r="G26" s="2775"/>
      <c r="H26" s="2775"/>
      <c r="I26" s="2775"/>
      <c r="J26" s="2832"/>
      <c r="K26" s="1373"/>
      <c r="R26" s="1379"/>
      <c r="S26" s="1379"/>
      <c r="T26" s="1374"/>
      <c r="U26" s="1374"/>
      <c r="V26" s="1374"/>
      <c r="W26" s="1373"/>
      <c r="X26" s="1373"/>
      <c r="Y26" s="1373"/>
      <c r="Z26" s="1380"/>
      <c r="AA26" s="1381"/>
      <c r="AB26" s="1381"/>
      <c r="AC26" s="1381"/>
      <c r="AD26" s="1381"/>
    </row>
    <row r="27" spans="1:37" ht="15.75" thickBot="1">
      <c r="A27" s="2829"/>
      <c r="B27" s="2833" t="s">
        <v>2902</v>
      </c>
      <c r="C27" s="934">
        <f ca="1">E30+SUM(I33:I39)</f>
        <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2903</v>
      </c>
      <c r="C28" s="2840" t="s">
        <v>2904</v>
      </c>
      <c r="D28" s="2840" t="s">
        <v>2905</v>
      </c>
      <c r="E28" s="2841" t="s">
        <v>2906</v>
      </c>
      <c r="F28" s="2842"/>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2907</v>
      </c>
      <c r="C29" s="206">
        <f ca="1">ROUND(C5*C18*C19*C20*C21*C24,0)</f>
        <v>1056</v>
      </c>
      <c r="D29" s="2845">
        <f>'数据-汇总表'!E19</f>
        <v>34832.270000000004</v>
      </c>
      <c r="E29" s="945">
        <f ca="1">ROUND(C29*D29/10000,0)</f>
        <v>3678</v>
      </c>
      <c r="F29" s="2846" t="s">
        <v>2908</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2"/>
      <c r="AH29" s="2722"/>
      <c r="AI29" s="2722"/>
      <c r="AJ29" s="2722"/>
    </row>
    <row r="30" spans="1:37" ht="25.5" thickBot="1">
      <c r="A30" s="2849"/>
      <c r="B30" s="2850" t="s">
        <v>2909</v>
      </c>
      <c r="C30" s="229">
        <f ca="1">ROUND(IF(E2="工业",C29*M39,C29*M38),0)</f>
        <v>158</v>
      </c>
      <c r="D30" s="2851"/>
      <c r="E30" s="945">
        <f ca="1">ROUND(C30*D30/10000,0)</f>
        <v>0</v>
      </c>
      <c r="F30" s="2852" t="s">
        <v>2910</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2"/>
      <c r="AH30" s="2722"/>
      <c r="AI30" s="2722"/>
      <c r="AJ30" s="2722"/>
    </row>
    <row r="31" spans="1:37" ht="14.25">
      <c r="A31" s="2855"/>
      <c r="B31" s="2856" t="s">
        <v>2911</v>
      </c>
      <c r="C31" s="2857" t="s">
        <v>2912</v>
      </c>
      <c r="D31" s="2763"/>
      <c r="E31" s="2857"/>
      <c r="F31" s="2857"/>
      <c r="G31" s="2761" t="s">
        <v>2913</v>
      </c>
      <c r="H31" s="2763"/>
      <c r="I31" s="2858"/>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2"/>
      <c r="AH31" s="2722"/>
      <c r="AI31" s="2722"/>
      <c r="AJ31" s="2722"/>
    </row>
    <row r="32" spans="1:37" ht="24">
      <c r="A32" s="2843"/>
      <c r="B32" s="2859"/>
      <c r="C32" s="501" t="s">
        <v>2904</v>
      </c>
      <c r="D32" s="498" t="s">
        <v>2905</v>
      </c>
      <c r="E32" s="498" t="s">
        <v>2906</v>
      </c>
      <c r="F32" s="388" t="s">
        <v>2914</v>
      </c>
      <c r="G32" s="2860" t="s">
        <v>2904</v>
      </c>
      <c r="H32" s="2860" t="s">
        <v>2905</v>
      </c>
      <c r="I32" s="2860" t="s">
        <v>2906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2"/>
      <c r="AH32" s="2722"/>
      <c r="AI32" s="2722"/>
      <c r="AJ32" s="2722"/>
    </row>
    <row r="33" spans="1:37" ht="36" customHeight="1">
      <c r="A33" s="3163" t="s">
        <v>2915</v>
      </c>
      <c r="B33" s="2861" t="s">
        <v>2916</v>
      </c>
      <c r="C33" s="206">
        <f ca="1">ROUND(D5*C19*C20*C24*F33,0)</f>
        <v>0</v>
      </c>
      <c r="D33" s="2845"/>
      <c r="E33" s="200">
        <f ca="1">ROUND(C33*D33/10000,0)</f>
        <v>0</v>
      </c>
      <c r="F33" s="200">
        <f>SUMIF(修正!A45:A56,G2,修正!B45:B56)</f>
        <v>0.6</v>
      </c>
      <c r="G33" s="200">
        <f t="shared" ref="G33" ca="1" si="6">ROUND(IF(E2="工业",C33*$M$39,C33*$M$38),0)</f>
        <v>0</v>
      </c>
      <c r="H33" s="200">
        <f>D33</f>
        <v>0</v>
      </c>
      <c r="I33" s="200">
        <f ca="1">ROUND(G33*H33/10000,0)</f>
        <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4"/>
      <c r="B34" s="2767" t="s">
        <v>2917</v>
      </c>
      <c r="C34" s="206">
        <f ca="1">ROUND(D5*C19*C20*C24*F34,0)</f>
        <v>0</v>
      </c>
      <c r="D34" s="2845"/>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4"/>
      <c r="B35" s="2767" t="s">
        <v>2918</v>
      </c>
      <c r="C35" s="206">
        <f ca="1">ROUND(D5*C19*C20*C24*F35,0)</f>
        <v>0</v>
      </c>
      <c r="D35" s="2845"/>
      <c r="E35" s="200">
        <f t="shared" ca="1" si="7"/>
        <v>0</v>
      </c>
      <c r="F35" s="200">
        <f>SUMIF(修正!A45:A56,G2,修正!D45:D56)</f>
        <v>0.2</v>
      </c>
      <c r="G35" s="200">
        <f ca="1">ROUND(IF(E2="工业",C35*$M$39,C35*$M$38),0)</f>
        <v>0</v>
      </c>
      <c r="H35" s="200">
        <f t="shared" si="8"/>
        <v>0</v>
      </c>
      <c r="I35" s="200">
        <f t="shared" ca="1" si="9"/>
        <v>0</v>
      </c>
      <c r="J35" s="2862"/>
      <c r="K35" s="1373"/>
      <c r="L35" s="1373"/>
      <c r="M35" s="1373"/>
      <c r="N35" s="1373"/>
      <c r="O35" s="1373"/>
      <c r="P35" s="1373"/>
      <c r="Q35" s="1373"/>
      <c r="R35" s="1373"/>
      <c r="S35" s="1373"/>
      <c r="T35" s="1373"/>
      <c r="U35" s="1373"/>
      <c r="V35" s="1373"/>
      <c r="W35" s="1373"/>
      <c r="X35" s="1373"/>
      <c r="Y35" s="1373"/>
      <c r="Z35" s="1374"/>
    </row>
    <row r="36" spans="1:37" ht="13.5" thickBot="1">
      <c r="A36" s="3165"/>
      <c r="B36" s="2767" t="s">
        <v>2919</v>
      </c>
      <c r="C36" s="206">
        <f ca="1">ROUND(D5*C19*C20*C24*F36,0)</f>
        <v>0</v>
      </c>
      <c r="D36" s="2845"/>
      <c r="E36" s="200">
        <f t="shared" ca="1" si="7"/>
        <v>0</v>
      </c>
      <c r="F36" s="200">
        <f>SUMIF(修正!A45:A56,G2,修正!E45:E56)</f>
        <v>0.2</v>
      </c>
      <c r="G36" s="200">
        <f ca="1">ROUND(IF(E2="工业",C36*$M$39,C36*$M$38),0)</f>
        <v>0</v>
      </c>
      <c r="H36" s="200">
        <f t="shared" si="8"/>
        <v>0</v>
      </c>
      <c r="I36" s="200">
        <f t="shared" ca="1" si="9"/>
        <v>0</v>
      </c>
      <c r="J36" s="2862"/>
      <c r="K36" s="1373"/>
      <c r="L36" s="2721"/>
      <c r="M36" s="2721"/>
      <c r="N36" s="1373"/>
      <c r="O36" s="1373"/>
      <c r="P36" s="1373"/>
      <c r="Q36" s="1373"/>
      <c r="R36" s="1373"/>
      <c r="S36" s="1373"/>
      <c r="T36" s="1373"/>
      <c r="U36" s="1373"/>
      <c r="V36" s="1373"/>
      <c r="W36" s="1373"/>
      <c r="X36" s="1373"/>
      <c r="Y36" s="1373"/>
      <c r="Z36" s="1374"/>
    </row>
    <row r="37" spans="1:37">
      <c r="A37" s="2863"/>
      <c r="B37" s="2767" t="s">
        <v>2920</v>
      </c>
      <c r="C37" s="200">
        <f ca="1">ROUND(C5*C19*C20*C24*F37,0)</f>
        <v>269</v>
      </c>
      <c r="D37" s="2845"/>
      <c r="E37" s="200">
        <f t="shared" ca="1" si="7"/>
        <v>0</v>
      </c>
      <c r="F37" s="206">
        <f>SUMIF(修正!A45:A56,G2,修正!F45:F56)</f>
        <v>0.2</v>
      </c>
      <c r="G37" s="200">
        <f ca="1">ROUND(IF(E2="工业",C37*$M$39,C37*$M$38),0)</f>
        <v>40</v>
      </c>
      <c r="H37" s="200">
        <f t="shared" si="8"/>
        <v>0</v>
      </c>
      <c r="I37" s="200">
        <f t="shared" ca="1" si="9"/>
        <v>0</v>
      </c>
      <c r="J37" s="2862"/>
      <c r="K37" s="1373"/>
      <c r="L37" s="2864" t="s">
        <v>2921</v>
      </c>
      <c r="M37" s="2865"/>
      <c r="N37" s="1373"/>
      <c r="O37" s="1373"/>
      <c r="P37" s="1373"/>
      <c r="Q37" s="1373"/>
      <c r="R37" s="1373"/>
      <c r="S37" s="1373"/>
      <c r="T37" s="1373"/>
      <c r="U37" s="1373"/>
      <c r="V37" s="1373"/>
      <c r="W37" s="1373"/>
      <c r="X37" s="1373"/>
      <c r="Y37" s="1373"/>
      <c r="Z37" s="1374"/>
    </row>
    <row r="38" spans="1:37">
      <c r="A38" s="2863"/>
      <c r="B38" s="2767" t="s">
        <v>2922</v>
      </c>
      <c r="C38" s="200">
        <f ca="1">ROUND(C5*C19*C20*C24*F38,0)</f>
        <v>269</v>
      </c>
      <c r="D38" s="2845"/>
      <c r="E38" s="200">
        <f t="shared" ca="1" si="7"/>
        <v>0</v>
      </c>
      <c r="F38" s="206">
        <f>SUMIF(修正!A45:A56,G2,修正!G45:G56)</f>
        <v>0.2</v>
      </c>
      <c r="G38" s="200">
        <f ca="1">ROUND(IF(E2="工业",C38*$M$39,C38*$M$38),0)</f>
        <v>40</v>
      </c>
      <c r="H38" s="200">
        <f t="shared" si="8"/>
        <v>0</v>
      </c>
      <c r="I38" s="200">
        <f t="shared" ca="1" si="9"/>
        <v>0</v>
      </c>
      <c r="J38" s="2862"/>
      <c r="K38" s="1373"/>
      <c r="L38" s="1890" t="s">
        <v>2923</v>
      </c>
      <c r="M38" s="2866">
        <v>0.25</v>
      </c>
      <c r="N38" s="1373"/>
      <c r="O38" s="1373"/>
      <c r="P38" s="1373"/>
      <c r="Q38" s="1373"/>
      <c r="R38" s="1373"/>
      <c r="S38" s="1373"/>
      <c r="T38" s="1373"/>
      <c r="U38" s="1373"/>
      <c r="V38" s="1373"/>
      <c r="W38" s="1373"/>
      <c r="X38" s="1373"/>
      <c r="Y38" s="1373"/>
      <c r="Z38" s="1374"/>
    </row>
    <row r="39" spans="1:37" ht="13.5" thickBot="1">
      <c r="A39" s="2849"/>
      <c r="B39" s="2867" t="s">
        <v>2924</v>
      </c>
      <c r="C39" s="229">
        <f ca="1">ROUND(C5*C19*C20*C24*F39,0)</f>
        <v>202</v>
      </c>
      <c r="D39" s="2851"/>
      <c r="E39" s="229">
        <f t="shared" ca="1" si="7"/>
        <v>0</v>
      </c>
      <c r="F39" s="935">
        <f>SUMIF(修正!A45:A56,G2,修正!H45:H56)</f>
        <v>0.15</v>
      </c>
      <c r="G39" s="229">
        <f ca="1">ROUND(IF(E2="工业",C39*$M$39,C39*$M$38),0)</f>
        <v>30</v>
      </c>
      <c r="H39" s="229">
        <f t="shared" si="8"/>
        <v>0</v>
      </c>
      <c r="I39" s="229">
        <f t="shared" ca="1" si="9"/>
        <v>0</v>
      </c>
      <c r="J39" s="2868"/>
      <c r="K39" s="1373"/>
      <c r="L39" s="2869" t="s">
        <v>2866</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2925</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2926</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2927</v>
      </c>
      <c r="B47" s="1812" t="s">
        <v>2928</v>
      </c>
      <c r="C47" s="1812" t="s">
        <v>2929</v>
      </c>
      <c r="D47" s="1812" t="s">
        <v>2930</v>
      </c>
      <c r="E47" s="819" t="s">
        <v>2931</v>
      </c>
      <c r="F47" s="2879" t="s">
        <v>2932</v>
      </c>
      <c r="G47" s="1812" t="s">
        <v>754</v>
      </c>
      <c r="H47" s="2880" t="s">
        <v>2933</v>
      </c>
      <c r="I47" s="1812" t="s">
        <v>2934</v>
      </c>
      <c r="J47" s="603" t="s">
        <v>2584</v>
      </c>
      <c r="K47" s="603" t="s">
        <v>2585</v>
      </c>
      <c r="L47" s="603" t="s">
        <v>2586</v>
      </c>
      <c r="M47" s="603" t="s">
        <v>2587</v>
      </c>
      <c r="N47" s="603" t="s">
        <v>2588</v>
      </c>
      <c r="AA47" s="1374"/>
      <c r="AB47" s="1374"/>
      <c r="AC47" s="1374"/>
      <c r="AD47" s="1374"/>
      <c r="AE47" s="1374"/>
      <c r="AF47" s="1374"/>
      <c r="AG47" s="1374"/>
      <c r="AH47" s="1374"/>
      <c r="AI47" s="1374"/>
      <c r="AJ47" s="1374"/>
      <c r="AK47" s="1374"/>
    </row>
    <row r="48" spans="1:37" s="1373" customFormat="1" ht="24.75">
      <c r="A48" s="2878" t="s">
        <v>2935</v>
      </c>
      <c r="B48" s="2881">
        <f>估价对象房地状况!C4</f>
        <v>0</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78" t="s">
        <v>2936</v>
      </c>
      <c r="B49" s="2882">
        <f>估价对象房地状况!C18</f>
        <v>0</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2937</v>
      </c>
      <c r="B50" s="2882">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2938</v>
      </c>
      <c r="B51" s="2883" t="s">
        <v>2939</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2940</v>
      </c>
      <c r="B52" s="2882">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2941</v>
      </c>
      <c r="B53" s="2884" t="s">
        <v>2942</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5" t="s">
        <v>2943</v>
      </c>
      <c r="B54" s="1728">
        <f>估价对象房地状况!C21</f>
        <v>0</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5" t="s">
        <v>2944</v>
      </c>
      <c r="B55" s="2882">
        <f>估价对象房地状况!C22</f>
        <v>0</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6" t="s">
        <v>2945</v>
      </c>
      <c r="B56" s="2887">
        <f>估价对象房地状况!C20</f>
        <v>0</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2946</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2927</v>
      </c>
      <c r="B58" s="1812"/>
      <c r="C58" s="1812" t="s">
        <v>2929</v>
      </c>
      <c r="D58" s="1812" t="s">
        <v>2930</v>
      </c>
      <c r="E58" s="819" t="s">
        <v>2931</v>
      </c>
      <c r="F58" s="2879" t="s">
        <v>2947</v>
      </c>
      <c r="G58" s="1812" t="s">
        <v>754</v>
      </c>
      <c r="H58" s="2880" t="s">
        <v>2933</v>
      </c>
      <c r="I58" s="1812" t="s">
        <v>2934</v>
      </c>
      <c r="J58" s="603" t="s">
        <v>2584</v>
      </c>
      <c r="K58" s="603" t="s">
        <v>2585</v>
      </c>
      <c r="L58" s="603" t="s">
        <v>2586</v>
      </c>
      <c r="M58" s="603" t="s">
        <v>2587</v>
      </c>
      <c r="N58" s="603" t="s">
        <v>2588</v>
      </c>
      <c r="AA58" s="1374"/>
      <c r="AB58" s="1374"/>
      <c r="AC58" s="1374"/>
      <c r="AD58" s="1374"/>
      <c r="AE58" s="1374"/>
      <c r="AF58" s="1374"/>
      <c r="AG58" s="1374"/>
      <c r="AH58" s="1374"/>
      <c r="AI58" s="1374"/>
      <c r="AJ58" s="1374"/>
      <c r="AK58" s="1374"/>
    </row>
    <row r="59" spans="1:37" s="1373" customFormat="1" ht="24">
      <c r="A59" s="2878" t="s">
        <v>2948</v>
      </c>
      <c r="B59" s="2881">
        <f>估价对象房地状况!C17</f>
        <v>0</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8" t="s">
        <v>2936</v>
      </c>
      <c r="B60" s="2882">
        <f>估价对象房地状况!C18</f>
        <v>0</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2937</v>
      </c>
      <c r="B61" s="2882">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2938</v>
      </c>
      <c r="B62" s="2883" t="s">
        <v>2939</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2940</v>
      </c>
      <c r="B63" s="2882">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2941</v>
      </c>
      <c r="B64" s="2884" t="s">
        <v>2942</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8" t="s">
        <v>2943</v>
      </c>
      <c r="B65" s="1728">
        <f>估价对象房地状况!C21</f>
        <v>0</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8" t="s">
        <v>2944</v>
      </c>
      <c r="B66" s="1728">
        <f>估价对象房地状况!C22</f>
        <v>0</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6" t="s">
        <v>2945</v>
      </c>
      <c r="B67" s="2888">
        <f>估价对象房地状况!C20</f>
        <v>0</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2949</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2927</v>
      </c>
      <c r="B69" s="1812"/>
      <c r="C69" s="1812" t="s">
        <v>2929</v>
      </c>
      <c r="D69" s="1812" t="s">
        <v>2930</v>
      </c>
      <c r="E69" s="819" t="s">
        <v>2931</v>
      </c>
      <c r="F69" s="2879" t="s">
        <v>2947</v>
      </c>
      <c r="G69" s="1812" t="s">
        <v>754</v>
      </c>
      <c r="H69" s="2880" t="s">
        <v>2933</v>
      </c>
      <c r="I69" s="1812" t="s">
        <v>2934</v>
      </c>
      <c r="J69" s="603" t="s">
        <v>2584</v>
      </c>
      <c r="K69" s="603" t="s">
        <v>2585</v>
      </c>
      <c r="L69" s="603" t="s">
        <v>2586</v>
      </c>
      <c r="M69" s="603" t="s">
        <v>2587</v>
      </c>
      <c r="N69" s="603" t="s">
        <v>2588</v>
      </c>
      <c r="AA69" s="1374"/>
      <c r="AB69" s="1374"/>
      <c r="AC69" s="1374"/>
      <c r="AD69" s="1374"/>
      <c r="AE69" s="1374"/>
      <c r="AF69" s="1374"/>
      <c r="AG69" s="1374"/>
      <c r="AH69" s="1374"/>
      <c r="AI69" s="1374"/>
      <c r="AJ69" s="1374"/>
      <c r="AK69" s="1374"/>
    </row>
    <row r="70" spans="1:37" s="1373" customFormat="1" ht="24">
      <c r="A70" s="2878" t="s">
        <v>2950</v>
      </c>
      <c r="B70" s="2881">
        <f>估价对象房地状况!C15</f>
        <v>0</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8" t="s">
        <v>2936</v>
      </c>
      <c r="B71" s="2882">
        <f>估价对象房地状况!C18</f>
        <v>0</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2937</v>
      </c>
      <c r="B72" s="2882">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2951</v>
      </c>
      <c r="B73" s="2882">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8" t="s">
        <v>2943</v>
      </c>
      <c r="B74" s="1728">
        <f>估价对象房地状况!C21</f>
        <v>0</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8" t="s">
        <v>2944</v>
      </c>
      <c r="B75" s="1728">
        <f>估价对象房地状况!C22</f>
        <v>0</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78" t="s">
        <v>2941</v>
      </c>
      <c r="B76" s="2884" t="s">
        <v>2942</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24">
      <c r="A77" s="2878" t="s">
        <v>2945</v>
      </c>
      <c r="B77" s="2881">
        <f>估价对象房地状况!C20</f>
        <v>0</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6"/>
      <c r="AG77" s="1375"/>
      <c r="AK77" s="2796"/>
    </row>
    <row r="78" spans="1:37" ht="24.75" thickBot="1">
      <c r="A78" s="2886" t="s">
        <v>2952</v>
      </c>
      <c r="B78" s="2890"/>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6"/>
      <c r="AG78" s="1375"/>
      <c r="AK78" s="2796"/>
    </row>
    <row r="79" spans="1:37" ht="15">
      <c r="A79" s="2874" t="s">
        <v>2953</v>
      </c>
      <c r="B79" s="2875">
        <f>1+E81</f>
        <v>1.0153000000000001</v>
      </c>
      <c r="C79" s="814"/>
      <c r="D79" s="814"/>
      <c r="E79" s="815"/>
      <c r="F79" s="2877"/>
      <c r="G79" s="6"/>
      <c r="H79" s="6"/>
      <c r="I79" s="6"/>
      <c r="J79" s="7"/>
      <c r="K79" s="7"/>
      <c r="L79" s="7"/>
      <c r="M79" s="7"/>
      <c r="N79" s="7"/>
      <c r="Z79" s="2722"/>
      <c r="AA79" s="2796"/>
      <c r="AG79" s="1375"/>
      <c r="AK79" s="2796"/>
    </row>
    <row r="80" spans="1:37" ht="24.75">
      <c r="A80" s="2878" t="s">
        <v>2927</v>
      </c>
      <c r="B80" s="1812"/>
      <c r="C80" s="1812" t="s">
        <v>2929</v>
      </c>
      <c r="D80" s="1812" t="s">
        <v>2930</v>
      </c>
      <c r="E80" s="819" t="s">
        <v>2931</v>
      </c>
      <c r="F80" s="2879" t="s">
        <v>2947</v>
      </c>
      <c r="G80" s="1812" t="s">
        <v>754</v>
      </c>
      <c r="H80" s="2880" t="s">
        <v>2933</v>
      </c>
      <c r="I80" s="1812" t="s">
        <v>2934</v>
      </c>
      <c r="J80" s="603" t="s">
        <v>2584</v>
      </c>
      <c r="K80" s="603" t="s">
        <v>2585</v>
      </c>
      <c r="L80" s="603" t="s">
        <v>2586</v>
      </c>
      <c r="M80" s="603" t="s">
        <v>2587</v>
      </c>
      <c r="N80" s="603" t="s">
        <v>2588</v>
      </c>
      <c r="Z80" s="2722"/>
      <c r="AA80" s="2796"/>
      <c r="AG80" s="1375"/>
      <c r="AK80" s="2796"/>
    </row>
    <row r="81" spans="1:37" ht="63.75">
      <c r="A81" s="2878" t="s">
        <v>2954</v>
      </c>
      <c r="B81" s="2882" t="str">
        <f>估价对象房地状况!G15</f>
        <v>估价对象位于大兴生物医药基地，周边1公里范围内有味多美食品技术开发公司、北京以岭药业等项目，产业集聚程度较好。</v>
      </c>
      <c r="C81" s="2772" t="s">
        <v>3093</v>
      </c>
      <c r="D81" s="1289">
        <f t="shared" ref="D81:D88" si="25">SUMIF($J$80:$N$80,C81,J81:N81)</f>
        <v>6.4999999999999997E-3</v>
      </c>
      <c r="E81" s="821">
        <f>ROUND(SUM(D81:D88),4)</f>
        <v>1.5299999999999999E-2</v>
      </c>
      <c r="F81" s="2503">
        <f>IF(E2="工业",SUMIF(L1:L12,G2,N1:N12),"——")</f>
        <v>0.05</v>
      </c>
      <c r="G81" s="1287">
        <v>6.4999999999999997E-3</v>
      </c>
      <c r="H81" s="1291">
        <f t="shared" ref="H81:H88" si="26">IFERROR(ROUNDDOWN($F$81*I81/2,4),"——")</f>
        <v>6.4999999999999997E-3</v>
      </c>
      <c r="I81" s="820">
        <v>0.26</v>
      </c>
      <c r="J81" s="1288">
        <f t="shared" ref="J81:J88" si="27">K81+$G81</f>
        <v>1.2999999999999999E-2</v>
      </c>
      <c r="K81" s="1288">
        <f t="shared" ref="K81:K88" si="28">$L81+$G81</f>
        <v>6.4999999999999997E-3</v>
      </c>
      <c r="L81" s="1288">
        <v>0</v>
      </c>
      <c r="M81" s="1288">
        <f t="shared" ref="M81:N88" si="29">L81-$G81</f>
        <v>-6.4999999999999997E-3</v>
      </c>
      <c r="N81" s="1288">
        <f t="shared" si="29"/>
        <v>-1.2999999999999999E-2</v>
      </c>
      <c r="Z81" s="2722"/>
      <c r="AA81" s="2796"/>
      <c r="AG81" s="1375"/>
      <c r="AK81" s="2796"/>
    </row>
    <row r="82" spans="1:37" ht="51">
      <c r="A82" s="2878" t="s">
        <v>2936</v>
      </c>
      <c r="B82" s="2882" t="str">
        <f>估价对象房地状况!G16</f>
        <v>周边1公里范围内有兴11路、兴15路、兴16路等公交线路及地铁大兴线经过，交通便捷度一般。</v>
      </c>
      <c r="C82" s="2772" t="s">
        <v>3094</v>
      </c>
      <c r="D82" s="1289">
        <f t="shared" si="25"/>
        <v>0</v>
      </c>
      <c r="E82" s="826"/>
      <c r="F82" s="2503"/>
      <c r="G82" s="1287">
        <v>8.2000000000000007E-3</v>
      </c>
      <c r="H82" s="1291">
        <f t="shared" si="26"/>
        <v>8.2000000000000007E-3</v>
      </c>
      <c r="I82" s="820">
        <v>0.33</v>
      </c>
      <c r="J82" s="1288">
        <f t="shared" si="27"/>
        <v>1.6400000000000001E-2</v>
      </c>
      <c r="K82" s="1288">
        <f t="shared" si="28"/>
        <v>8.2000000000000007E-3</v>
      </c>
      <c r="L82" s="1288">
        <v>0</v>
      </c>
      <c r="M82" s="1288">
        <f t="shared" si="29"/>
        <v>-8.2000000000000007E-3</v>
      </c>
      <c r="N82" s="1288">
        <f t="shared" si="29"/>
        <v>-1.6400000000000001E-2</v>
      </c>
      <c r="Z82" s="2722"/>
      <c r="AA82" s="2796"/>
      <c r="AG82" s="1375"/>
      <c r="AK82" s="2796"/>
    </row>
    <row r="83" spans="1:37" ht="25.5">
      <c r="A83" s="2878" t="s">
        <v>2937</v>
      </c>
      <c r="B83" s="2882" t="str">
        <f>估价对象房地状况!G17</f>
        <v>零星有其他宗地，基本不影响本宗地</v>
      </c>
      <c r="C83" s="2772" t="s">
        <v>3093</v>
      </c>
      <c r="D83" s="1289">
        <f t="shared" si="25"/>
        <v>1.1999999999999999E-3</v>
      </c>
      <c r="E83" s="826"/>
      <c r="F83" s="2503"/>
      <c r="G83" s="1287">
        <v>1.1999999999999999E-3</v>
      </c>
      <c r="H83" s="1291">
        <f t="shared" si="26"/>
        <v>1.1999999999999999E-3</v>
      </c>
      <c r="I83" s="820">
        <v>0.05</v>
      </c>
      <c r="J83" s="1288">
        <f t="shared" si="27"/>
        <v>2.3999999999999998E-3</v>
      </c>
      <c r="K83" s="1288">
        <f t="shared" si="28"/>
        <v>1.1999999999999999E-3</v>
      </c>
      <c r="L83" s="1288">
        <v>0</v>
      </c>
      <c r="M83" s="1288">
        <f t="shared" si="29"/>
        <v>-1.1999999999999999E-3</v>
      </c>
      <c r="N83" s="1288">
        <f t="shared" si="29"/>
        <v>-2.3999999999999998E-3</v>
      </c>
      <c r="Z83" s="2722"/>
      <c r="AA83" s="2796"/>
      <c r="AG83" s="1375"/>
      <c r="AK83" s="2796"/>
    </row>
    <row r="84" spans="1:37" ht="14.25">
      <c r="A84" s="2878" t="s">
        <v>2951</v>
      </c>
      <c r="B84" s="2882" t="str">
        <f>估价对象房地状况!G22</f>
        <v>支路-华佗路</v>
      </c>
      <c r="C84" s="3288" t="s">
        <v>3092</v>
      </c>
      <c r="D84" s="1289">
        <f t="shared" si="25"/>
        <v>-1E-3</v>
      </c>
      <c r="E84" s="826"/>
      <c r="F84" s="2503"/>
      <c r="G84" s="1287">
        <v>1E-3</v>
      </c>
      <c r="H84" s="1291">
        <f t="shared" si="26"/>
        <v>1E-3</v>
      </c>
      <c r="I84" s="820">
        <v>0.04</v>
      </c>
      <c r="J84" s="1288">
        <f t="shared" si="27"/>
        <v>2E-3</v>
      </c>
      <c r="K84" s="1288">
        <f t="shared" si="28"/>
        <v>1E-3</v>
      </c>
      <c r="L84" s="1288">
        <v>0</v>
      </c>
      <c r="M84" s="1288">
        <f t="shared" si="29"/>
        <v>-1E-3</v>
      </c>
      <c r="N84" s="1288">
        <f t="shared" si="29"/>
        <v>-2E-3</v>
      </c>
      <c r="Z84" s="2722"/>
      <c r="AA84" s="2796"/>
      <c r="AG84" s="1375"/>
      <c r="AK84" s="2796"/>
    </row>
    <row r="85" spans="1:37" ht="38.25">
      <c r="A85" s="2878" t="s">
        <v>2943</v>
      </c>
      <c r="B85" s="1728" t="str">
        <f>估价对象房地状况!G19</f>
        <v>周边无银行、超市、餐饮等配套，公共服务设施较差</v>
      </c>
      <c r="C85" s="2772" t="s">
        <v>3092</v>
      </c>
      <c r="D85" s="1289">
        <f t="shared" si="25"/>
        <v>-1.5E-3</v>
      </c>
      <c r="E85" s="826"/>
      <c r="F85" s="2503"/>
      <c r="G85" s="1287">
        <v>1.5E-3</v>
      </c>
      <c r="H85" s="1291">
        <f t="shared" si="26"/>
        <v>1.5E-3</v>
      </c>
      <c r="I85" s="820">
        <v>0.06</v>
      </c>
      <c r="J85" s="1288">
        <f t="shared" si="27"/>
        <v>3.0000000000000001E-3</v>
      </c>
      <c r="K85" s="1288">
        <f t="shared" si="28"/>
        <v>1.5E-3</v>
      </c>
      <c r="L85" s="1288">
        <v>0</v>
      </c>
      <c r="M85" s="1288">
        <f t="shared" si="29"/>
        <v>-1.5E-3</v>
      </c>
      <c r="N85" s="1288">
        <f t="shared" si="29"/>
        <v>-3.0000000000000001E-3</v>
      </c>
      <c r="Z85" s="2722"/>
      <c r="AA85" s="2796"/>
      <c r="AG85" s="1375"/>
      <c r="AK85" s="2796"/>
    </row>
    <row r="86" spans="1:37" ht="24">
      <c r="A86" s="2878" t="s">
        <v>2944</v>
      </c>
      <c r="B86" s="1728" t="str">
        <f>估价对象房地状况!G20</f>
        <v>七通</v>
      </c>
      <c r="C86" s="3288" t="s">
        <v>3110</v>
      </c>
      <c r="D86" s="1289">
        <f t="shared" si="25"/>
        <v>7.4000000000000003E-3</v>
      </c>
      <c r="E86" s="826"/>
      <c r="F86" s="2503"/>
      <c r="G86" s="1287">
        <v>3.7000000000000002E-3</v>
      </c>
      <c r="H86" s="1291">
        <f t="shared" si="26"/>
        <v>3.7000000000000002E-3</v>
      </c>
      <c r="I86" s="820">
        <v>0.15</v>
      </c>
      <c r="J86" s="1288">
        <f t="shared" si="27"/>
        <v>7.4000000000000003E-3</v>
      </c>
      <c r="K86" s="1288">
        <f t="shared" si="28"/>
        <v>3.7000000000000002E-3</v>
      </c>
      <c r="L86" s="1288">
        <v>0</v>
      </c>
      <c r="M86" s="1288">
        <f t="shared" si="29"/>
        <v>-3.7000000000000002E-3</v>
      </c>
      <c r="N86" s="1288">
        <f t="shared" si="29"/>
        <v>-7.4000000000000003E-3</v>
      </c>
      <c r="Z86" s="2722"/>
      <c r="AA86" s="2796"/>
      <c r="AG86" s="1375"/>
      <c r="AK86" s="2796"/>
    </row>
    <row r="87" spans="1:37" ht="24">
      <c r="A87" s="2878" t="s">
        <v>2941</v>
      </c>
      <c r="B87" s="2884" t="s">
        <v>2955</v>
      </c>
      <c r="C87" s="2772" t="s">
        <v>3093</v>
      </c>
      <c r="D87" s="1289">
        <f t="shared" si="25"/>
        <v>1.1999999999999999E-3</v>
      </c>
      <c r="E87" s="826"/>
      <c r="F87" s="2503"/>
      <c r="G87" s="1287">
        <v>1.1999999999999999E-3</v>
      </c>
      <c r="H87" s="1291">
        <f t="shared" si="26"/>
        <v>1.1999999999999999E-3</v>
      </c>
      <c r="I87" s="820">
        <v>0.05</v>
      </c>
      <c r="J87" s="1288">
        <f t="shared" si="27"/>
        <v>2.3999999999999998E-3</v>
      </c>
      <c r="K87" s="1288">
        <f t="shared" si="28"/>
        <v>1.1999999999999999E-3</v>
      </c>
      <c r="L87" s="1288">
        <v>0</v>
      </c>
      <c r="M87" s="1288">
        <f t="shared" si="29"/>
        <v>-1.1999999999999999E-3</v>
      </c>
      <c r="N87" s="1288">
        <f t="shared" si="29"/>
        <v>-2.3999999999999998E-3</v>
      </c>
      <c r="Z87" s="2722"/>
      <c r="AA87" s="2796"/>
      <c r="AG87" s="1375"/>
      <c r="AK87" s="2796"/>
    </row>
    <row r="88" spans="1:37" ht="51.75" thickBot="1">
      <c r="A88" s="2886" t="s">
        <v>2956</v>
      </c>
      <c r="B88" s="2891" t="str">
        <f>估价对象房地状况!G18</f>
        <v>区域内污染物排放及治理状况一般，周边无危险设施及污染源，环境状况较好。</v>
      </c>
      <c r="C88" s="2772" t="s">
        <v>3093</v>
      </c>
      <c r="D88" s="1289">
        <f t="shared" si="25"/>
        <v>1.5E-3</v>
      </c>
      <c r="E88" s="827"/>
      <c r="F88" s="2503"/>
      <c r="G88" s="1287">
        <v>1.5E-3</v>
      </c>
      <c r="H88" s="1291">
        <f t="shared" si="26"/>
        <v>1.5E-3</v>
      </c>
      <c r="I88" s="824">
        <v>0.06</v>
      </c>
      <c r="J88" s="1288">
        <f t="shared" si="27"/>
        <v>3.0000000000000001E-3</v>
      </c>
      <c r="K88" s="1288">
        <f t="shared" si="28"/>
        <v>1.5E-3</v>
      </c>
      <c r="L88" s="1288">
        <v>0</v>
      </c>
      <c r="M88" s="1288">
        <f t="shared" si="29"/>
        <v>-1.5E-3</v>
      </c>
      <c r="N88" s="1288">
        <f t="shared" si="29"/>
        <v>-3.0000000000000001E-3</v>
      </c>
      <c r="Z88" s="2722"/>
      <c r="AA88" s="2796"/>
      <c r="AG88" s="1375"/>
      <c r="AK88" s="2796"/>
    </row>
    <row r="90" spans="1:37">
      <c r="A90" s="3157" t="s">
        <v>2957</v>
      </c>
      <c r="B90" s="3157"/>
      <c r="C90" s="3157"/>
      <c r="D90" s="3157"/>
      <c r="E90" s="3157"/>
      <c r="F90" s="3157"/>
      <c r="G90" s="3157"/>
      <c r="H90" s="3157"/>
      <c r="I90" s="3157"/>
      <c r="J90" s="3157"/>
      <c r="K90" s="2892"/>
      <c r="L90" s="2892"/>
      <c r="M90" s="2892"/>
      <c r="N90" s="2892"/>
    </row>
    <row r="91" spans="1:37">
      <c r="A91" s="3159" t="s">
        <v>2958</v>
      </c>
      <c r="B91" s="3159" t="s">
        <v>2959</v>
      </c>
      <c r="C91" s="2846" t="s">
        <v>2960</v>
      </c>
      <c r="D91" s="2847"/>
      <c r="E91" s="2847"/>
      <c r="F91" s="2847"/>
      <c r="G91" s="2847"/>
      <c r="H91" s="2847"/>
      <c r="I91" s="2847"/>
      <c r="J91" s="2893"/>
      <c r="K91" s="2894"/>
      <c r="L91" s="2894"/>
      <c r="M91" s="2894"/>
      <c r="N91" s="2894"/>
    </row>
    <row r="92" spans="1:37">
      <c r="A92" s="3159"/>
      <c r="B92" s="3159"/>
      <c r="C92" s="945" t="s">
        <v>2825</v>
      </c>
      <c r="D92" s="945" t="s">
        <v>2826</v>
      </c>
      <c r="E92" s="945" t="s">
        <v>2827</v>
      </c>
      <c r="F92" s="945" t="s">
        <v>2828</v>
      </c>
      <c r="G92" s="945" t="s">
        <v>2829</v>
      </c>
      <c r="H92" s="945" t="s">
        <v>2830</v>
      </c>
      <c r="I92" s="945" t="s">
        <v>2831</v>
      </c>
      <c r="J92" s="945" t="s">
        <v>2832</v>
      </c>
      <c r="K92" s="945" t="s">
        <v>2833</v>
      </c>
      <c r="L92" s="945" t="s">
        <v>2834</v>
      </c>
      <c r="M92" s="945" t="s">
        <v>2835</v>
      </c>
      <c r="N92" s="945" t="s">
        <v>2836</v>
      </c>
    </row>
    <row r="93" spans="1:37">
      <c r="A93" s="3160" t="s">
        <v>2961</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16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16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16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16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16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161"/>
      <c r="B99" s="2895" t="s">
        <v>2841</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16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160" t="s">
        <v>2962</v>
      </c>
      <c r="B101" s="2899" t="s">
        <v>2963</v>
      </c>
      <c r="C101" s="2900">
        <f>$G$3</f>
        <v>1.58</v>
      </c>
      <c r="D101" s="2900">
        <f t="shared" ref="D101:N101" si="31">$G$3</f>
        <v>1.58</v>
      </c>
      <c r="E101" s="2900">
        <f t="shared" si="31"/>
        <v>1.58</v>
      </c>
      <c r="F101" s="2900">
        <f t="shared" si="31"/>
        <v>1.58</v>
      </c>
      <c r="G101" s="2900">
        <f t="shared" si="31"/>
        <v>1.58</v>
      </c>
      <c r="H101" s="2900">
        <f t="shared" si="31"/>
        <v>1.58</v>
      </c>
      <c r="I101" s="2900">
        <f t="shared" si="31"/>
        <v>1.58</v>
      </c>
      <c r="J101" s="2900">
        <f t="shared" si="31"/>
        <v>1.58</v>
      </c>
      <c r="K101" s="2900">
        <f t="shared" si="31"/>
        <v>1.58</v>
      </c>
      <c r="L101" s="2900">
        <f t="shared" si="31"/>
        <v>1.58</v>
      </c>
      <c r="M101" s="2900">
        <f t="shared" si="31"/>
        <v>1.58</v>
      </c>
      <c r="N101" s="2900">
        <f t="shared" si="31"/>
        <v>1.58</v>
      </c>
    </row>
    <row r="102" spans="1:14">
      <c r="A102" s="3161"/>
      <c r="B102" s="2895">
        <v>1</v>
      </c>
      <c r="C102" s="2896">
        <f>1.9362/C101</f>
        <v>1.2254430379746835</v>
      </c>
      <c r="D102" s="2896">
        <f>1.9362/D101</f>
        <v>1.2254430379746835</v>
      </c>
      <c r="E102" s="2896">
        <f>1.8629/E101</f>
        <v>1.1790506329113923</v>
      </c>
      <c r="F102" s="2896">
        <f>1.8629/F101</f>
        <v>1.1790506329113923</v>
      </c>
      <c r="G102" s="2896">
        <f>1.8629/G101</f>
        <v>1.1790506329113923</v>
      </c>
      <c r="H102" s="2896">
        <f>1.8629/H101</f>
        <v>1.1790506329113923</v>
      </c>
      <c r="I102" s="2896">
        <f>1.8629/I101</f>
        <v>1.1790506329113923</v>
      </c>
      <c r="J102" s="2896">
        <f>1.942/J101</f>
        <v>1.2291139240506328</v>
      </c>
      <c r="K102" s="2896">
        <f>1.942/K101</f>
        <v>1.2291139240506328</v>
      </c>
      <c r="L102" s="2896">
        <f>1.942/L101</f>
        <v>1.2291139240506328</v>
      </c>
      <c r="M102" s="2896">
        <f>1.942/M101</f>
        <v>1.2291139240506328</v>
      </c>
      <c r="N102" s="2896">
        <f>1.942/N101</f>
        <v>1.2291139240506328</v>
      </c>
    </row>
    <row r="103" spans="1:14">
      <c r="A103" s="3161"/>
      <c r="B103" s="2895">
        <v>2</v>
      </c>
      <c r="C103" s="2896">
        <f>1.4198/C101</f>
        <v>0.89860759493670883</v>
      </c>
      <c r="D103" s="2896">
        <f>1.4198/D101</f>
        <v>0.89860759493670883</v>
      </c>
      <c r="E103" s="2896">
        <f>1.3372/E101</f>
        <v>0.84632911392405052</v>
      </c>
      <c r="F103" s="2896">
        <f>1.3372/F101</f>
        <v>0.84632911392405052</v>
      </c>
      <c r="G103" s="2896">
        <f>1.3372/G101</f>
        <v>0.84632911392405052</v>
      </c>
      <c r="H103" s="2896">
        <f>1.3372/H101</f>
        <v>0.84632911392405052</v>
      </c>
      <c r="I103" s="2896">
        <f>1.3372/I101</f>
        <v>0.84632911392405052</v>
      </c>
      <c r="J103" s="2896">
        <f>1.2799/J101</f>
        <v>0.81006329113924047</v>
      </c>
      <c r="K103" s="2896">
        <f>1.2799/K101</f>
        <v>0.81006329113924047</v>
      </c>
      <c r="L103" s="2896">
        <f>1.2799/L101</f>
        <v>0.81006329113924047</v>
      </c>
      <c r="M103" s="2896">
        <f>1.2799/M101</f>
        <v>0.81006329113924047</v>
      </c>
      <c r="N103" s="2896">
        <f>1.2799/N101</f>
        <v>0.81006329113924047</v>
      </c>
    </row>
    <row r="104" spans="1:14">
      <c r="A104" s="3161"/>
      <c r="B104" s="2895">
        <v>3</v>
      </c>
      <c r="C104" s="2896">
        <f>1.1594/C101</f>
        <v>0.73379746835443038</v>
      </c>
      <c r="D104" s="2896">
        <f>1.1594/D101</f>
        <v>0.73379746835443038</v>
      </c>
      <c r="E104" s="2896">
        <f>1.0788/E101</f>
        <v>0.68278481012658221</v>
      </c>
      <c r="F104" s="2896">
        <f>1.0788/F101</f>
        <v>0.68278481012658221</v>
      </c>
      <c r="G104" s="2896">
        <f>1.0788/G101</f>
        <v>0.68278481012658221</v>
      </c>
      <c r="H104" s="2896">
        <f>1.0788/H101</f>
        <v>0.68278481012658221</v>
      </c>
      <c r="I104" s="2896">
        <f>1.0788/I101</f>
        <v>0.68278481012658221</v>
      </c>
      <c r="J104" s="2896">
        <f>1.0072/J101</f>
        <v>0.63746835443037975</v>
      </c>
      <c r="K104" s="2896">
        <f>1.0072/K101</f>
        <v>0.63746835443037975</v>
      </c>
      <c r="L104" s="2896">
        <f>1.0072/L101</f>
        <v>0.63746835443037975</v>
      </c>
      <c r="M104" s="2896">
        <f>1.0072/M101</f>
        <v>0.63746835443037975</v>
      </c>
      <c r="N104" s="2896">
        <f>1.0072/N101</f>
        <v>0.63746835443037975</v>
      </c>
    </row>
    <row r="105" spans="1:14">
      <c r="A105" s="3161"/>
      <c r="B105" s="2895">
        <v>4</v>
      </c>
      <c r="C105" s="2896">
        <f>0.9622/C101</f>
        <v>0.60898734177215186</v>
      </c>
      <c r="D105" s="2896">
        <f>0.9622/D101</f>
        <v>0.60898734177215186</v>
      </c>
      <c r="E105" s="2896">
        <f>0.8656/E101</f>
        <v>0.54784810126582273</v>
      </c>
      <c r="F105" s="2896">
        <f>0.8656/F101</f>
        <v>0.54784810126582273</v>
      </c>
      <c r="G105" s="2896">
        <f>0.8656/G101</f>
        <v>0.54784810126582273</v>
      </c>
      <c r="H105" s="2896">
        <f>0.8656/H101</f>
        <v>0.54784810126582273</v>
      </c>
      <c r="I105" s="2896">
        <f>0.8656/I101</f>
        <v>0.54784810126582273</v>
      </c>
      <c r="J105" s="2896">
        <f>0.7525/J101</f>
        <v>0.47626582278481006</v>
      </c>
      <c r="K105" s="2896">
        <f>0.7525/K101</f>
        <v>0.47626582278481006</v>
      </c>
      <c r="L105" s="2896">
        <f>0.7525/L101</f>
        <v>0.47626582278481006</v>
      </c>
      <c r="M105" s="2896">
        <f>0.7525/M101</f>
        <v>0.47626582278481006</v>
      </c>
      <c r="N105" s="2896">
        <f>0.7525/N101</f>
        <v>0.47626582278481006</v>
      </c>
    </row>
    <row r="106" spans="1:14">
      <c r="A106" s="3161"/>
      <c r="B106" s="2895">
        <v>5</v>
      </c>
      <c r="C106" s="2896">
        <f>0.8417/C101</f>
        <v>0.53272151898734177</v>
      </c>
      <c r="D106" s="2896">
        <f>0.8417/D101</f>
        <v>0.53272151898734177</v>
      </c>
      <c r="E106" s="2896">
        <f>0.7371/E101</f>
        <v>0.46651898734177211</v>
      </c>
      <c r="F106" s="2896">
        <f>0.7371/F101</f>
        <v>0.46651898734177211</v>
      </c>
      <c r="G106" s="2896">
        <f>0.7371/G101</f>
        <v>0.46651898734177211</v>
      </c>
      <c r="H106" s="2896">
        <f>0.7371/H101</f>
        <v>0.46651898734177211</v>
      </c>
      <c r="I106" s="2896">
        <f>0.7371/I101</f>
        <v>0.46651898734177211</v>
      </c>
      <c r="J106" s="2896">
        <f>0.5659/J101</f>
        <v>0.35816455696202526</v>
      </c>
      <c r="K106" s="2896">
        <f>0.5659/K101</f>
        <v>0.35816455696202526</v>
      </c>
      <c r="L106" s="2896">
        <f>0.5659/L101</f>
        <v>0.35816455696202526</v>
      </c>
      <c r="M106" s="2896">
        <f>0.5659/M101</f>
        <v>0.35816455696202526</v>
      </c>
      <c r="N106" s="2896">
        <f>0.5659/N101</f>
        <v>0.35816455696202526</v>
      </c>
    </row>
    <row r="107" spans="1:14">
      <c r="A107" s="3161"/>
      <c r="B107" s="2895">
        <v>6</v>
      </c>
      <c r="C107" s="2896">
        <f>0.7608/C101</f>
        <v>0.48151898734177218</v>
      </c>
      <c r="D107" s="2896">
        <f>0.7608/D101</f>
        <v>0.48151898734177218</v>
      </c>
      <c r="E107" s="2896">
        <f>0.6482/E101</f>
        <v>0.41025316455696198</v>
      </c>
      <c r="F107" s="2896">
        <f>0.6482/F101</f>
        <v>0.41025316455696198</v>
      </c>
      <c r="G107" s="2896">
        <f>0.6482/G101</f>
        <v>0.41025316455696198</v>
      </c>
      <c r="H107" s="2896">
        <f>0.6482/H101</f>
        <v>0.41025316455696198</v>
      </c>
      <c r="I107" s="2896">
        <f>0.6482/I101</f>
        <v>0.41025316455696198</v>
      </c>
      <c r="J107" s="2896">
        <f>0.4525/J101</f>
        <v>0.28639240506329111</v>
      </c>
      <c r="K107" s="2896">
        <f>0.4525/K101</f>
        <v>0.28639240506329111</v>
      </c>
      <c r="L107" s="2896">
        <f>0.4525/L101</f>
        <v>0.28639240506329111</v>
      </c>
      <c r="M107" s="2896">
        <f>0.4525/M101</f>
        <v>0.28639240506329111</v>
      </c>
      <c r="N107" s="2896">
        <f>0.4525/N101</f>
        <v>0.28639240506329111</v>
      </c>
    </row>
    <row r="108" spans="1:14">
      <c r="A108" s="3161"/>
      <c r="B108" s="3119" t="s">
        <v>2964</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162"/>
      <c r="B109" s="3120"/>
      <c r="C109" s="2898">
        <f>(-0.163*(C108^2)-0.59*C108+7617)*(10^(-4))/C101</f>
        <v>0.48208860759493671</v>
      </c>
      <c r="D109" s="2898">
        <f>(-0.163*(D108^2)-0.59*D108+7617)*(10^(-4))/D101</f>
        <v>0.48208860759493671</v>
      </c>
      <c r="E109" s="2898">
        <f>(-0.161*(E108^2)-7.509*E108+6533)*(10^(-4))/E101</f>
        <v>0.41348101265822784</v>
      </c>
      <c r="F109" s="2898">
        <f>(-0.161*(F108^2)-7.509*F108+6533)*(10^(-4))/F101</f>
        <v>0.41348101265822784</v>
      </c>
      <c r="G109" s="2898">
        <f>(-0.161*(G108^2)-7.509*G108+6533)*(10^(-4))/G101</f>
        <v>0.41348101265822784</v>
      </c>
      <c r="H109" s="2898">
        <f>(-0.161*(H108^2)-7.509*H108+6533)*(10^(-4))/H101</f>
        <v>0.41348101265822784</v>
      </c>
      <c r="I109" s="2898">
        <f>(-0.161*(I108^2)-7.509*I108+6533)*(10^(-4))/I101</f>
        <v>0.41348101265822784</v>
      </c>
      <c r="J109" s="2898">
        <f>(-0.214*(J108^2)-21.991*J108+4665)*(10^(-4))/J101</f>
        <v>0.29525316455696204</v>
      </c>
      <c r="K109" s="2898">
        <f>(-0.214*(K108^2)-21.991*K108+4665)*(10^(-4))/K101</f>
        <v>0.29525316455696204</v>
      </c>
      <c r="L109" s="2898">
        <f>(-0.214*(L108^2)-21.991*L108+4665)*(10^(-4))/L101</f>
        <v>0.29525316455696204</v>
      </c>
      <c r="M109" s="2898">
        <f>(-0.214*(M108^2)-21.991*M108+4665)*(10^(-4))/M101</f>
        <v>0.29525316455696204</v>
      </c>
      <c r="N109" s="2898">
        <f>(-0.214*(N108^2)-21.991*N108+4665)*(10^(-4))/N101</f>
        <v>0.29525316455696204</v>
      </c>
    </row>
    <row r="110" spans="1:14">
      <c r="A110" s="3158" t="s">
        <v>2965</v>
      </c>
      <c r="B110" s="3158"/>
      <c r="C110" s="3158"/>
      <c r="D110" s="3158"/>
      <c r="E110" s="3158"/>
      <c r="F110" s="3158"/>
      <c r="G110" s="3158"/>
      <c r="H110" s="3158"/>
      <c r="I110" s="3158"/>
      <c r="J110" s="3158"/>
      <c r="K110" s="2901"/>
      <c r="L110" s="2901"/>
      <c r="M110" s="2901"/>
      <c r="N110" s="2901"/>
    </row>
    <row r="112" spans="1:14" ht="13.5" thickBot="1"/>
    <row r="113" spans="1:13" ht="25.5" thickBot="1">
      <c r="A113" s="903" t="s">
        <v>2966</v>
      </c>
      <c r="B113" s="1290">
        <f>G3</f>
        <v>1.58</v>
      </c>
      <c r="C113" s="904" t="s">
        <v>2967</v>
      </c>
      <c r="D113" s="905">
        <f>SUMPRODUCT((A115:A118=F113)*(B114:M114=H113)*B115:M118)</f>
        <v>0.54520000000000002</v>
      </c>
      <c r="E113" s="2726" t="s">
        <v>2799</v>
      </c>
      <c r="F113" s="2903" t="str">
        <f>E2</f>
        <v>工业</v>
      </c>
      <c r="G113" s="2726" t="s">
        <v>2800</v>
      </c>
      <c r="H113" s="2903" t="str">
        <f>G2</f>
        <v>八级</v>
      </c>
      <c r="I113" s="2726"/>
      <c r="J113" s="2904"/>
      <c r="K113" s="2904"/>
      <c r="L113" s="2904"/>
      <c r="M113" s="2904"/>
    </row>
    <row r="114" spans="1:13">
      <c r="A114" s="908"/>
      <c r="B114" s="2905" t="s">
        <v>2968</v>
      </c>
      <c r="C114" s="2905" t="s">
        <v>2969</v>
      </c>
      <c r="D114" s="2905" t="s">
        <v>2970</v>
      </c>
      <c r="E114" s="2906" t="s">
        <v>2971</v>
      </c>
      <c r="F114" s="2906" t="s">
        <v>2972</v>
      </c>
      <c r="G114" s="2906" t="s">
        <v>2973</v>
      </c>
      <c r="H114" s="2907" t="s">
        <v>2974</v>
      </c>
      <c r="I114" s="2907" t="s">
        <v>2975</v>
      </c>
      <c r="J114" s="2908" t="s">
        <v>2976</v>
      </c>
      <c r="K114" s="2908" t="s">
        <v>2977</v>
      </c>
      <c r="L114" s="2908" t="s">
        <v>2978</v>
      </c>
      <c r="M114" s="2909" t="s">
        <v>2979</v>
      </c>
    </row>
    <row r="115" spans="1:13">
      <c r="A115" s="909" t="s">
        <v>2863</v>
      </c>
      <c r="B115" s="910">
        <f>ROUND(0.9335-0.0094*B113,4)</f>
        <v>0.91859999999999997</v>
      </c>
      <c r="C115" s="910">
        <f>B115</f>
        <v>0.91859999999999997</v>
      </c>
      <c r="D115" s="910">
        <f>ROUND(0.8331-0.0109*B113,4)</f>
        <v>0.81589999999999996</v>
      </c>
      <c r="E115" s="910">
        <f>D115</f>
        <v>0.81589999999999996</v>
      </c>
      <c r="F115" s="910">
        <f>E115</f>
        <v>0.81589999999999996</v>
      </c>
      <c r="G115" s="910">
        <f>F115</f>
        <v>0.81589999999999996</v>
      </c>
      <c r="H115" s="910">
        <f>G115</f>
        <v>0.81589999999999996</v>
      </c>
      <c r="I115" s="910">
        <f>ROUND(0.689-0.0155*B113,4)</f>
        <v>0.66449999999999998</v>
      </c>
      <c r="J115" s="910">
        <f t="shared" ref="J115:M118" si="33">I115</f>
        <v>0.66449999999999998</v>
      </c>
      <c r="K115" s="910">
        <f t="shared" si="33"/>
        <v>0.66449999999999998</v>
      </c>
      <c r="L115" s="910">
        <f t="shared" si="33"/>
        <v>0.66449999999999998</v>
      </c>
      <c r="M115" s="911">
        <f t="shared" si="33"/>
        <v>0.66449999999999998</v>
      </c>
    </row>
    <row r="116" spans="1:13">
      <c r="A116" s="909" t="s">
        <v>2864</v>
      </c>
      <c r="B116" s="910">
        <f>ROUND(0.949-0.012*B113,4)</f>
        <v>0.93</v>
      </c>
      <c r="C116" s="910">
        <f>B116</f>
        <v>0.93</v>
      </c>
      <c r="D116" s="910">
        <f>ROUND(0.8567-0.013*B113,4)</f>
        <v>0.83620000000000005</v>
      </c>
      <c r="E116" s="910">
        <f t="shared" ref="E116:H117" si="34">D116</f>
        <v>0.83620000000000005</v>
      </c>
      <c r="F116" s="910">
        <f t="shared" si="34"/>
        <v>0.83620000000000005</v>
      </c>
      <c r="G116" s="910">
        <f t="shared" si="34"/>
        <v>0.83620000000000005</v>
      </c>
      <c r="H116" s="910">
        <f t="shared" si="34"/>
        <v>0.83620000000000005</v>
      </c>
      <c r="I116" s="910">
        <f>ROUND(0.7694-0.014*B113,4)</f>
        <v>0.74729999999999996</v>
      </c>
      <c r="J116" s="910">
        <f t="shared" si="33"/>
        <v>0.74729999999999996</v>
      </c>
      <c r="K116" s="910">
        <f t="shared" si="33"/>
        <v>0.74729999999999996</v>
      </c>
      <c r="L116" s="910">
        <f t="shared" si="33"/>
        <v>0.74729999999999996</v>
      </c>
      <c r="M116" s="911">
        <f t="shared" si="33"/>
        <v>0.74729999999999996</v>
      </c>
    </row>
    <row r="117" spans="1:13">
      <c r="A117" s="909" t="s">
        <v>2865</v>
      </c>
      <c r="B117" s="910">
        <f>ROUND(0.8808-0.006*B113,4)</f>
        <v>0.87129999999999996</v>
      </c>
      <c r="C117" s="910">
        <f>B117</f>
        <v>0.87129999999999996</v>
      </c>
      <c r="D117" s="910">
        <f>ROUND(0.8748-0.008*B113,4)</f>
        <v>0.86219999999999997</v>
      </c>
      <c r="E117" s="910">
        <f t="shared" si="34"/>
        <v>0.86219999999999997</v>
      </c>
      <c r="F117" s="910">
        <f t="shared" si="34"/>
        <v>0.86219999999999997</v>
      </c>
      <c r="G117" s="910">
        <f t="shared" si="34"/>
        <v>0.86219999999999997</v>
      </c>
      <c r="H117" s="910">
        <f t="shared" si="34"/>
        <v>0.86219999999999997</v>
      </c>
      <c r="I117" s="910">
        <f>ROUND(0.7412-0.0095*B113,4)</f>
        <v>0.72619999999999996</v>
      </c>
      <c r="J117" s="910">
        <f t="shared" si="33"/>
        <v>0.72619999999999996</v>
      </c>
      <c r="K117" s="910">
        <f t="shared" si="33"/>
        <v>0.72619999999999996</v>
      </c>
      <c r="L117" s="910">
        <f t="shared" si="33"/>
        <v>0.72619999999999996</v>
      </c>
      <c r="M117" s="911">
        <f t="shared" si="33"/>
        <v>0.72619999999999996</v>
      </c>
    </row>
    <row r="118" spans="1:13" ht="13.5" thickBot="1">
      <c r="A118" s="714" t="s">
        <v>2866</v>
      </c>
      <c r="B118" s="912">
        <f>ROUND(0.7275-0.01*B113,4)</f>
        <v>0.7117</v>
      </c>
      <c r="C118" s="912">
        <f>B118</f>
        <v>0.7117</v>
      </c>
      <c r="D118" s="912">
        <f>ROUND(0.7043-0.012*B113,4)</f>
        <v>0.68530000000000002</v>
      </c>
      <c r="E118" s="912">
        <f>D118</f>
        <v>0.68530000000000002</v>
      </c>
      <c r="F118" s="912">
        <f>E118</f>
        <v>0.68530000000000002</v>
      </c>
      <c r="G118" s="912">
        <f>ROUND(0.6299-0.0122*B113,4)</f>
        <v>0.61060000000000003</v>
      </c>
      <c r="H118" s="912">
        <f>G118</f>
        <v>0.61060000000000003</v>
      </c>
      <c r="I118" s="912">
        <f>ROUND(0.5667-0.0136*B113,4)</f>
        <v>0.54520000000000002</v>
      </c>
      <c r="J118" s="912">
        <f t="shared" si="33"/>
        <v>0.54520000000000002</v>
      </c>
      <c r="K118" s="912">
        <f t="shared" si="33"/>
        <v>0.54520000000000002</v>
      </c>
      <c r="L118" s="912">
        <f t="shared" si="33"/>
        <v>0.54520000000000002</v>
      </c>
      <c r="M118" s="913">
        <f t="shared" si="33"/>
        <v>0.54520000000000002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0" t="str">
        <f>项目基本情况!B1</f>
        <v>北京市大兴区中关村科技园区大兴生物医药基地北京生物医药企业港项目工业用房出让国有建设用地使用权及在建建筑物房地产抵押价值预评估</v>
      </c>
      <c r="C37" s="2960"/>
      <c r="D37" s="2960"/>
      <c r="E37" s="2960"/>
      <c r="F37" s="2960"/>
      <c r="G37" s="2960"/>
      <c r="H37" s="2960"/>
      <c r="I37" s="2960"/>
    </row>
    <row r="38" spans="1:9">
      <c r="A38" s="1019"/>
      <c r="B38" s="1019"/>
    </row>
    <row r="39" spans="1:9">
      <c r="A39" s="1017" t="s">
        <v>818</v>
      </c>
      <c r="B39" s="1017" t="s">
        <v>820</v>
      </c>
    </row>
    <row r="40" spans="1:9">
      <c r="A40" s="1017"/>
      <c r="B40" s="1945" t="str">
        <f>项目基本情况!B5</f>
        <v>北京恒星意达科技有限公司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康正预评字2018-1-0818-F01DYGJ1号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40" t="s">
        <v>3075</v>
      </c>
      <c r="C1" s="242"/>
      <c r="D1" s="242"/>
      <c r="E1" s="242"/>
      <c r="F1" s="242"/>
      <c r="G1" s="1382">
        <f>MATCH(B1,'数据-取费表'!A6:A16,0)+5</f>
        <v>6</v>
      </c>
    </row>
    <row r="2" spans="1:9" s="244" customFormat="1" ht="18" customHeight="1">
      <c r="A2" s="245" t="s">
        <v>2315</v>
      </c>
      <c r="B2" s="246">
        <f ca="1">IF(D2="——",C52,C52-E2)</f>
        <v>17382</v>
      </c>
      <c r="C2" s="243" t="s">
        <v>2316</v>
      </c>
      <c r="D2" s="2549" t="s">
        <v>70</v>
      </c>
      <c r="E2" s="1443">
        <f ca="1">SUMIF(INDIRECT("'"&amp;G2&amp;"'"&amp;"!A:A"),"承租人权益价值",INDIRECT("'"&amp;G2&amp;"'"&amp;"!c:c"))</f>
        <v>0</v>
      </c>
      <c r="F2" s="2550" t="s">
        <v>2316</v>
      </c>
      <c r="G2" s="2551" t="s">
        <v>3213</v>
      </c>
    </row>
    <row r="3" spans="1:9" s="244" customFormat="1" ht="18" customHeight="1" thickBot="1">
      <c r="A3" s="247" t="s">
        <v>2317</v>
      </c>
      <c r="B3" s="248">
        <f ca="1">ROUND(B2*10000/(IF(B1="",'数据-汇总表'!E3,INDIRECT("'数据-取费表'!k"&amp;$G$1))),0)</f>
        <v>4990</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4527</v>
      </c>
      <c r="D5" s="255" t="s">
        <v>2322</v>
      </c>
      <c r="E5" s="256" t="s">
        <v>2323</v>
      </c>
      <c r="F5" s="256" t="s">
        <v>2324</v>
      </c>
      <c r="G5" s="257"/>
    </row>
    <row r="6" spans="1:9" s="258" customFormat="1" ht="13.5" customHeight="1">
      <c r="A6" s="952" t="s">
        <v>2325</v>
      </c>
      <c r="B6" s="259" t="s">
        <v>2326</v>
      </c>
      <c r="C6" s="260">
        <f ca="1">'基准地价修正-一期'!B2</f>
        <v>3678</v>
      </c>
      <c r="D6" s="261"/>
      <c r="E6" s="262"/>
      <c r="F6" s="262"/>
      <c r="G6" s="263"/>
    </row>
    <row r="7" spans="1:9" s="258" customFormat="1" ht="13.5" customHeight="1">
      <c r="A7" s="952" t="s">
        <v>2327</v>
      </c>
      <c r="B7" s="259" t="s">
        <v>2328</v>
      </c>
      <c r="C7" s="264">
        <f ca="1">ROUND(C6*F7,0)</f>
        <v>112</v>
      </c>
      <c r="D7" s="264"/>
      <c r="E7" s="262"/>
      <c r="F7" s="265">
        <f>'数据-取费表'!B48+'数据-取费表'!B49</f>
        <v>3.0499999999999999E-2</v>
      </c>
      <c r="G7" s="263"/>
    </row>
    <row r="8" spans="1:9" s="267" customFormat="1">
      <c r="A8" s="952" t="s">
        <v>2329</v>
      </c>
      <c r="B8" s="259" t="s">
        <v>2330</v>
      </c>
      <c r="C8" s="264">
        <f ca="1">IF(G8="已包含在土地购买价格中","0",IF(B1="",'数据-取费表'!B29,IF(G9="全部缴纳",C9+C10,H9)))</f>
        <v>737</v>
      </c>
      <c r="D8" s="266"/>
      <c r="E8" s="264"/>
      <c r="F8" s="265"/>
      <c r="G8" s="2552" t="s">
        <v>3079</v>
      </c>
    </row>
    <row r="9" spans="1:9" s="258" customFormat="1" ht="13.5" customHeight="1">
      <c r="A9" s="953" t="s">
        <v>800</v>
      </c>
      <c r="B9" s="268" t="s">
        <v>2331</v>
      </c>
      <c r="C9" s="269">
        <f ca="1">ROUND(D9*E9/10000,0)</f>
        <v>0</v>
      </c>
      <c r="D9" s="1035">
        <f ca="1">IF(B1="",'数据-汇总表'!E5,IF(INDIRECT("'数据-取费表'!c"&amp;$G$1)="住宅",INDIRECT("'数据-取费表'!k"&amp;$G$1),0))</f>
        <v>0</v>
      </c>
      <c r="E9" s="269">
        <f>'数据-取费表'!B27</f>
        <v>0</v>
      </c>
      <c r="F9" s="265"/>
      <c r="G9" s="2553" t="s">
        <v>3080</v>
      </c>
      <c r="H9" s="1393">
        <v>737</v>
      </c>
      <c r="I9" s="2554" t="s">
        <v>2332</v>
      </c>
    </row>
    <row r="10" spans="1:9" s="258" customFormat="1" ht="13.5" customHeight="1">
      <c r="A10" s="953" t="s">
        <v>801</v>
      </c>
      <c r="B10" s="268" t="s">
        <v>2333</v>
      </c>
      <c r="C10" s="269">
        <f ca="1">ROUND(D10*E10/10000,0)</f>
        <v>737</v>
      </c>
      <c r="D10" s="1035">
        <f ca="1">IF(B1="",'数据-汇总表'!E6,IF(INDIRECT("'数据-取费表'!c"&amp;$G$1)="住宅",INDIRECT("'数据-取费表'!s"&amp;$G$1),INDIRECT("'数据-取费表'!k"&amp;$G$1)+INDIRECT("'数据-取费表'!s"&amp;$G$1)))</f>
        <v>36832.270000000004</v>
      </c>
      <c r="E10" s="269">
        <f>'数据-取费表'!B28</f>
        <v>200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t="str">
        <f>IF(G19="已包含在土地取得成本中","0",ROUND(D19*E19/10000,0))</f>
        <v>0</v>
      </c>
      <c r="D19" s="1039">
        <f ca="1">D9+D10</f>
        <v>36832.270000000004</v>
      </c>
      <c r="E19" s="255">
        <f>'数据-取费表'!B31</f>
        <v>200</v>
      </c>
      <c r="F19" s="275"/>
      <c r="G19" s="2552" t="s">
        <v>3081</v>
      </c>
    </row>
    <row r="20" spans="1:7" s="258" customFormat="1" ht="13.5" customHeight="1">
      <c r="A20" s="299" t="s">
        <v>2346</v>
      </c>
      <c r="B20" s="254" t="s">
        <v>2347</v>
      </c>
      <c r="C20" s="276">
        <f ca="1">ROUND((C5+C19)*F20,0)</f>
        <v>91</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57">
        <f ca="1">ROUND(SUM(C23:C25),0)</f>
        <v>285</v>
      </c>
      <c r="D22" s="279">
        <f ca="1">C26</f>
        <v>5.9999999999999995E-4</v>
      </c>
      <c r="E22" s="280" t="s">
        <v>2351</v>
      </c>
      <c r="F22" s="281">
        <f ca="1">'数据-取费表'!B40</f>
        <v>4.7500000000000001E-2</v>
      </c>
      <c r="G22" s="278" t="str">
        <f>IF('数据-取费表'!B22&lt;=1,"单利计息","复利计息")</f>
        <v>复利计息</v>
      </c>
    </row>
    <row r="23" spans="1:7" s="258" customFormat="1" ht="13.5" customHeight="1">
      <c r="A23" s="954" t="s">
        <v>2355</v>
      </c>
      <c r="B23" s="259" t="s">
        <v>2356</v>
      </c>
      <c r="C23" s="1358">
        <f ca="1">ROUND(IF('数据-取费表'!B22&lt;=1,C5*F22*'数据-取费表'!B23,C5*(POWER((1+F22),'数据-取费表'!B23)-1)),0)</f>
        <v>282</v>
      </c>
      <c r="D23" s="282"/>
      <c r="E23" s="282"/>
      <c r="F23" s="283"/>
      <c r="G23" s="284" t="s">
        <v>2357</v>
      </c>
    </row>
    <row r="24" spans="1:7" s="258" customFormat="1" ht="13.5" customHeight="1">
      <c r="A24" s="954" t="s">
        <v>2358</v>
      </c>
      <c r="B24" s="259" t="s">
        <v>2359</v>
      </c>
      <c r="C24" s="1358">
        <f ca="1">ROUND(IF('数据-取费表'!B22&lt;=1,C19*F22*('数据-取费表'!B19/2+'数据-取费表'!B21),C19*(POWER((1+F22),('数据-取费表'!B19/2+'数据-取费表'!B21))-1)),0)</f>
        <v>0</v>
      </c>
      <c r="D24" s="282"/>
      <c r="E24" s="282"/>
      <c r="F24" s="283"/>
      <c r="G24" s="284" t="s">
        <v>2360</v>
      </c>
    </row>
    <row r="25" spans="1:7" s="258" customFormat="1" ht="24">
      <c r="A25" s="954" t="s">
        <v>2361</v>
      </c>
      <c r="B25" s="259" t="s">
        <v>2362</v>
      </c>
      <c r="C25" s="1358">
        <f ca="1">ROUND(IF('数据-取费表'!B22&lt;=1,C20*F22*'数据-取费表'!B23/2,C20*(POWER((1+F22),'数据-取费表'!B23/2)-1)),0)</f>
        <v>3</v>
      </c>
      <c r="D25" s="282"/>
      <c r="E25" s="285"/>
      <c r="F25" s="283"/>
      <c r="G25" s="286" t="s">
        <v>2363</v>
      </c>
    </row>
    <row r="26" spans="1:7" s="258" customFormat="1">
      <c r="A26" s="954" t="s">
        <v>795</v>
      </c>
      <c r="B26" s="259" t="s">
        <v>2364</v>
      </c>
      <c r="C26" s="282">
        <f ca="1">ROUND(IF('数据-取费表'!B22&lt;=1,F21*F22*'数据-取费表'!B23/2,F21*(POWER((1+F22),'数据-取费表'!B23/2)-1)),4)</f>
        <v>5.9999999999999995E-4</v>
      </c>
      <c r="D26" s="282"/>
      <c r="E26" s="285"/>
      <c r="F26" s="283"/>
      <c r="G26" s="287"/>
    </row>
    <row r="27" spans="1:7" s="258" customFormat="1" ht="24.75">
      <c r="A27" s="299" t="s">
        <v>2365</v>
      </c>
      <c r="B27" s="288" t="s">
        <v>2366</v>
      </c>
      <c r="C27" s="289">
        <f ca="1">C28</f>
        <v>400</v>
      </c>
      <c r="D27" s="279">
        <f ca="1">C29</f>
        <v>1.6999999999999999E-3</v>
      </c>
      <c r="E27" s="280" t="s">
        <v>2367</v>
      </c>
      <c r="F27" s="290">
        <f ca="1">IF(B1="",'数据-取费表'!Q16,INDIRECT("'数据-取费表'!q"&amp;$G$1))</f>
        <v>0.1</v>
      </c>
      <c r="G27" s="291" t="s">
        <v>2368</v>
      </c>
    </row>
    <row r="28" spans="1:7" s="258" customFormat="1" ht="13.5" customHeight="1">
      <c r="A28" s="954" t="s">
        <v>791</v>
      </c>
      <c r="B28" s="292" t="s">
        <v>2369</v>
      </c>
      <c r="C28" s="293">
        <f ca="1">ROUND((C5+C19+C20)*F27*'数据-取费表'!B21/'数据-取费表'!B20,0)</f>
        <v>400</v>
      </c>
      <c r="D28" s="279"/>
      <c r="E28" s="280"/>
      <c r="F28" s="290"/>
      <c r="G28" s="291"/>
    </row>
    <row r="29" spans="1:7" s="258" customFormat="1" ht="13.5" customHeight="1">
      <c r="A29" s="954" t="s">
        <v>792</v>
      </c>
      <c r="B29" s="292" t="s">
        <v>2370</v>
      </c>
      <c r="C29" s="282">
        <f ca="1">ROUND(C21*F27*'数据-取费表'!B21/'数据-取费表'!B20,4)</f>
        <v>1.6999999999999999E-3</v>
      </c>
      <c r="D29" s="279"/>
      <c r="E29" s="280"/>
      <c r="F29" s="290"/>
      <c r="G29" s="291"/>
    </row>
    <row r="30" spans="1:7" s="258" customFormat="1" ht="13.5" customHeight="1">
      <c r="A30" s="299" t="s">
        <v>2371</v>
      </c>
      <c r="B30" s="254" t="s">
        <v>2372</v>
      </c>
      <c r="C30" s="279">
        <f>ROUND(F30/(1+'数据-取费表'!C42),4)</f>
        <v>5.2400000000000002E-2</v>
      </c>
      <c r="D30" s="280" t="s">
        <v>2367</v>
      </c>
      <c r="E30" s="285"/>
      <c r="F30" s="281">
        <f>'数据-取费表'!B41</f>
        <v>5.5000000000000007E-2</v>
      </c>
      <c r="G30" s="278" t="s">
        <v>2373</v>
      </c>
    </row>
    <row r="31" spans="1:7" ht="16.5" customHeight="1">
      <c r="A31" s="253">
        <v>1</v>
      </c>
      <c r="B31" s="254" t="s">
        <v>2374</v>
      </c>
      <c r="C31" s="255">
        <f ca="1">ROUND((C5+C19+C20+C22+C27)/(1-C21-D22-D27-C30),0)</f>
        <v>5731</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9345</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8273</v>
      </c>
      <c r="D34" s="261"/>
      <c r="E34" s="264"/>
      <c r="F34" s="301">
        <f ca="1">IF('数据-取费表'!B24=0,1,IF(B1="",'数据-取费表'!N16,INDIRECT("'数据-取费表'!n"&amp;$G$1)))</f>
        <v>0.95</v>
      </c>
      <c r="G34" s="263" t="s">
        <v>2379</v>
      </c>
    </row>
    <row r="35" spans="1:7" ht="13.5" customHeight="1">
      <c r="A35" s="954" t="s">
        <v>796</v>
      </c>
      <c r="B35" s="259" t="s">
        <v>2380</v>
      </c>
      <c r="C35" s="264">
        <f ca="1">ROUND(C34*F35,0)</f>
        <v>248</v>
      </c>
      <c r="D35" s="264"/>
      <c r="E35" s="264"/>
      <c r="F35" s="303">
        <f>'数据-取费表'!B33</f>
        <v>0.03</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4" t="s">
        <v>798</v>
      </c>
      <c r="B37" s="259" t="s">
        <v>2384</v>
      </c>
      <c r="C37" s="293">
        <f ca="1">ROUND(E37*D37*F34/10000,0)</f>
        <v>700</v>
      </c>
      <c r="D37" s="261">
        <f ca="1">D19</f>
        <v>36832.270000000004</v>
      </c>
      <c r="E37" s="293">
        <f>'数据-取费表'!B35</f>
        <v>200</v>
      </c>
      <c r="F37" s="303"/>
      <c r="G37" s="305" t="s">
        <v>2385</v>
      </c>
    </row>
    <row r="38" spans="1:7" ht="13.5" customHeight="1">
      <c r="A38" s="954" t="s">
        <v>799</v>
      </c>
      <c r="B38" s="259" t="s">
        <v>2386</v>
      </c>
      <c r="C38" s="264">
        <f ca="1">ROUND(C34*F38,0)</f>
        <v>124</v>
      </c>
      <c r="D38" s="264"/>
      <c r="E38" s="264"/>
      <c r="F38" s="303">
        <f>'数据-取费表'!B36</f>
        <v>1.4999999999999999E-2</v>
      </c>
      <c r="G38" s="263" t="s">
        <v>2381</v>
      </c>
    </row>
    <row r="39" spans="1:7" s="258" customFormat="1" ht="13.5" customHeight="1">
      <c r="A39" s="299" t="s">
        <v>2387</v>
      </c>
      <c r="B39" s="254" t="s">
        <v>2388</v>
      </c>
      <c r="C39" s="276">
        <f ca="1">ROUND(C33*F20,0)</f>
        <v>187</v>
      </c>
      <c r="D39" s="276"/>
      <c r="E39" s="276"/>
      <c r="F39" s="277"/>
      <c r="G39" s="278" t="s">
        <v>2389</v>
      </c>
    </row>
    <row r="40" spans="1:7" s="258" customFormat="1" ht="13.5" customHeight="1">
      <c r="A40" s="299" t="s">
        <v>2390</v>
      </c>
      <c r="B40" s="254" t="s">
        <v>2391</v>
      </c>
      <c r="C40" s="1731">
        <f>F21</f>
        <v>0.02</v>
      </c>
      <c r="D40" s="280" t="s">
        <v>2392</v>
      </c>
      <c r="E40" s="276"/>
      <c r="F40" s="277"/>
      <c r="G40" s="278" t="s">
        <v>2393</v>
      </c>
    </row>
    <row r="41" spans="1:7" s="258" customFormat="1" ht="13.5" customHeight="1">
      <c r="A41" s="299" t="s">
        <v>2394</v>
      </c>
      <c r="B41" s="254" t="s">
        <v>2395</v>
      </c>
      <c r="C41" s="276">
        <f ca="1">ROUND(SUM(C42:C43),0)</f>
        <v>292</v>
      </c>
      <c r="D41" s="279">
        <f ca="1">C44</f>
        <v>5.9999999999999995E-4</v>
      </c>
      <c r="E41" s="280" t="s">
        <v>2392</v>
      </c>
      <c r="F41" s="281"/>
      <c r="G41" s="278" t="str">
        <f>IF('数据-取费表'!B22&lt;=1,"单利计息","复利计息")</f>
        <v>复利计息</v>
      </c>
    </row>
    <row r="42" spans="1:7" ht="13.5" customHeight="1">
      <c r="A42" s="954" t="s">
        <v>791</v>
      </c>
      <c r="B42" s="259" t="s">
        <v>2396</v>
      </c>
      <c r="C42" s="282">
        <f ca="1">ROUND(IF('数据-取费表'!B22&lt;=1,C33*F22*'数据-取费表'!B21/2,C33*(POWER((1+F22),'数据-取费表'!B21/2)-1)),0)</f>
        <v>286</v>
      </c>
      <c r="D42" s="282"/>
      <c r="E42" s="282"/>
      <c r="F42" s="283"/>
      <c r="G42" s="3166" t="s">
        <v>2397</v>
      </c>
    </row>
    <row r="43" spans="1:7" ht="13.5" customHeight="1">
      <c r="A43" s="954" t="s">
        <v>792</v>
      </c>
      <c r="B43" s="259" t="s">
        <v>2398</v>
      </c>
      <c r="C43" s="282">
        <f ca="1">ROUND(IF('数据-取费表'!B22&lt;=1,C39*F22*'数据-取费表'!B21/2,C39*(POWER((1+F22),'数据-取费表'!B21/2)-1)),0)</f>
        <v>6</v>
      </c>
      <c r="D43" s="282"/>
      <c r="E43" s="282"/>
      <c r="F43" s="283"/>
      <c r="G43" s="3167"/>
    </row>
    <row r="44" spans="1:7" ht="13.5" customHeight="1">
      <c r="A44" s="954" t="s">
        <v>793</v>
      </c>
      <c r="B44" s="259" t="s">
        <v>2399</v>
      </c>
      <c r="C44" s="282">
        <f ca="1">ROUND(IF('数据-取费表'!B22&lt;=1,C40*F22*'数据-取费表'!B21/2,C40*(POWER((1+F22),'数据-取费表'!B21/2)-1)),4)</f>
        <v>5.9999999999999995E-4</v>
      </c>
      <c r="D44" s="282"/>
      <c r="E44" s="282"/>
      <c r="F44" s="283"/>
      <c r="G44" s="3168"/>
    </row>
    <row r="45" spans="1:7" s="258" customFormat="1" ht="13.5" customHeight="1">
      <c r="A45" s="299" t="s">
        <v>2400</v>
      </c>
      <c r="B45" s="288" t="s">
        <v>2366</v>
      </c>
      <c r="C45" s="289">
        <f ca="1">C46</f>
        <v>953</v>
      </c>
      <c r="D45" s="279">
        <f ca="1">C47</f>
        <v>2E-3</v>
      </c>
      <c r="E45" s="280" t="s">
        <v>2392</v>
      </c>
      <c r="F45" s="290"/>
      <c r="G45" s="291" t="s">
        <v>2401</v>
      </c>
    </row>
    <row r="46" spans="1:7" s="258" customFormat="1" ht="13.5" customHeight="1">
      <c r="A46" s="954" t="s">
        <v>791</v>
      </c>
      <c r="B46" s="292" t="s">
        <v>2402</v>
      </c>
      <c r="C46" s="293">
        <f ca="1">ROUND((C33+C39)*F27,0)</f>
        <v>953</v>
      </c>
      <c r="D46" s="307"/>
      <c r="E46" s="280"/>
      <c r="F46" s="290"/>
      <c r="G46" s="291"/>
    </row>
    <row r="47" spans="1:7" s="258" customFormat="1" ht="13.5" customHeight="1">
      <c r="A47" s="954" t="s">
        <v>792</v>
      </c>
      <c r="B47" s="292" t="s">
        <v>2403</v>
      </c>
      <c r="C47" s="282">
        <f ca="1">ROUND(C40*F27,4)</f>
        <v>2E-3</v>
      </c>
      <c r="D47" s="307"/>
      <c r="E47" s="280"/>
      <c r="F47" s="290"/>
      <c r="G47" s="291"/>
    </row>
    <row r="48" spans="1:7" s="258" customFormat="1" ht="13.5" customHeight="1">
      <c r="A48" s="299" t="s">
        <v>2365</v>
      </c>
      <c r="B48" s="254" t="s">
        <v>2404</v>
      </c>
      <c r="C48" s="1731">
        <f>ROUND(F30/(1+'数据-取费表'!C42),4)</f>
        <v>5.2400000000000002E-2</v>
      </c>
      <c r="D48" s="280" t="s">
        <v>2392</v>
      </c>
      <c r="E48" s="276"/>
      <c r="F48" s="281"/>
      <c r="G48" s="278" t="s">
        <v>2405</v>
      </c>
    </row>
    <row r="49" spans="1:7" ht="16.5" customHeight="1">
      <c r="A49" s="299" t="s">
        <v>2371</v>
      </c>
      <c r="B49" s="254" t="s">
        <v>2406</v>
      </c>
      <c r="C49" s="276">
        <f ca="1">ROUND((C33+C39+C41+C45)/(1-C40-D41-D45-C48),0)</f>
        <v>11651</v>
      </c>
      <c r="D49" s="276"/>
      <c r="E49" s="276"/>
      <c r="F49" s="308"/>
      <c r="G49" s="278" t="s">
        <v>2407</v>
      </c>
    </row>
    <row r="50" spans="1:7" s="302" customFormat="1" ht="24">
      <c r="A50" s="299" t="s">
        <v>2408</v>
      </c>
      <c r="B50" s="254" t="s">
        <v>2409</v>
      </c>
      <c r="C50" s="276"/>
      <c r="D50" s="276"/>
      <c r="E50" s="276"/>
      <c r="F50" s="308">
        <f>IF('数据-取费表'!B24=0,'数据-取费表'!N16,1)</f>
        <v>1</v>
      </c>
      <c r="G50" s="291" t="s">
        <v>2410</v>
      </c>
    </row>
    <row r="51" spans="1:7" ht="16.5" customHeight="1">
      <c r="A51" s="299" t="s">
        <v>2411</v>
      </c>
      <c r="B51" s="254" t="s">
        <v>2412</v>
      </c>
      <c r="C51" s="276">
        <f ca="1">ROUND(C49*F50,0)</f>
        <v>11651</v>
      </c>
      <c r="D51" s="276"/>
      <c r="E51" s="276"/>
      <c r="F51" s="308"/>
      <c r="G51" s="278" t="s">
        <v>2413</v>
      </c>
    </row>
    <row r="52" spans="1:7" s="252" customFormat="1" ht="16.5" thickBot="1">
      <c r="A52" s="309" t="s">
        <v>2414</v>
      </c>
      <c r="B52" s="310"/>
      <c r="C52" s="311">
        <f ca="1">C31+C51</f>
        <v>17382</v>
      </c>
      <c r="D52" s="310"/>
      <c r="E52" s="310"/>
      <c r="F52" s="310"/>
      <c r="G52" s="312"/>
    </row>
    <row r="55" spans="1:7" ht="15">
      <c r="B55" s="314" t="s">
        <v>2415</v>
      </c>
      <c r="C55" s="315"/>
    </row>
    <row r="56" spans="1:7">
      <c r="B56" s="317" t="s">
        <v>1513</v>
      </c>
      <c r="C56" s="319">
        <f ca="1">1-C57</f>
        <v>0.32999999999999996</v>
      </c>
    </row>
    <row r="57" spans="1:7">
      <c r="B57" s="317" t="s">
        <v>1514</v>
      </c>
      <c r="C57" s="318">
        <f ca="1">ROUND(C51/C52,3)</f>
        <v>0.67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49" sqref="B4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40"/>
      <c r="C1" s="2555" t="s">
        <v>2416</v>
      </c>
      <c r="D1" s="242"/>
      <c r="E1" s="242"/>
      <c r="F1" s="242"/>
      <c r="G1" s="1382">
        <f>MATCH(B1,'数据-取费表'!A6:A16,0)+5</f>
        <v>7</v>
      </c>
      <c r="H1" s="1285" t="str">
        <f>IF(ISERROR(FIND("住宅",B1)),"非住宅","住宅")</f>
        <v>非住宅</v>
      </c>
    </row>
    <row r="2" spans="1:8" s="244" customFormat="1" ht="18" customHeight="1">
      <c r="A2" s="245" t="s">
        <v>2315</v>
      </c>
      <c r="B2" s="246">
        <f ca="1">ROUND(IF(D2="——",C52/10000,C52/10000-E2),0)</f>
        <v>14744</v>
      </c>
      <c r="C2" s="243" t="s">
        <v>2316</v>
      </c>
      <c r="D2" s="2549" t="s">
        <v>70</v>
      </c>
      <c r="E2" s="1443" t="e">
        <f ca="1">SUMIF(INDIRECT("'"&amp;G2&amp;"'"&amp;"!A:A"),"承租人权益价值",INDIRECT("'"&amp;G2&amp;"'"&amp;"!c:c"))</f>
        <v>#REF!</v>
      </c>
      <c r="F2" s="2550" t="s">
        <v>2316</v>
      </c>
      <c r="G2" s="2551"/>
    </row>
    <row r="3" spans="1:8" s="244" customFormat="1" ht="18" customHeight="1" thickBot="1">
      <c r="A3" s="247" t="s">
        <v>2317</v>
      </c>
      <c r="B3" s="248">
        <f ca="1">ROUND(B2*10000/(IF(B1="",'数据-汇总表'!E3,INDIRECT("'数据-取费表'!k"&amp;$G$1))),0)</f>
        <v>4003</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7366454</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3.0499999999999999E-2</v>
      </c>
      <c r="G7" s="263"/>
    </row>
    <row r="8" spans="1:8" s="267" customFormat="1">
      <c r="A8" s="952" t="s">
        <v>2329</v>
      </c>
      <c r="B8" s="259" t="s">
        <v>2330</v>
      </c>
      <c r="C8" s="264">
        <f ca="1">IF(G8="已包含在土地购买价格中",0,C9+C10)</f>
        <v>7366454</v>
      </c>
      <c r="D8" s="266"/>
      <c r="E8" s="264"/>
      <c r="F8" s="265"/>
      <c r="G8" s="2552"/>
    </row>
    <row r="9" spans="1:8" s="258" customFormat="1" ht="13.5" customHeight="1">
      <c r="A9" s="953" t="s">
        <v>800</v>
      </c>
      <c r="B9" s="268" t="s">
        <v>2331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2333</v>
      </c>
      <c r="C10" s="269">
        <f ca="1">ROUND(D10*E10,0)</f>
        <v>7366454</v>
      </c>
      <c r="D10" s="1035">
        <f ca="1">IF(B1="",'数据-汇总表'!E6,IF(INDIRECT("'数据-取费表'!c"&amp;$G$1)="住宅",INDIRECT("'数据-取费表'!s"&amp;$G$1),INDIRECT("'数据-取费表'!k"&amp;$G$1)+INDIRECT("'数据-取费表'!s"&amp;$G$1)))</f>
        <v>36832.270000000004</v>
      </c>
      <c r="E10" s="269">
        <f>'数据-取费表'!B28</f>
        <v>200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7366454</v>
      </c>
      <c r="D19" s="1039">
        <f ca="1">D9+D10</f>
        <v>36832.270000000004</v>
      </c>
      <c r="E19" s="255">
        <f>'数据-取费表'!B31</f>
        <v>200</v>
      </c>
      <c r="F19" s="275"/>
      <c r="G19" s="2552"/>
    </row>
    <row r="20" spans="1:7" s="258" customFormat="1" ht="13.5" customHeight="1">
      <c r="A20" s="299" t="s">
        <v>2427</v>
      </c>
      <c r="B20" s="254" t="s">
        <v>2428</v>
      </c>
      <c r="C20" s="276">
        <f ca="1">ROUND((C5+C19)*F20,0)</f>
        <v>294658</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83">
        <f ca="1">ROUND(SUM(C23:C25),0)</f>
        <v>1072524</v>
      </c>
      <c r="D22" s="279">
        <f ca="1">C26</f>
        <v>6.9999999999999999E-4</v>
      </c>
      <c r="E22" s="280" t="s">
        <v>2432</v>
      </c>
      <c r="F22" s="281">
        <f ca="1">'数据-取费表'!B40</f>
        <v>4.7500000000000001E-2</v>
      </c>
      <c r="G22" s="278" t="str">
        <f>IF('数据-取费表'!B22&lt;=1,"单利计息","复利计息")</f>
        <v>复利计息</v>
      </c>
    </row>
    <row r="23" spans="1:7" s="258" customFormat="1" ht="13.5" customHeight="1">
      <c r="A23" s="954" t="s">
        <v>2325</v>
      </c>
      <c r="B23" s="259" t="s">
        <v>2436</v>
      </c>
      <c r="C23" s="1384">
        <f ca="1">ROUND(IF('数据-取费表'!B22&lt;=1,C5*F22*'数据-取费表'!B22,C5*(POWER((1+F22),'数据-取费表'!B22)-1)),0)</f>
        <v>531044</v>
      </c>
      <c r="D23" s="282"/>
      <c r="E23" s="282"/>
      <c r="F23" s="283"/>
      <c r="G23" s="284" t="s">
        <v>2437</v>
      </c>
    </row>
    <row r="24" spans="1:7" s="258" customFormat="1" ht="13.5" customHeight="1">
      <c r="A24" s="954" t="s">
        <v>2327</v>
      </c>
      <c r="B24" s="259" t="s">
        <v>2438</v>
      </c>
      <c r="C24" s="1384">
        <f ca="1">ROUND(IF('数据-取费表'!B22&lt;=1,C19*F22*('数据-取费表'!B19/2+'数据-取费表'!B20),C19*(POWER((1+F22),('数据-取费表'!B19/2+'数据-取费表'!B20))-1)),0)</f>
        <v>531044</v>
      </c>
      <c r="D24" s="282"/>
      <c r="E24" s="282"/>
      <c r="F24" s="283"/>
      <c r="G24" s="284" t="s">
        <v>2439</v>
      </c>
    </row>
    <row r="25" spans="1:7" s="258" customFormat="1" ht="24">
      <c r="A25" s="954" t="s">
        <v>2329</v>
      </c>
      <c r="B25" s="259" t="s">
        <v>2440</v>
      </c>
      <c r="C25" s="1384">
        <f ca="1">ROUND(IF('数据-取费表'!B22&lt;=1,C20*F22*'数据-取费表'!B22/2,C20*(POWER((1+F22),'数据-取费表'!B22/2)-1)),0)</f>
        <v>10436</v>
      </c>
      <c r="D25" s="282"/>
      <c r="E25" s="285"/>
      <c r="F25" s="283"/>
      <c r="G25" s="286" t="s">
        <v>2441</v>
      </c>
    </row>
    <row r="26" spans="1:7" s="258" customFormat="1">
      <c r="A26" s="954" t="s">
        <v>795</v>
      </c>
      <c r="B26" s="259" t="s">
        <v>2364</v>
      </c>
      <c r="C26" s="282">
        <f ca="1">ROUND(IF('数据-取费表'!B22&lt;=1,F21*F22*'数据-取费表'!B22/2,F21*(POWER((1+F22),'数据-取费表'!B22/2)-1)),4)</f>
        <v>6.9999999999999999E-4</v>
      </c>
      <c r="D26" s="282"/>
      <c r="E26" s="285"/>
      <c r="F26" s="283"/>
      <c r="G26" s="287"/>
    </row>
    <row r="27" spans="1:7" s="258" customFormat="1" ht="24.75">
      <c r="A27" s="299" t="s">
        <v>2365</v>
      </c>
      <c r="B27" s="288" t="s">
        <v>2366</v>
      </c>
      <c r="C27" s="289">
        <f ca="1">C28</f>
        <v>1502757</v>
      </c>
      <c r="D27" s="279">
        <f ca="1">C29</f>
        <v>2E-3</v>
      </c>
      <c r="E27" s="280" t="s">
        <v>2367</v>
      </c>
      <c r="F27" s="290">
        <f ca="1">IF(B1="",'数据-取费表'!Q16,INDIRECT("'数据-取费表'!q"&amp;$G$1))</f>
        <v>0.1</v>
      </c>
      <c r="G27" s="291" t="s">
        <v>2368</v>
      </c>
    </row>
    <row r="28" spans="1:7" s="258" customFormat="1" ht="13.5" customHeight="1">
      <c r="A28" s="954" t="s">
        <v>791</v>
      </c>
      <c r="B28" s="292" t="s">
        <v>2369</v>
      </c>
      <c r="C28" s="293">
        <f ca="1">ROUND((C5+C19+C20)*F27,0)</f>
        <v>1502757</v>
      </c>
      <c r="D28" s="279"/>
      <c r="E28" s="280"/>
      <c r="F28" s="290"/>
      <c r="G28" s="291"/>
    </row>
    <row r="29" spans="1:7" s="258" customFormat="1" ht="13.5" customHeight="1">
      <c r="A29" s="954" t="s">
        <v>792</v>
      </c>
      <c r="B29" s="292" t="s">
        <v>2370</v>
      </c>
      <c r="C29" s="282">
        <f ca="1">ROUND(C21*F27,4)</f>
        <v>2E-3</v>
      </c>
      <c r="D29" s="279"/>
      <c r="E29" s="280"/>
      <c r="F29" s="290"/>
      <c r="G29" s="291"/>
    </row>
    <row r="30" spans="1:7" s="258" customFormat="1" ht="13.5" customHeight="1">
      <c r="A30" s="299" t="s">
        <v>2371</v>
      </c>
      <c r="B30" s="254" t="s">
        <v>2372</v>
      </c>
      <c r="C30" s="279">
        <f>ROUND(F30/(1+'数据-取费表'!C42),4)</f>
        <v>5.2400000000000002E-2</v>
      </c>
      <c r="D30" s="280" t="s">
        <v>2367</v>
      </c>
      <c r="E30" s="285"/>
      <c r="F30" s="281">
        <f>'数据-取费表'!B41</f>
        <v>5.5000000000000007E-2</v>
      </c>
      <c r="G30" s="278" t="s">
        <v>2373</v>
      </c>
    </row>
    <row r="31" spans="1:7" ht="16.5" customHeight="1">
      <c r="A31" s="253">
        <v>1</v>
      </c>
      <c r="B31" s="254" t="s">
        <v>2374</v>
      </c>
      <c r="C31" s="255">
        <f ca="1">ROUND((C5+C19+C20+C22+C27)/(1-C21-D22-D27-C30),0)</f>
        <v>19032162</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102545759</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91080675</v>
      </c>
      <c r="D34" s="261"/>
      <c r="E34" s="264"/>
      <c r="F34" s="301"/>
      <c r="G34" s="263"/>
    </row>
    <row r="35" spans="1:7" ht="13.5" customHeight="1">
      <c r="A35" s="954" t="s">
        <v>796</v>
      </c>
      <c r="B35" s="259" t="s">
        <v>2380</v>
      </c>
      <c r="C35" s="264">
        <f ca="1">ROUND(C34*F35,0)</f>
        <v>2732420</v>
      </c>
      <c r="D35" s="264"/>
      <c r="E35" s="264"/>
      <c r="F35" s="303">
        <f>'数据-取费表'!B33</f>
        <v>0.03</v>
      </c>
      <c r="G35" s="263" t="s">
        <v>2381</v>
      </c>
    </row>
    <row r="36" spans="1:7" ht="24">
      <c r="A36" s="954"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4" t="s">
        <v>798</v>
      </c>
      <c r="B37" s="259" t="s">
        <v>2384</v>
      </c>
      <c r="C37" s="293">
        <f ca="1">ROUND(E37*D37,0)</f>
        <v>7366454</v>
      </c>
      <c r="D37" s="261">
        <f ca="1">D19</f>
        <v>36832.270000000004</v>
      </c>
      <c r="E37" s="293">
        <f>'数据-取费表'!B35</f>
        <v>200</v>
      </c>
      <c r="F37" s="303"/>
      <c r="G37" s="305"/>
    </row>
    <row r="38" spans="1:7" ht="13.5" customHeight="1">
      <c r="A38" s="954" t="s">
        <v>799</v>
      </c>
      <c r="B38" s="259" t="s">
        <v>2386</v>
      </c>
      <c r="C38" s="264">
        <f ca="1">ROUND(C34*F38,0)</f>
        <v>1366210</v>
      </c>
      <c r="D38" s="264"/>
      <c r="E38" s="264"/>
      <c r="F38" s="303">
        <f>'数据-取费表'!B36</f>
        <v>1.4999999999999999E-2</v>
      </c>
      <c r="G38" s="263" t="s">
        <v>2381</v>
      </c>
    </row>
    <row r="39" spans="1:7" s="258" customFormat="1" ht="13.5" customHeight="1">
      <c r="A39" s="299" t="s">
        <v>2387</v>
      </c>
      <c r="B39" s="254" t="s">
        <v>2388</v>
      </c>
      <c r="C39" s="276">
        <f ca="1">ROUND(C33*F20,0)</f>
        <v>2050915</v>
      </c>
      <c r="D39" s="276"/>
      <c r="E39" s="276"/>
      <c r="F39" s="277"/>
      <c r="G39" s="278" t="s">
        <v>2389</v>
      </c>
    </row>
    <row r="40" spans="1:7" s="258" customFormat="1" ht="13.5" customHeight="1">
      <c r="A40" s="299" t="s">
        <v>2390</v>
      </c>
      <c r="B40" s="254" t="s">
        <v>2391</v>
      </c>
      <c r="C40" s="1731">
        <f>F21</f>
        <v>0.02</v>
      </c>
      <c r="D40" s="280" t="s">
        <v>2392</v>
      </c>
      <c r="E40" s="276"/>
      <c r="F40" s="277"/>
      <c r="G40" s="278" t="s">
        <v>2393</v>
      </c>
    </row>
    <row r="41" spans="1:7" s="258" customFormat="1" ht="13.5" customHeight="1">
      <c r="A41" s="299" t="s">
        <v>2394</v>
      </c>
      <c r="B41" s="254" t="s">
        <v>2395</v>
      </c>
      <c r="C41" s="276">
        <f ca="1">ROUND(SUM(C42:C43),0)</f>
        <v>3704558</v>
      </c>
      <c r="D41" s="279">
        <f ca="1">C44</f>
        <v>6.9999999999999999E-4</v>
      </c>
      <c r="E41" s="280" t="s">
        <v>2392</v>
      </c>
      <c r="F41" s="281"/>
      <c r="G41" s="278" t="str">
        <f>IF('数据-取费表'!B22&lt;=1,"单利计息","复利计息")</f>
        <v>复利计息</v>
      </c>
    </row>
    <row r="42" spans="1:7" ht="13.5" customHeight="1">
      <c r="A42" s="954" t="s">
        <v>791</v>
      </c>
      <c r="B42" s="259" t="s">
        <v>2396</v>
      </c>
      <c r="C42" s="282">
        <f ca="1">ROUND(IF('数据-取费表'!B22&lt;=1,C33*F22*'数据-取费表'!B20/2,C33*(POWER((1+F22),'数据-取费表'!B20/2)-1)),0)</f>
        <v>3631920</v>
      </c>
      <c r="D42" s="282"/>
      <c r="E42" s="282"/>
      <c r="F42" s="283"/>
      <c r="G42" s="3166" t="s">
        <v>2444</v>
      </c>
    </row>
    <row r="43" spans="1:7" ht="13.5" customHeight="1">
      <c r="A43" s="954" t="s">
        <v>792</v>
      </c>
      <c r="B43" s="259" t="s">
        <v>2398</v>
      </c>
      <c r="C43" s="282">
        <f ca="1">ROUND(IF('数据-取费表'!B22&lt;=1,C39*F22*'数据-取费表'!B20/2,C39*(POWER((1+F22),'数据-取费表'!B20/2)-1)),0)</f>
        <v>72638</v>
      </c>
      <c r="D43" s="282"/>
      <c r="E43" s="282"/>
      <c r="F43" s="283"/>
      <c r="G43" s="3167"/>
    </row>
    <row r="44" spans="1:7" ht="13.5" customHeight="1">
      <c r="A44" s="954" t="s">
        <v>793</v>
      </c>
      <c r="B44" s="259" t="s">
        <v>2399</v>
      </c>
      <c r="C44" s="282">
        <f ca="1">ROUND(IF('数据-取费表'!B22&lt;=1,C40*F22*'数据-取费表'!B20/2,C40*(POWER((1+F22),'数据-取费表'!B20/2)-1)),4)</f>
        <v>6.9999999999999999E-4</v>
      </c>
      <c r="D44" s="282"/>
      <c r="E44" s="282"/>
      <c r="F44" s="283"/>
      <c r="G44" s="3168"/>
    </row>
    <row r="45" spans="1:7" s="258" customFormat="1" ht="13.5" customHeight="1">
      <c r="A45" s="299" t="s">
        <v>2400</v>
      </c>
      <c r="B45" s="288" t="s">
        <v>2366</v>
      </c>
      <c r="C45" s="289">
        <f ca="1">C46</f>
        <v>10459667</v>
      </c>
      <c r="D45" s="279">
        <f ca="1">C47</f>
        <v>2E-3</v>
      </c>
      <c r="E45" s="280" t="s">
        <v>2392</v>
      </c>
      <c r="F45" s="290"/>
      <c r="G45" s="291" t="s">
        <v>2401</v>
      </c>
    </row>
    <row r="46" spans="1:7" s="258" customFormat="1" ht="13.5" customHeight="1">
      <c r="A46" s="954" t="s">
        <v>791</v>
      </c>
      <c r="B46" s="292" t="s">
        <v>2402</v>
      </c>
      <c r="C46" s="293">
        <f ca="1">ROUND((C33+C39)*F27,0)</f>
        <v>10459667</v>
      </c>
      <c r="D46" s="307"/>
      <c r="E46" s="280"/>
      <c r="F46" s="290"/>
      <c r="G46" s="291"/>
    </row>
    <row r="47" spans="1:7" s="258" customFormat="1" ht="13.5" customHeight="1">
      <c r="A47" s="954" t="s">
        <v>792</v>
      </c>
      <c r="B47" s="292" t="s">
        <v>2403</v>
      </c>
      <c r="C47" s="282">
        <f ca="1">ROUND(C40*F27,4)</f>
        <v>2E-3</v>
      </c>
      <c r="D47" s="307"/>
      <c r="E47" s="280"/>
      <c r="F47" s="290"/>
      <c r="G47" s="291"/>
    </row>
    <row r="48" spans="1:7" s="258" customFormat="1" ht="13.5" customHeight="1">
      <c r="A48" s="299" t="s">
        <v>2365</v>
      </c>
      <c r="B48" s="254" t="s">
        <v>2404</v>
      </c>
      <c r="C48" s="306">
        <f>ROUND(F30/(1+'数据-取费表'!C42),4)</f>
        <v>5.2400000000000002E-2</v>
      </c>
      <c r="D48" s="280" t="s">
        <v>2392</v>
      </c>
      <c r="E48" s="276"/>
      <c r="F48" s="281"/>
      <c r="G48" s="278" t="s">
        <v>2405</v>
      </c>
    </row>
    <row r="49" spans="1:7" ht="16.5" customHeight="1">
      <c r="A49" s="299" t="s">
        <v>2371</v>
      </c>
      <c r="B49" s="254" t="s">
        <v>2445</v>
      </c>
      <c r="C49" s="276">
        <f ca="1">ROUND((C33+C39+C41+C45)/(1-C40-D41-D45-C48),0)</f>
        <v>128404043</v>
      </c>
      <c r="D49" s="276"/>
      <c r="E49" s="276"/>
      <c r="F49" s="308"/>
      <c r="G49" s="278" t="s">
        <v>2407</v>
      </c>
    </row>
    <row r="50" spans="1:7" s="302" customFormat="1">
      <c r="A50" s="299" t="s">
        <v>2408</v>
      </c>
      <c r="B50" s="254" t="s">
        <v>2409</v>
      </c>
      <c r="C50" s="276"/>
      <c r="D50" s="276"/>
      <c r="E50" s="276"/>
      <c r="F50" s="308">
        <f>IF('数据-取费表'!B24=0,'数据-取费表'!N16,1)</f>
        <v>1</v>
      </c>
      <c r="G50" s="291"/>
    </row>
    <row r="51" spans="1:7" ht="16.5" customHeight="1">
      <c r="A51" s="299" t="s">
        <v>2411</v>
      </c>
      <c r="B51" s="254" t="s">
        <v>2446</v>
      </c>
      <c r="C51" s="276">
        <f ca="1">ROUND(C49*F50,0)</f>
        <v>128404043</v>
      </c>
      <c r="D51" s="276"/>
      <c r="E51" s="276"/>
      <c r="F51" s="308"/>
      <c r="G51" s="278" t="s">
        <v>2413</v>
      </c>
    </row>
    <row r="52" spans="1:7" s="252" customFormat="1" ht="16.5" thickBot="1">
      <c r="A52" s="309" t="s">
        <v>2414</v>
      </c>
      <c r="B52" s="310"/>
      <c r="C52" s="311">
        <f ca="1">C31+C51</f>
        <v>147436205</v>
      </c>
      <c r="D52" s="310"/>
      <c r="E52" s="310"/>
      <c r="F52" s="310"/>
      <c r="G52" s="312"/>
    </row>
    <row r="55" spans="1:7" ht="15">
      <c r="B55" s="314" t="s">
        <v>2415</v>
      </c>
      <c r="C55" s="315"/>
    </row>
    <row r="56" spans="1:7">
      <c r="B56" s="317" t="s">
        <v>1513</v>
      </c>
      <c r="C56" s="319">
        <f ca="1">1-C57</f>
        <v>0.129</v>
      </c>
    </row>
    <row r="57" spans="1:7">
      <c r="B57" s="317" t="s">
        <v>1514</v>
      </c>
      <c r="C57" s="318">
        <f ca="1">ROUND(C51/C52,3)</f>
        <v>0.871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4"/>
      <c r="C1" s="1585" t="s">
        <v>3075</v>
      </c>
      <c r="D1" s="1583"/>
      <c r="E1" s="320"/>
      <c r="F1" s="320"/>
      <c r="G1" s="1584"/>
      <c r="H1" s="320"/>
      <c r="I1" s="320"/>
      <c r="J1" s="320"/>
      <c r="K1" s="320">
        <f>MATCH(C1,'数据-取费表'!A6:A16,0)+5</f>
        <v>6</v>
      </c>
    </row>
    <row r="2" spans="1:33" ht="18" customHeight="1">
      <c r="A2" s="245" t="s">
        <v>2315</v>
      </c>
      <c r="B2" s="248">
        <f ca="1">C32</f>
        <v>19053</v>
      </c>
      <c r="C2" s="320" t="s">
        <v>2448</v>
      </c>
      <c r="D2" s="320"/>
      <c r="E2" s="320"/>
      <c r="F2" s="320"/>
      <c r="G2" s="320"/>
      <c r="H2" s="320"/>
      <c r="I2" s="320"/>
      <c r="J2" s="320"/>
      <c r="K2" s="320"/>
    </row>
    <row r="3" spans="1:33" ht="18" customHeight="1" thickBot="1">
      <c r="A3" s="247" t="s">
        <v>2317</v>
      </c>
      <c r="B3" s="248">
        <f ca="1">ROUND(B2*10000/IF(C1="",'数据-汇总表'!E3,INDIRECT("'数据-取费表'!K"&amp;$K$1)),0)</f>
        <v>5470</v>
      </c>
      <c r="C3" s="320" t="s">
        <v>2449</v>
      </c>
      <c r="D3" s="320"/>
      <c r="E3" s="320"/>
      <c r="F3" s="320"/>
      <c r="G3" s="320"/>
      <c r="H3" s="320"/>
      <c r="I3" s="320"/>
      <c r="J3" s="320"/>
      <c r="K3" s="320"/>
    </row>
    <row r="4" spans="1:33" s="959" customFormat="1" ht="16.5" customHeight="1">
      <c r="A4" s="956" t="s">
        <v>2450</v>
      </c>
      <c r="B4" s="957"/>
      <c r="C4" s="999">
        <f ca="1">SUM(C8:K8)</f>
        <v>22264</v>
      </c>
      <c r="D4" s="957"/>
      <c r="E4" s="957"/>
      <c r="F4" s="957"/>
      <c r="G4" s="957"/>
      <c r="H4" s="957"/>
      <c r="I4" s="957"/>
      <c r="J4" s="957"/>
      <c r="K4" s="958"/>
    </row>
    <row r="5" spans="1:33" s="963" customFormat="1" ht="24.75">
      <c r="A5" s="960" t="s">
        <v>2451</v>
      </c>
      <c r="B5" s="961" t="s">
        <v>2452</v>
      </c>
      <c r="C5" s="2556" t="s">
        <v>3075</v>
      </c>
      <c r="D5" s="2556" t="s">
        <v>2453</v>
      </c>
      <c r="E5" s="2556" t="s">
        <v>2454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2455</v>
      </c>
      <c r="C6" s="965">
        <f ca="1">收益法!B3</f>
        <v>6392</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2456</v>
      </c>
      <c r="B7" s="140" t="s">
        <v>2457</v>
      </c>
      <c r="C7" s="321">
        <f>SUMIF('数据-汇总表'!$C19:$C33,假设开发法!C5,'数据-汇总表'!$E19:$E33)</f>
        <v>34832.270000000004</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2458</v>
      </c>
      <c r="B8" s="177" t="s">
        <v>2459</v>
      </c>
      <c r="C8" s="1000">
        <f ca="1">收益法!B2</f>
        <v>22264</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2460</v>
      </c>
      <c r="B9" s="957"/>
      <c r="C9" s="957"/>
      <c r="D9" s="957"/>
      <c r="E9" s="957"/>
      <c r="F9" s="957"/>
      <c r="G9" s="957"/>
      <c r="H9" s="957"/>
      <c r="I9" s="957"/>
      <c r="J9" s="957"/>
      <c r="K9" s="958"/>
    </row>
    <row r="10" spans="1:33" s="973" customFormat="1" ht="13.5" customHeight="1">
      <c r="A10" s="960" t="s">
        <v>2461</v>
      </c>
      <c r="B10" s="8" t="s">
        <v>2462</v>
      </c>
      <c r="C10" s="969" t="s">
        <v>2463</v>
      </c>
      <c r="D10" s="970" t="s">
        <v>2464</v>
      </c>
      <c r="E10" s="970" t="s">
        <v>2465</v>
      </c>
      <c r="F10" s="970" t="s">
        <v>2466</v>
      </c>
      <c r="G10" s="8"/>
      <c r="H10" s="971"/>
      <c r="I10" s="971"/>
      <c r="J10" s="971"/>
      <c r="K10" s="972"/>
    </row>
    <row r="11" spans="1:33" s="978" customFormat="1" ht="13.5" customHeight="1">
      <c r="A11" s="974" t="s">
        <v>1334</v>
      </c>
      <c r="B11" s="975" t="s">
        <v>2467</v>
      </c>
      <c r="C11" s="323">
        <f ca="1">IF(C1="",'数据-取费表'!P16,INDIRECT("'数据-取费表'!p"&amp;$K$1)+INDIRECT("'数据-取费表'!ar"&amp;$K$1))</f>
        <v>835</v>
      </c>
      <c r="D11" s="976"/>
      <c r="E11" s="375"/>
      <c r="F11" s="977">
        <f ca="1">1-IF('数据-取费表'!B24=0,1,IF(C1="",'数据-取费表'!N16,INDIRECT("'数据-取费表'!n"&amp;$K$1)))</f>
        <v>5.0000000000000044E-2</v>
      </c>
      <c r="G11" s="8"/>
      <c r="H11" s="971"/>
      <c r="I11" s="971"/>
      <c r="J11" s="971"/>
      <c r="K11" s="972"/>
    </row>
    <row r="12" spans="1:33" s="978" customFormat="1" ht="13.5" customHeight="1">
      <c r="A12" s="974" t="s">
        <v>1335</v>
      </c>
      <c r="B12" s="975" t="s">
        <v>2468</v>
      </c>
      <c r="C12" s="24">
        <f ca="1">ROUND(C11*F12,0)</f>
        <v>25</v>
      </c>
      <c r="D12" s="976"/>
      <c r="E12" s="375"/>
      <c r="F12" s="979">
        <f>'数据-取费表'!B33</f>
        <v>0.03</v>
      </c>
      <c r="G12" s="8" t="s">
        <v>2469</v>
      </c>
      <c r="H12" s="971"/>
      <c r="I12" s="971"/>
      <c r="J12" s="971"/>
      <c r="K12" s="972"/>
    </row>
    <row r="13" spans="1:33" s="978" customFormat="1" ht="13.5" customHeight="1">
      <c r="A13" s="974" t="s">
        <v>1336</v>
      </c>
      <c r="B13" s="975" t="s">
        <v>2470</v>
      </c>
      <c r="C13" s="24">
        <f ca="1">ROUND(IF(C1="",SUMIF('数据-取费表'!C:C,"住宅",'数据-取费表'!P:P)*F13,IF(INDIRECT("'数据-取费表'!c"&amp;$K$1)="住宅",INDIRECT("'数据-取费表'!P"&amp;$K$1)*F13,0)),0)</f>
        <v>0</v>
      </c>
      <c r="D13" s="1036"/>
      <c r="E13" s="375"/>
      <c r="F13" s="979">
        <f>'数据-取费表'!B34</f>
        <v>0</v>
      </c>
      <c r="G13" s="8" t="s">
        <v>2471</v>
      </c>
      <c r="H13" s="971"/>
      <c r="I13" s="971"/>
      <c r="J13" s="971"/>
      <c r="K13" s="972"/>
    </row>
    <row r="14" spans="1:33" s="980" customFormat="1" ht="13.5" customHeight="1">
      <c r="A14" s="974" t="s">
        <v>1337</v>
      </c>
      <c r="B14" s="975" t="s">
        <v>2472</v>
      </c>
      <c r="C14" s="24">
        <f ca="1">ROUND(D14*E14*F11/10000,0)</f>
        <v>37</v>
      </c>
      <c r="D14" s="1036">
        <f ca="1">IF(C1="",'数据-汇总表'!E3,INDIRECT("'数据-取费表'!K"&amp;$K$1)+INDIRECT("'数据-取费表'!S"&amp;$K$1))</f>
        <v>36832.270000000004</v>
      </c>
      <c r="E14" s="24">
        <f>'数据-取费表'!B35</f>
        <v>200</v>
      </c>
      <c r="F14" s="979"/>
      <c r="G14" s="8" t="s">
        <v>2473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2474</v>
      </c>
      <c r="C15" s="986">
        <f ca="1">ROUND(C11*F15,0)</f>
        <v>13</v>
      </c>
      <c r="D15" s="981"/>
      <c r="E15" s="986"/>
      <c r="F15" s="987">
        <f>'数据-取费表'!B36</f>
        <v>1.4999999999999999E-2</v>
      </c>
      <c r="G15" s="140" t="s">
        <v>2475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2476</v>
      </c>
      <c r="C16" s="986">
        <f ca="1">SUM(C11:C15)</f>
        <v>910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2477</v>
      </c>
      <c r="C17" s="24">
        <f ca="1">ROUND(D17*E17/10000,0)</f>
        <v>0</v>
      </c>
      <c r="D17" s="1036">
        <f ca="1">D14</f>
        <v>36832.270000000004</v>
      </c>
      <c r="E17" s="24">
        <f>'数据-取费表'!B32</f>
        <v>0</v>
      </c>
      <c r="F17" s="981"/>
      <c r="G17" s="140" t="s">
        <v>2478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2479</v>
      </c>
      <c r="C18" s="24">
        <f ca="1">C19+C20-IF(C1="",'数据-取费表'!B29,IF(G18="已全部缴纳",C19+C20,H18))</f>
        <v>0</v>
      </c>
      <c r="D18" s="1036"/>
      <c r="E18" s="24"/>
      <c r="F18" s="979"/>
      <c r="G18" s="2558" t="s">
        <v>3203</v>
      </c>
      <c r="H18" s="1580">
        <v>737</v>
      </c>
      <c r="I18" s="2559" t="s">
        <v>2480</v>
      </c>
      <c r="J18" s="982"/>
      <c r="K18" s="983"/>
    </row>
    <row r="19" spans="1:33" s="978" customFormat="1" ht="13.5" customHeight="1">
      <c r="A19" s="974" t="s">
        <v>805</v>
      </c>
      <c r="B19" s="975" t="s">
        <v>2481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2482</v>
      </c>
      <c r="C20" s="24">
        <f ca="1">ROUND(D20*E20/10000,0)</f>
        <v>737</v>
      </c>
      <c r="D20" s="1036">
        <f ca="1">IF(C1="",'数据-汇总表'!E6,IF(INDIRECT("'数据-取费表'!c"&amp;$K$1)="住宅",INDIRECT("'数据-取费表'!s"&amp;$K$1),INDIRECT("'数据-取费表'!k"&amp;$K$1)+INDIRECT("'数据-取费表'!s"&amp;$K$1)))</f>
        <v>36832.270000000004</v>
      </c>
      <c r="E20" s="24">
        <f>'数据-取费表'!B28</f>
        <v>200</v>
      </c>
      <c r="F20" s="979"/>
      <c r="G20" s="15"/>
      <c r="H20" s="984"/>
      <c r="I20" s="984"/>
      <c r="J20" s="984"/>
      <c r="K20" s="985"/>
    </row>
    <row r="21" spans="1:33" s="978" customFormat="1" ht="13.5" customHeight="1">
      <c r="A21" s="964" t="s">
        <v>802</v>
      </c>
      <c r="B21" s="988" t="s">
        <v>2483</v>
      </c>
      <c r="C21" s="989">
        <f ca="1">C16+C17+C18</f>
        <v>910</v>
      </c>
      <c r="D21" s="990"/>
      <c r="E21" s="325"/>
      <c r="F21" s="325"/>
      <c r="G21" s="140" t="s">
        <v>2484</v>
      </c>
      <c r="H21" s="982"/>
      <c r="I21" s="982"/>
      <c r="J21" s="982"/>
      <c r="K21" s="983"/>
    </row>
    <row r="22" spans="1:33" s="978" customFormat="1" ht="13.5" customHeight="1">
      <c r="A22" s="964" t="s">
        <v>2456</v>
      </c>
      <c r="B22" s="988" t="s">
        <v>2485</v>
      </c>
      <c r="C22" s="989">
        <f ca="1">ROUND(C21*F22,0)</f>
        <v>18</v>
      </c>
      <c r="D22" s="325"/>
      <c r="E22" s="325"/>
      <c r="F22" s="991">
        <f>'数据-取费表'!B37</f>
        <v>0.02</v>
      </c>
      <c r="G22" s="8" t="s">
        <v>2486</v>
      </c>
      <c r="H22" s="971"/>
      <c r="I22" s="971"/>
      <c r="J22" s="971"/>
      <c r="K22" s="972"/>
    </row>
    <row r="23" spans="1:33" s="978" customFormat="1" ht="13.5" customHeight="1">
      <c r="A23" s="964" t="s">
        <v>2458</v>
      </c>
      <c r="B23" s="988" t="s">
        <v>2487</v>
      </c>
      <c r="C23" s="989">
        <f ca="1">ROUND(C4*F23*F11,0)</f>
        <v>22</v>
      </c>
      <c r="D23" s="325"/>
      <c r="E23" s="325"/>
      <c r="F23" s="991">
        <f>'数据-取费表'!B38</f>
        <v>0.02</v>
      </c>
      <c r="G23" s="8" t="s">
        <v>2488</v>
      </c>
      <c r="H23" s="971"/>
      <c r="I23" s="971"/>
      <c r="J23" s="971"/>
      <c r="K23" s="972"/>
    </row>
    <row r="24" spans="1:33" s="978" customFormat="1" ht="13.5" customHeight="1">
      <c r="A24" s="964" t="s">
        <v>2489</v>
      </c>
      <c r="B24" s="988" t="s">
        <v>2490</v>
      </c>
      <c r="C24" s="324">
        <f>ROUND(F24/(1+'数据-取费表'!C42),4)</f>
        <v>2.9000000000000001E-2</v>
      </c>
      <c r="D24" s="325" t="s">
        <v>15</v>
      </c>
      <c r="E24" s="325"/>
      <c r="F24" s="991">
        <f>'数据-取费表'!B48+'数据-取费表'!B49</f>
        <v>3.0499999999999999E-2</v>
      </c>
      <c r="G24" s="8" t="s">
        <v>2491</v>
      </c>
      <c r="H24" s="993"/>
      <c r="I24" s="993"/>
      <c r="J24" s="993"/>
      <c r="K24" s="994"/>
    </row>
    <row r="25" spans="1:33" s="978" customFormat="1" ht="13.5" customHeight="1">
      <c r="A25" s="964" t="s">
        <v>2492</v>
      </c>
      <c r="B25" s="990" t="s">
        <v>2493</v>
      </c>
      <c r="C25" s="1359">
        <f ca="1">C27</f>
        <v>4</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2494</v>
      </c>
      <c r="C26" s="1360">
        <f ca="1">ROUND(IF('数据-取费表'!B22&lt;=1,(1+C24)*F25*'数据-取费表'!B24,(1+C24)*(POWER((1+F25),'数据-取费表'!B24)-1)),4)</f>
        <v>9.5999999999999992E-3</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2495</v>
      </c>
      <c r="C27" s="1361">
        <f ca="1">ROUND(IF('数据-取费表'!B22&lt;=1,(C21+C22+C23)*F25*'数据-取费表'!B24/2,(C21+C22+C23)*(POWER((1+F25),'数据-取费表'!B24/2)-1)),0)</f>
        <v>4</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2496</v>
      </c>
      <c r="B28" s="2561" t="s">
        <v>2497</v>
      </c>
      <c r="C28" s="331">
        <f ca="1">C30</f>
        <v>95</v>
      </c>
      <c r="D28" s="324">
        <f ca="1">C29</f>
        <v>1.37E-2</v>
      </c>
      <c r="E28" s="326" t="s">
        <v>15</v>
      </c>
      <c r="F28" s="332">
        <f ca="1">IF(C1="",'数据-取费表'!Q16,INDIRECT("'数据-取费表'!q"&amp;$K$1))</f>
        <v>0.1</v>
      </c>
      <c r="G28" s="992"/>
      <c r="H28" s="993"/>
      <c r="I28" s="993"/>
      <c r="J28" s="993"/>
      <c r="K28" s="994"/>
    </row>
    <row r="29" spans="1:33" s="335" customFormat="1" ht="13.5" customHeight="1">
      <c r="A29" s="974" t="s">
        <v>803</v>
      </c>
      <c r="B29" s="997" t="s">
        <v>2498</v>
      </c>
      <c r="C29" s="328">
        <f ca="1">ROUND((1+C24)*F28*'数据-取费表'!B24/'数据-取费表'!B20,4)</f>
        <v>1.37E-2</v>
      </c>
      <c r="D29" s="328"/>
      <c r="E29" s="329"/>
      <c r="F29" s="334"/>
      <c r="G29" s="140" t="s">
        <v>2499</v>
      </c>
      <c r="H29" s="982"/>
      <c r="I29" s="982"/>
      <c r="J29" s="982"/>
      <c r="K29" s="983"/>
    </row>
    <row r="30" spans="1:33" s="335" customFormat="1" ht="13.5" customHeight="1">
      <c r="A30" s="974" t="s">
        <v>804</v>
      </c>
      <c r="B30" s="997" t="s">
        <v>2500</v>
      </c>
      <c r="C30" s="336">
        <f ca="1">ROUND((C21+C22+C23)*F28,0)</f>
        <v>95</v>
      </c>
      <c r="D30" s="328"/>
      <c r="E30" s="329"/>
      <c r="F30" s="334"/>
      <c r="G30" s="140"/>
      <c r="H30" s="982"/>
      <c r="I30" s="982"/>
      <c r="J30" s="982"/>
      <c r="K30" s="983"/>
    </row>
    <row r="31" spans="1:33" s="978" customFormat="1" ht="13.5" customHeight="1" thickBot="1">
      <c r="A31" s="2562" t="s">
        <v>2501</v>
      </c>
      <c r="B31" s="1008" t="s">
        <v>2502</v>
      </c>
      <c r="C31" s="1009">
        <f ca="1">ROUND(C4*F31/(1+'数据-取费表'!C42),0)</f>
        <v>1166</v>
      </c>
      <c r="D31" s="1010"/>
      <c r="E31" s="1011"/>
      <c r="F31" s="1012">
        <f>'数据-取费表'!B41</f>
        <v>5.5000000000000007E-2</v>
      </c>
      <c r="G31" s="1013" t="s">
        <v>2503</v>
      </c>
      <c r="H31" s="1014"/>
      <c r="I31" s="1014"/>
      <c r="J31" s="1014"/>
      <c r="K31" s="1015"/>
    </row>
    <row r="32" spans="1:33" s="973" customFormat="1" ht="13.5" customHeight="1" thickBot="1">
      <c r="A32" s="1003" t="s">
        <v>2504</v>
      </c>
      <c r="B32" s="1004"/>
      <c r="C32" s="1005">
        <f ca="1">ROUND((C4-C21-C22-C23-C25-C28-C31)/(1+C24+D25+D28),0)</f>
        <v>19053</v>
      </c>
      <c r="D32" s="1004"/>
      <c r="E32" s="1004"/>
      <c r="F32" s="1004"/>
      <c r="G32" s="1006" t="s">
        <v>2505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6" zoomScaleNormal="96" zoomScaleSheetLayoutView="90" workbookViewId="0">
      <selection activeCell="I42" sqref="I4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3075</v>
      </c>
      <c r="D1" s="1823" t="s">
        <v>3204</v>
      </c>
      <c r="E1" s="1824" t="s">
        <v>1387</v>
      </c>
      <c r="F1" s="1286">
        <f ca="1">J53</f>
        <v>45.04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22264</v>
      </c>
      <c r="C2" s="1848" t="s">
        <v>1516</v>
      </c>
      <c r="D2" s="1848"/>
      <c r="E2" s="1849"/>
      <c r="F2" s="1850"/>
      <c r="G2" s="1851"/>
      <c r="H2" s="1843"/>
      <c r="I2" s="1843"/>
      <c r="J2" s="1843"/>
      <c r="K2" s="1844"/>
      <c r="L2" s="1843"/>
      <c r="M2" s="1843"/>
    </row>
    <row r="3" spans="1:37" ht="18" customHeight="1" thickBot="1">
      <c r="A3" s="1852" t="s">
        <v>1517</v>
      </c>
      <c r="B3" s="1853">
        <f ca="1">IF(ISERROR(B2*10000/F43),0,ROUND(B2*10000/F43,0))</f>
        <v>6392</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1375</v>
      </c>
      <c r="D5" s="1825" t="s">
        <v>1402</v>
      </c>
      <c r="E5" s="1296"/>
      <c r="F5" s="1297"/>
      <c r="G5" s="1854"/>
      <c r="H5" s="344">
        <v>1</v>
      </c>
      <c r="I5" s="345" t="s">
        <v>1401</v>
      </c>
      <c r="J5" s="1295">
        <f ca="1">J6+J10+J12</f>
        <v>0</v>
      </c>
      <c r="K5" s="1825" t="s">
        <v>1402</v>
      </c>
      <c r="L5" s="1296"/>
      <c r="M5" s="1297"/>
    </row>
    <row r="6" spans="1:37" ht="18" customHeight="1">
      <c r="A6" s="1294" t="s">
        <v>1035</v>
      </c>
      <c r="B6" s="3171" t="s">
        <v>1403</v>
      </c>
      <c r="C6" s="1299">
        <f ca="1">ROUND(F6*F8*F7*(1-F9)/10000,0)</f>
        <v>1373</v>
      </c>
      <c r="D6" s="164" t="s">
        <v>3017</v>
      </c>
      <c r="E6" s="347" t="s">
        <v>1405</v>
      </c>
      <c r="F6" s="348">
        <f ca="1">INDIRECT("'数据-取费表'!u"&amp;$G$1)</f>
        <v>1.2</v>
      </c>
      <c r="G6" s="1854"/>
      <c r="H6" s="1294" t="s">
        <v>1035</v>
      </c>
      <c r="I6" s="3171" t="s">
        <v>1403</v>
      </c>
      <c r="J6" s="346">
        <f ca="1">ROUND(M6*M8*M7*(1-M9)/10000,0)</f>
        <v>0</v>
      </c>
      <c r="K6" s="164" t="s">
        <v>3016</v>
      </c>
      <c r="L6" s="347" t="s">
        <v>1405</v>
      </c>
      <c r="M6" s="348">
        <f ca="1">INDIRECT("'数据-取费表'!z"&amp;$G$1)</f>
        <v>0</v>
      </c>
    </row>
    <row r="7" spans="1:37" ht="18" customHeight="1">
      <c r="A7" s="1298"/>
      <c r="B7" s="3172"/>
      <c r="C7" s="1300"/>
      <c r="D7" s="352"/>
      <c r="E7" s="1301" t="s">
        <v>1406</v>
      </c>
      <c r="F7" s="348">
        <f ca="1">IF(INDIRECT("'数据-取费表'!ah"&amp;$G$1)="",INDIRECT("'数据-取费表'!k"&amp;$G$1),INDIRECT("'数据-取费表'!ah"&amp;$G$1))</f>
        <v>34832.270000000004</v>
      </c>
      <c r="G7" s="1854"/>
      <c r="H7" s="349"/>
      <c r="I7" s="3172"/>
      <c r="J7" s="351"/>
      <c r="K7" s="352"/>
      <c r="L7" s="347" t="s">
        <v>1406</v>
      </c>
      <c r="M7" s="348">
        <f ca="1">F7</f>
        <v>34832.270000000004</v>
      </c>
    </row>
    <row r="8" spans="1:37" ht="18" customHeight="1">
      <c r="A8" s="349"/>
      <c r="B8" s="3172"/>
      <c r="C8" s="351"/>
      <c r="D8" s="352"/>
      <c r="E8" s="347" t="s">
        <v>1407</v>
      </c>
      <c r="F8" s="348">
        <f ca="1">INDIRECT("'数据-取费表'!ai"&amp;$G$1)</f>
        <v>365</v>
      </c>
      <c r="G8" s="1854"/>
      <c r="H8" s="349"/>
      <c r="I8" s="3172"/>
      <c r="J8" s="351"/>
      <c r="K8" s="352"/>
      <c r="L8" s="347" t="s">
        <v>1407</v>
      </c>
      <c r="M8" s="348">
        <f ca="1">INDIRECT("'数据-取费表'!ai"&amp;$G$1)</f>
        <v>365</v>
      </c>
    </row>
    <row r="9" spans="1:37" ht="18" customHeight="1">
      <c r="A9" s="349"/>
      <c r="B9" s="3173"/>
      <c r="C9" s="351"/>
      <c r="D9" s="352"/>
      <c r="E9" s="347" t="s">
        <v>1408</v>
      </c>
      <c r="F9" s="357">
        <f ca="1">INDIRECT("'数据-取费表'!w"&amp;$G$1)</f>
        <v>0.1</v>
      </c>
      <c r="G9" s="1854"/>
      <c r="H9" s="349"/>
      <c r="I9" s="3173"/>
      <c r="J9" s="351"/>
      <c r="K9" s="352"/>
      <c r="L9" s="358" t="s">
        <v>1408</v>
      </c>
      <c r="M9" s="359">
        <f ca="1">INDIRECT("'数据-取费表'!ab"&amp;$G$1)</f>
        <v>0</v>
      </c>
    </row>
    <row r="10" spans="1:37" ht="18" customHeight="1">
      <c r="A10" s="1294" t="s">
        <v>1039</v>
      </c>
      <c r="B10" s="1826" t="s">
        <v>1409</v>
      </c>
      <c r="C10" s="361">
        <f ca="1">ROUND(IF(F10="押一",C6/12*F11,IF(F10="押二",C6/12*2*F11,IF(F10="押三",C6/12*3*F11,C11*F11))),0)</f>
        <v>2</v>
      </c>
      <c r="D10" s="1827" t="s">
        <v>3026</v>
      </c>
      <c r="E10" s="358" t="s">
        <v>1410</v>
      </c>
      <c r="F10" s="1369" t="s">
        <v>3206</v>
      </c>
      <c r="G10" s="1854"/>
      <c r="H10" s="1294" t="s">
        <v>1039</v>
      </c>
      <c r="I10" s="1826" t="s">
        <v>1409</v>
      </c>
      <c r="J10" s="346">
        <f ca="1">ROUND(IF(M10="押一",J6/12*M11,IF(M10="押二",J6/12*2*M11,IF(M10="押三",J6/12*3*M11,J11*M11))),0)</f>
        <v>0</v>
      </c>
      <c r="K10" s="1827" t="s">
        <v>3025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12840</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9108</v>
      </c>
      <c r="D14" s="1803" t="s">
        <v>1418</v>
      </c>
      <c r="E14" s="1797"/>
      <c r="F14" s="364"/>
      <c r="G14" s="1854"/>
      <c r="H14" s="1204" t="s">
        <v>1035</v>
      </c>
      <c r="I14" s="347" t="s">
        <v>1419</v>
      </c>
      <c r="J14" s="24">
        <f ca="1">C29</f>
        <v>12840</v>
      </c>
      <c r="K14" s="15"/>
      <c r="L14" s="982"/>
      <c r="M14" s="983"/>
    </row>
    <row r="15" spans="1:37" s="1861" customFormat="1" ht="18" customHeight="1" thickBot="1">
      <c r="A15" s="1204" t="s">
        <v>1036</v>
      </c>
      <c r="B15" s="347" t="s">
        <v>1420</v>
      </c>
      <c r="C15" s="24">
        <f ca="1">ROUND(C14*F15,0)</f>
        <v>273</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137</v>
      </c>
      <c r="K16" s="1340" t="s">
        <v>1425</v>
      </c>
      <c r="L16" s="1341"/>
      <c r="M16" s="1297"/>
    </row>
    <row r="17" spans="1:37" s="1861" customFormat="1" ht="18" customHeight="1">
      <c r="A17" s="1204" t="s">
        <v>1390</v>
      </c>
      <c r="B17" s="347" t="s">
        <v>1426</v>
      </c>
      <c r="C17" s="24">
        <f ca="1">ROUND(F17*(F43+INDIRECT("'数据-取费表'!S"&amp;$G$1))/10000,0)</f>
        <v>737</v>
      </c>
      <c r="D17" s="347" t="s">
        <v>1427</v>
      </c>
      <c r="E17" s="347" t="s">
        <v>1428</v>
      </c>
      <c r="F17" s="26">
        <f>'数据-取费表'!B35</f>
        <v>200</v>
      </c>
      <c r="G17" s="1857"/>
      <c r="H17" s="1204" t="s">
        <v>1035</v>
      </c>
      <c r="I17" s="347" t="s">
        <v>1429</v>
      </c>
      <c r="J17" s="24">
        <f ca="1">ROUND(IF(项目基本情况!B11="自然人",J5*M17,J18+J19+J20),1)</f>
        <v>111.4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137</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10255</v>
      </c>
      <c r="D19" s="140" t="s">
        <v>1436</v>
      </c>
      <c r="E19" s="1821"/>
      <c r="F19" s="26"/>
      <c r="G19" s="1854"/>
      <c r="H19" s="1204" t="s">
        <v>1036</v>
      </c>
      <c r="I19" s="347" t="s">
        <v>1437</v>
      </c>
      <c r="J19" s="24">
        <f ca="1">IF(K19="按租金收入计税",ROUND(J5*M19,2),ROUND(C29*M19*0.7,2))</f>
        <v>107.86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205</v>
      </c>
      <c r="D20" s="369" t="s">
        <v>1440</v>
      </c>
      <c r="E20" s="347" t="s">
        <v>1422</v>
      </c>
      <c r="F20" s="367">
        <f>'数据-取费表'!B37</f>
        <v>0.02</v>
      </c>
      <c r="G20" s="1857"/>
      <c r="H20" s="1204" t="s">
        <v>1389</v>
      </c>
      <c r="I20" s="164" t="s">
        <v>1441</v>
      </c>
      <c r="J20" s="25">
        <f ca="1">ROUND(M20*M21/10000,2)</f>
        <v>3.5</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23303.32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25.7</v>
      </c>
      <c r="K22" s="1801" t="s">
        <v>1450</v>
      </c>
      <c r="L22" s="347" t="s">
        <v>1422</v>
      </c>
      <c r="M22" s="374">
        <f ca="1">INDIRECT("'数据-取费表'!Ak"&amp;$G$1)</f>
        <v>2E-3</v>
      </c>
    </row>
    <row r="23" spans="1:37" s="1861" customFormat="1" ht="18" customHeight="1">
      <c r="A23" s="1204" t="s">
        <v>1034</v>
      </c>
      <c r="B23" s="347" t="s">
        <v>1451</v>
      </c>
      <c r="C23" s="24">
        <f ca="1">IF('数据-取费表'!B22&lt;=1,ROUND(C19*F24*F23/2,0)+ROUND(C20*F24*F23/2,0),ROUND(C19*(POWER((1+F24),F23/2)-1),0)+ROUND(C20*(POWER((1+F24),F23/2)-1),0))</f>
        <v>370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2.5000000000000001E-4</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-137</v>
      </c>
      <c r="K25" s="1348" t="s">
        <v>1464</v>
      </c>
      <c r="L25" s="1349"/>
      <c r="M25" s="1350"/>
    </row>
    <row r="26" spans="1:37">
      <c r="A26" s="1204" t="s">
        <v>1034</v>
      </c>
      <c r="B26" s="347" t="s">
        <v>1465</v>
      </c>
      <c r="C26" s="24">
        <f ca="1">ROUND((C19+C20)*F26,0)</f>
        <v>1046</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12840</v>
      </c>
      <c r="D29" s="1345"/>
      <c r="E29" s="1343"/>
      <c r="F29" s="1346"/>
      <c r="G29" s="1857"/>
      <c r="H29" s="380" t="s">
        <v>1033</v>
      </c>
      <c r="I29" s="381" t="s">
        <v>1479</v>
      </c>
      <c r="J29" s="382">
        <f ca="1">ROUND(J26/(1+F40)^F41,0)</f>
        <v>0</v>
      </c>
      <c r="K29" s="383" t="s">
        <v>1480</v>
      </c>
      <c r="L29" s="384"/>
      <c r="M29" s="385">
        <f ca="1">INDIRECT("'数据-取费表'!k"&amp;$G$1)</f>
        <v>34832.270000000004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297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240.5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72.02</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165</v>
      </c>
      <c r="D33" s="1831" t="s">
        <v>3205</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3.5</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23303.32</v>
      </c>
      <c r="G35" s="1854"/>
      <c r="H35" s="745"/>
      <c r="I35" s="1863"/>
      <c r="J35" s="1864"/>
      <c r="K35" s="1865"/>
      <c r="L35" s="1862"/>
      <c r="M35" s="1862"/>
    </row>
    <row r="36" spans="1:18" ht="18" customHeight="1">
      <c r="A36" s="1355" t="s">
        <v>1039</v>
      </c>
      <c r="B36" s="347" t="s">
        <v>1449</v>
      </c>
      <c r="C36" s="24">
        <f ca="1">ROUND(C29*F36,1)</f>
        <v>25.7</v>
      </c>
      <c r="D36" s="1801" t="s">
        <v>1482</v>
      </c>
      <c r="E36" s="347" t="s">
        <v>1422</v>
      </c>
      <c r="F36" s="374">
        <f ca="1">INDIRECT("'数据-取费表'!Ak"&amp;$G$1)</f>
        <v>2E-3</v>
      </c>
      <c r="G36" s="1854"/>
      <c r="H36" s="1862"/>
      <c r="I36" s="1863"/>
      <c r="J36" s="1864"/>
      <c r="K36" s="751"/>
      <c r="L36" s="1862"/>
      <c r="M36" s="1862"/>
    </row>
    <row r="37" spans="1:18" ht="18" customHeight="1">
      <c r="A37" s="1204" t="s">
        <v>1075</v>
      </c>
      <c r="B37" s="347" t="s">
        <v>1453</v>
      </c>
      <c r="C37" s="24">
        <f ca="1">ROUND(C13*F37,1)</f>
        <v>3.2</v>
      </c>
      <c r="D37" s="1801" t="s">
        <v>1454</v>
      </c>
      <c r="E37" s="347" t="s">
        <v>1455</v>
      </c>
      <c r="F37" s="376">
        <f ca="1">INDIRECT("'数据-取费表'!Al"&amp;$G$1)</f>
        <v>2.5000000000000001E-4</v>
      </c>
      <c r="G37" s="1854"/>
      <c r="H37" s="1862"/>
      <c r="I37" s="1863"/>
      <c r="J37" s="1864"/>
      <c r="K37" s="751"/>
      <c r="L37" s="1862"/>
      <c r="M37" s="1862"/>
    </row>
    <row r="38" spans="1:18" ht="18" customHeight="1" thickBot="1">
      <c r="A38" s="1342" t="s">
        <v>1393</v>
      </c>
      <c r="B38" s="1343" t="s">
        <v>1439</v>
      </c>
      <c r="C38" s="1344">
        <f ca="1">ROUND(C5*F38,1)</f>
        <v>27.5</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1078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22264</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45.04</v>
      </c>
      <c r="G41" s="1854"/>
      <c r="H41" s="732"/>
      <c r="I41" s="1863"/>
      <c r="J41" s="1864"/>
      <c r="K41" s="751"/>
      <c r="L41" s="732"/>
      <c r="M41" s="732"/>
    </row>
    <row r="42" spans="1:18" ht="18" customHeight="1">
      <c r="A42" s="353"/>
      <c r="B42" s="354"/>
      <c r="C42" s="355"/>
      <c r="D42" s="373"/>
      <c r="E42" s="347" t="s">
        <v>1477</v>
      </c>
      <c r="F42" s="357">
        <f ca="1">INDIRECT("'数据-取费表'!v"&amp;$G$1)</f>
        <v>0.01</v>
      </c>
      <c r="G42" s="1854"/>
      <c r="H42" s="732"/>
      <c r="I42" s="1863"/>
      <c r="J42" s="1864"/>
      <c r="K42" s="751"/>
      <c r="L42" s="732"/>
      <c r="M42" s="732"/>
    </row>
    <row r="43" spans="1:18" ht="18" customHeight="1" thickBot="1">
      <c r="A43" s="380" t="s">
        <v>1033</v>
      </c>
      <c r="B43" s="381" t="s">
        <v>1487</v>
      </c>
      <c r="C43" s="382">
        <f ca="1">ROUND(C40*10000/F43,0)</f>
        <v>6392</v>
      </c>
      <c r="D43" s="383" t="s">
        <v>1488</v>
      </c>
      <c r="E43" s="384" t="s">
        <v>1489</v>
      </c>
      <c r="F43" s="385">
        <f ca="1">INDIRECT("'数据-取费表'!k"&amp;$G$1)</f>
        <v>34832.270000000004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-42016</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3208</v>
      </c>
      <c r="K47" s="1885" t="s">
        <v>1527</v>
      </c>
      <c r="L47" s="1886">
        <f ca="1">INDIRECT("'数据-取费表'!d"&amp;$G$1)</f>
        <v>50</v>
      </c>
      <c r="M47" s="1841" t="str">
        <f>IF(ISNUMBER(FIND("住宅",C1)),"住宅","非住宅")</f>
        <v>非住宅</v>
      </c>
      <c r="O47" s="1887" t="s">
        <v>1040</v>
      </c>
      <c r="P47" s="1888" t="s">
        <v>1528</v>
      </c>
      <c r="Q47" s="1889">
        <f ca="1">C40+J29</f>
        <v>22264</v>
      </c>
      <c r="R47" s="1889" t="s">
        <v>1529</v>
      </c>
    </row>
    <row r="48" spans="1:18" s="1845" customFormat="1" ht="28.5" thickBot="1">
      <c r="A48" s="1363" t="s">
        <v>1135</v>
      </c>
      <c r="B48" s="345" t="s">
        <v>1401</v>
      </c>
      <c r="C48" s="1820">
        <f ca="1">C49+C53+C55</f>
        <v>0</v>
      </c>
      <c r="D48" s="1365"/>
      <c r="E48" s="1366"/>
      <c r="F48" s="1184"/>
      <c r="G48" s="792"/>
      <c r="H48" s="793"/>
      <c r="I48" s="1890" t="s">
        <v>1530</v>
      </c>
      <c r="J48" s="1891" t="s">
        <v>3209</v>
      </c>
      <c r="K48" s="1892" t="s">
        <v>1531</v>
      </c>
      <c r="L48" s="1893">
        <f ca="1">INDIRECT("'数据-取费表'!f"&amp;$G$1)</f>
        <v>45.24</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3018</v>
      </c>
      <c r="E49" s="1833" t="s">
        <v>1491</v>
      </c>
      <c r="F49" s="1284"/>
      <c r="G49" s="1894"/>
      <c r="H49" s="793"/>
      <c r="I49" s="1890" t="s">
        <v>1534</v>
      </c>
      <c r="J49" s="1895">
        <v>2018</v>
      </c>
      <c r="K49" s="1892" t="s">
        <v>1535</v>
      </c>
      <c r="L49" s="1896"/>
      <c r="O49" s="1897" t="s">
        <v>1042</v>
      </c>
      <c r="P49" s="1888" t="s">
        <v>1536</v>
      </c>
      <c r="Q49" s="1889">
        <f ca="1">C29</f>
        <v>12840</v>
      </c>
      <c r="R49" s="1889" t="s">
        <v>1529</v>
      </c>
    </row>
    <row r="50" spans="1:18" s="1845" customFormat="1" ht="13.5" thickBot="1">
      <c r="A50" s="1198"/>
      <c r="B50" s="1201"/>
      <c r="C50" s="1371"/>
      <c r="D50" s="1175"/>
      <c r="E50" s="1280" t="s">
        <v>1406</v>
      </c>
      <c r="F50" s="1281">
        <f ca="1">F7</f>
        <v>34832.270000000004</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-257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45.04</v>
      </c>
      <c r="R52" s="1889" t="s">
        <v>1546</v>
      </c>
    </row>
    <row r="53" spans="1:18" s="1845" customFormat="1" ht="24.75" thickBot="1">
      <c r="A53" s="1408" t="s">
        <v>1137</v>
      </c>
      <c r="B53" s="1834" t="s">
        <v>1409</v>
      </c>
      <c r="C53" s="361">
        <f ca="1">ROUND(IF(F53="押一",C49/12*F11,IF(F53="押二",C49/12*2*F11,IF(F53="押三",C49/12*3*F11,C54*F11))),0)</f>
        <v>0</v>
      </c>
      <c r="D53" s="1827" t="s">
        <v>3025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45.04</v>
      </c>
      <c r="K53" s="3169" t="s">
        <v>1548</v>
      </c>
      <c r="L53" s="3170"/>
      <c r="O53" s="1887" t="s">
        <v>1046</v>
      </c>
      <c r="P53" s="1888" t="s">
        <v>1549</v>
      </c>
      <c r="Q53" s="1889">
        <f ca="1">Q47+Q48</f>
        <v>22264</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12840</v>
      </c>
      <c r="D56" s="1917"/>
      <c r="E56" s="1918"/>
      <c r="F56" s="1910"/>
      <c r="I56" s="1919" t="s">
        <v>1554</v>
      </c>
      <c r="J56" s="1920" t="s">
        <v>3058</v>
      </c>
      <c r="K56" s="1890" t="s">
        <v>1555</v>
      </c>
      <c r="L56" s="1893" t="str">
        <f ca="1">IF(L48&lt;J51,"——",L48-J53)</f>
        <v>——</v>
      </c>
      <c r="O56" s="1887" t="s">
        <v>1040</v>
      </c>
      <c r="P56" s="1888" t="s">
        <v>1528</v>
      </c>
      <c r="Q56" s="1889">
        <f ca="1">C40+J29</f>
        <v>22264</v>
      </c>
      <c r="R56" s="1889" t="s">
        <v>1529</v>
      </c>
    </row>
    <row r="57" spans="1:18" s="1845" customFormat="1" ht="24.75" thickBot="1">
      <c r="A57" s="1921"/>
      <c r="B57" s="1172" t="s">
        <v>1478</v>
      </c>
      <c r="C57" s="282">
        <f ca="1">C29</f>
        <v>12840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1111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1082.0999999999999</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1078.56</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3.5</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22264</v>
      </c>
      <c r="R62" s="1889" t="s">
        <v>1047</v>
      </c>
    </row>
    <row r="63" spans="1:18" s="1845" customFormat="1" ht="13.5" thickBot="1">
      <c r="A63" s="372"/>
      <c r="B63" s="1178"/>
      <c r="C63" s="29"/>
      <c r="D63" s="1188"/>
      <c r="E63" s="1172" t="s">
        <v>1499</v>
      </c>
      <c r="F63" s="348">
        <f t="shared" ca="1" si="0"/>
        <v>23303.32</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25.7</v>
      </c>
      <c r="D64" s="1186" t="s">
        <v>1502</v>
      </c>
      <c r="E64" s="1172" t="s">
        <v>1494</v>
      </c>
      <c r="F64" s="374">
        <f t="shared" ca="1" si="0"/>
        <v>2E-3</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3.2</v>
      </c>
      <c r="D65" s="1186" t="s">
        <v>1454</v>
      </c>
      <c r="E65" s="1172" t="s">
        <v>1455</v>
      </c>
      <c r="F65" s="376">
        <f t="shared" ca="1" si="0"/>
        <v>2.5000000000000001E-4</v>
      </c>
      <c r="I65" s="1932" t="s">
        <v>1579</v>
      </c>
      <c r="J65" s="1933">
        <v>40</v>
      </c>
      <c r="K65" s="1933">
        <v>30</v>
      </c>
      <c r="L65" s="1933">
        <v>50</v>
      </c>
      <c r="M65" s="1935">
        <v>0.02</v>
      </c>
      <c r="O65" s="1887" t="s">
        <v>1040</v>
      </c>
      <c r="P65" s="1888" t="s">
        <v>1580</v>
      </c>
      <c r="Q65" s="1889">
        <f ca="1">C40+J29</f>
        <v>22264</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-1111</v>
      </c>
      <c r="D67" s="1185" t="s">
        <v>1464</v>
      </c>
      <c r="E67" s="1190"/>
      <c r="F67" s="1191"/>
      <c r="O67" s="1897" t="s">
        <v>1042</v>
      </c>
      <c r="P67" s="1888" t="s">
        <v>1562</v>
      </c>
      <c r="Q67" s="1936">
        <f ca="1">L51</f>
        <v>-257</v>
      </c>
      <c r="R67" s="1889" t="s">
        <v>1582</v>
      </c>
    </row>
    <row r="68" spans="1:18" s="1845" customFormat="1" ht="16.5" thickBot="1">
      <c r="A68" s="1169" t="s">
        <v>1032</v>
      </c>
      <c r="B68" s="1170" t="s">
        <v>1485</v>
      </c>
      <c r="C68" s="346">
        <f ca="1">ROUND(C67*(1-((1+F70)/(1+F68))^F69)/(F68-F70),0)</f>
        <v>-19752</v>
      </c>
      <c r="D68" s="1187" t="s">
        <v>1469</v>
      </c>
      <c r="E68" s="1172" t="s">
        <v>1470</v>
      </c>
      <c r="F68" s="357">
        <f ca="1">F40</f>
        <v>0.05</v>
      </c>
      <c r="O68" s="1897" t="s">
        <v>1043</v>
      </c>
      <c r="P68" s="1937" t="s">
        <v>1583</v>
      </c>
      <c r="Q68" s="1889">
        <f ca="1">ROUND(Q69-Q70*Q71,0)</f>
        <v>-13</v>
      </c>
      <c r="R68" s="1889" t="s">
        <v>1051</v>
      </c>
    </row>
    <row r="69" spans="1:18" s="1845" customFormat="1" ht="13.5" thickBot="1">
      <c r="A69" s="1173"/>
      <c r="B69" s="1174"/>
      <c r="C69" s="351"/>
      <c r="D69" s="1192" t="s">
        <v>1473</v>
      </c>
      <c r="E69" s="1172" t="s">
        <v>1474</v>
      </c>
      <c r="F69" s="379">
        <f ca="1">F41</f>
        <v>45.04</v>
      </c>
      <c r="O69" s="1897" t="s">
        <v>1048</v>
      </c>
      <c r="P69" s="1937" t="s">
        <v>1584</v>
      </c>
      <c r="Q69" s="1889">
        <f ca="1">C39</f>
        <v>1078</v>
      </c>
      <c r="R69" s="1889" t="s">
        <v>1529</v>
      </c>
    </row>
    <row r="70" spans="1:18" s="1845" customFormat="1" ht="13.5" thickBot="1">
      <c r="A70" s="1176"/>
      <c r="B70" s="1177"/>
      <c r="C70" s="355"/>
      <c r="D70" s="1188"/>
      <c r="E70" s="1172" t="s">
        <v>1477</v>
      </c>
      <c r="F70" s="1278"/>
      <c r="O70" s="1897" t="s">
        <v>1049</v>
      </c>
      <c r="P70" s="1937" t="s">
        <v>1585</v>
      </c>
      <c r="Q70" s="1889">
        <f ca="1">C13</f>
        <v>12840</v>
      </c>
      <c r="R70" s="1889" t="s">
        <v>1529</v>
      </c>
    </row>
    <row r="71" spans="1:18" s="1845" customFormat="1" ht="13.5" thickBot="1">
      <c r="A71" s="1193" t="s">
        <v>1033</v>
      </c>
      <c r="B71" s="1194" t="s">
        <v>1487</v>
      </c>
      <c r="C71" s="382">
        <f ca="1">ROUND(C68*10000/F71,0)</f>
        <v>-5671</v>
      </c>
      <c r="D71" s="1195" t="s">
        <v>1488</v>
      </c>
      <c r="E71" s="1196" t="s">
        <v>1489</v>
      </c>
      <c r="F71" s="385">
        <f ca="1">F43</f>
        <v>34832.270000000004</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1091</v>
      </c>
      <c r="D75" s="1845"/>
      <c r="E75" s="1845"/>
      <c r="F75" s="1845"/>
      <c r="K75" s="1871"/>
      <c r="L75" s="1845"/>
      <c r="O75" s="1887" t="s">
        <v>1046</v>
      </c>
      <c r="P75" s="1888" t="s">
        <v>1549</v>
      </c>
      <c r="Q75" s="1889">
        <f ca="1">Q65+Q66</f>
        <v>22264</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-1.2000000000000011E-2</v>
      </c>
    </row>
    <row r="80" spans="1:18">
      <c r="B80" s="386" t="s">
        <v>1511</v>
      </c>
      <c r="C80" s="318">
        <f ca="1">ROUND(C75/C39,3)</f>
        <v>1.012</v>
      </c>
    </row>
    <row r="81" spans="2:3">
      <c r="B81" s="314" t="s">
        <v>1512</v>
      </c>
      <c r="C81" s="282"/>
    </row>
    <row r="82" spans="2:3">
      <c r="B82" s="317" t="s">
        <v>1513</v>
      </c>
      <c r="C82" s="319">
        <f ca="1">1-C83</f>
        <v>0.42300000000000004</v>
      </c>
    </row>
    <row r="83" spans="2:3">
      <c r="B83" s="317" t="s">
        <v>1514</v>
      </c>
      <c r="C83" s="318">
        <f ca="1">ROUND(C13/C40,3)</f>
        <v>0.57699999999999996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49" sqref="B4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71" t="s">
        <v>1403</v>
      </c>
      <c r="C6" s="1299">
        <f ca="1">ROUND(F6*F8*F7*(1-F9),0)</f>
        <v>0</v>
      </c>
      <c r="D6" s="164" t="s">
        <v>3014</v>
      </c>
      <c r="E6" s="347" t="s">
        <v>1405</v>
      </c>
      <c r="F6" s="348">
        <f ca="1">INDIRECT("'数据-取费表'!u"&amp;$G$1)</f>
        <v>0</v>
      </c>
      <c r="G6" s="1854"/>
      <c r="H6" s="1294" t="s">
        <v>1035</v>
      </c>
      <c r="I6" s="3171" t="s">
        <v>1403</v>
      </c>
      <c r="J6" s="346">
        <f ca="1">ROUND(M6*M8*M7*(1-M9),0)</f>
        <v>0</v>
      </c>
      <c r="K6" s="1837" t="s">
        <v>3015</v>
      </c>
      <c r="L6" s="347" t="s">
        <v>1405</v>
      </c>
      <c r="M6" s="348">
        <f ca="1">INDIRECT("'数据-取费表'!z"&amp;$G$1)</f>
        <v>0</v>
      </c>
    </row>
    <row r="7" spans="1:37" ht="18" customHeight="1">
      <c r="A7" s="1298"/>
      <c r="B7" s="3172"/>
      <c r="C7" s="1300"/>
      <c r="D7" s="352"/>
      <c r="E7" s="1301" t="s">
        <v>1406</v>
      </c>
      <c r="F7" s="348">
        <f ca="1">IF(INDIRECT("'数据-取费表'!ah"&amp;$G$1)="",INDIRECT("'数据-取费表'!k"&amp;$G$1),INDIRECT("'数据-取费表'!ah"&amp;$G$1))</f>
        <v>0</v>
      </c>
      <c r="G7" s="1854"/>
      <c r="H7" s="349"/>
      <c r="I7" s="3172"/>
      <c r="J7" s="351"/>
      <c r="K7" s="352"/>
      <c r="L7" s="347" t="s">
        <v>1406</v>
      </c>
      <c r="M7" s="348">
        <f ca="1">F7</f>
        <v>0</v>
      </c>
    </row>
    <row r="8" spans="1:37" ht="18" customHeight="1">
      <c r="A8" s="349"/>
      <c r="B8" s="3172"/>
      <c r="C8" s="351"/>
      <c r="D8" s="352"/>
      <c r="E8" s="347" t="s">
        <v>1407</v>
      </c>
      <c r="F8" s="348">
        <f ca="1">INDIRECT("'数据-取费表'!ai"&amp;$G$1)</f>
        <v>0</v>
      </c>
      <c r="G8" s="1854"/>
      <c r="H8" s="349"/>
      <c r="I8" s="3172"/>
      <c r="J8" s="351"/>
      <c r="K8" s="352"/>
      <c r="L8" s="347" t="s">
        <v>1407</v>
      </c>
      <c r="M8" s="348">
        <f ca="1">INDIRECT("'数据-取费表'!ai"&amp;$G$1)</f>
        <v>0</v>
      </c>
    </row>
    <row r="9" spans="1:37" ht="18" customHeight="1">
      <c r="A9" s="349"/>
      <c r="B9" s="3173"/>
      <c r="C9" s="351"/>
      <c r="D9" s="352"/>
      <c r="E9" s="347" t="s">
        <v>1408</v>
      </c>
      <c r="F9" s="357">
        <f ca="1">INDIRECT("'数据-取费表'!w"&amp;$G$1)</f>
        <v>0</v>
      </c>
      <c r="G9" s="1854"/>
      <c r="H9" s="349"/>
      <c r="I9" s="317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3025</v>
      </c>
      <c r="E10" s="358" t="s">
        <v>1410</v>
      </c>
      <c r="F10" s="1369"/>
      <c r="G10" s="1854"/>
      <c r="H10" s="1294" t="s">
        <v>1039</v>
      </c>
      <c r="I10" s="1826" t="s">
        <v>1409</v>
      </c>
      <c r="J10" s="346">
        <f ca="1">ROUND(IF(M10="押一",J6/12*M11,IF(M10="押二",J6/12*2*M11,IF(M10="押三",J6/12*3*M11,J11*M11))),0)</f>
        <v>0</v>
      </c>
      <c r="K10" s="1838" t="s">
        <v>3027</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3028</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69" t="s">
        <v>1548</v>
      </c>
      <c r="L53" s="317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2513</v>
      </c>
      <c r="B1" s="2564"/>
      <c r="C1" s="2564"/>
      <c r="D1" s="2564"/>
      <c r="E1" s="2565"/>
    </row>
    <row r="2" spans="1:6" ht="15.75">
      <c r="A2" s="2566" t="s">
        <v>2315</v>
      </c>
      <c r="B2" s="2567">
        <f ca="1">SUMIF(B6:B13,"&lt;&gt;#ref!",B6:B13)</f>
        <v>22264</v>
      </c>
      <c r="C2" s="2568" t="s">
        <v>2506</v>
      </c>
      <c r="D2" s="2569" t="s">
        <v>2507</v>
      </c>
      <c r="E2" s="2570">
        <f>SUM(E6:E13)</f>
        <v>36832.270000000004</v>
      </c>
    </row>
    <row r="3" spans="1:6" ht="15.75">
      <c r="A3" s="2566" t="s">
        <v>1395</v>
      </c>
      <c r="B3" s="2567">
        <f ca="1">ROUND(B2*10000/E2,0)</f>
        <v>6045</v>
      </c>
      <c r="C3" s="2568" t="s">
        <v>2514</v>
      </c>
      <c r="D3" s="2571"/>
      <c r="E3" s="2572"/>
    </row>
    <row r="4" spans="1:6" ht="15.75">
      <c r="A4" s="2573"/>
      <c r="B4" s="2571"/>
      <c r="C4" s="2571"/>
      <c r="D4" s="2571"/>
      <c r="E4" s="2572"/>
    </row>
    <row r="5" spans="1:6" ht="15">
      <c r="A5" s="2574" t="s">
        <v>2508</v>
      </c>
      <c r="B5" s="3174" t="s">
        <v>2509</v>
      </c>
      <c r="C5" s="3174"/>
      <c r="D5" s="2575"/>
      <c r="E5" s="2576" t="s">
        <v>2510</v>
      </c>
      <c r="F5" s="2577" t="s">
        <v>2511</v>
      </c>
    </row>
    <row r="6" spans="1:6">
      <c r="A6" s="2578" t="str">
        <f>'数据-取费表'!AN6</f>
        <v>收益法</v>
      </c>
      <c r="B6" s="2577">
        <f ca="1">IF(F6="是",'数据-取费表'!AO6,0)</f>
        <v>22264</v>
      </c>
      <c r="C6" s="2568" t="s">
        <v>2506</v>
      </c>
      <c r="D6" s="2571"/>
      <c r="E6" s="2579">
        <f>IF(OR(A6=0,F6="否"),0,'数据-取费表'!K6+'数据-取费表'!S6)</f>
        <v>36832.270000000004</v>
      </c>
      <c r="F6" s="2580" t="s">
        <v>2512</v>
      </c>
    </row>
    <row r="7" spans="1:6">
      <c r="A7" s="2578">
        <f>'数据-取费表'!AN7</f>
        <v>0</v>
      </c>
      <c r="B7" s="2577" t="e">
        <f ca="1">IF(F7="是",'数据-取费表'!AO7,0)</f>
        <v>#REF!</v>
      </c>
      <c r="C7" s="2568" t="s">
        <v>2506</v>
      </c>
      <c r="D7" s="2571"/>
      <c r="E7" s="2579">
        <f>IF(OR(A7=0,F7="否"),0,'数据-取费表'!K7+'数据-取费表'!S7)</f>
        <v>0</v>
      </c>
      <c r="F7" s="2580" t="s">
        <v>2512</v>
      </c>
    </row>
    <row r="8" spans="1:6">
      <c r="A8" s="2578">
        <f>'数据-取费表'!AN8</f>
        <v>0</v>
      </c>
      <c r="B8" s="2577" t="e">
        <f ca="1">IF(F8="是",'数据-取费表'!AO8,0)</f>
        <v>#REF!</v>
      </c>
      <c r="C8" s="2568" t="s">
        <v>2506</v>
      </c>
      <c r="D8" s="2571"/>
      <c r="E8" s="2579">
        <f>IF(OR(A8=0,F8="否"),0,'数据-取费表'!K8+'数据-取费表'!S8)</f>
        <v>0</v>
      </c>
      <c r="F8" s="2580" t="s">
        <v>2512</v>
      </c>
    </row>
    <row r="9" spans="1:6">
      <c r="A9" s="2578">
        <f>'数据-取费表'!AN9</f>
        <v>0</v>
      </c>
      <c r="B9" s="2577" t="e">
        <f ca="1">IF(F9="是",'数据-取费表'!AO9,0)</f>
        <v>#REF!</v>
      </c>
      <c r="C9" s="2568" t="s">
        <v>2506</v>
      </c>
      <c r="D9" s="2571"/>
      <c r="E9" s="2579">
        <f>IF(OR(A9=0,F9="否"),0,'数据-取费表'!K9+'数据-取费表'!S9)</f>
        <v>0</v>
      </c>
      <c r="F9" s="2580" t="s">
        <v>2512</v>
      </c>
    </row>
    <row r="10" spans="1:6">
      <c r="A10" s="2578">
        <f>'数据-取费表'!AN10</f>
        <v>0</v>
      </c>
      <c r="B10" s="2577" t="e">
        <f ca="1">IF(F10="是",'数据-取费表'!AO10,0)</f>
        <v>#REF!</v>
      </c>
      <c r="C10" s="2568" t="s">
        <v>2506</v>
      </c>
      <c r="D10" s="2571"/>
      <c r="E10" s="2579">
        <f>IF(OR(A10=0,F10="否"),0,'数据-取费表'!K10+'数据-取费表'!S10)</f>
        <v>0</v>
      </c>
      <c r="F10" s="2580" t="s">
        <v>2512</v>
      </c>
    </row>
    <row r="11" spans="1:6">
      <c r="A11" s="2578">
        <f>'数据-取费表'!AN11</f>
        <v>0</v>
      </c>
      <c r="B11" s="2577" t="e">
        <f ca="1">IF(F11="是",'数据-取费表'!AO11,0)</f>
        <v>#REF!</v>
      </c>
      <c r="C11" s="2568" t="s">
        <v>2506</v>
      </c>
      <c r="D11" s="2571"/>
      <c r="E11" s="2579">
        <f>IF(OR(A11=0,F11="否"),0,'数据-取费表'!K11+'数据-取费表'!S11)</f>
        <v>0</v>
      </c>
      <c r="F11" s="2580" t="s">
        <v>2512</v>
      </c>
    </row>
    <row r="12" spans="1:6">
      <c r="A12" s="2578">
        <f>'数据-取费表'!AN12</f>
        <v>0</v>
      </c>
      <c r="B12" s="2577" t="e">
        <f ca="1">IF(F12="是",'数据-取费表'!AO12,0)</f>
        <v>#REF!</v>
      </c>
      <c r="C12" s="2568" t="s">
        <v>2506</v>
      </c>
      <c r="D12" s="2571"/>
      <c r="E12" s="2579">
        <f>IF(OR(A12=0,F12="否"),0,'数据-取费表'!K12+'数据-取费表'!S12)</f>
        <v>0</v>
      </c>
      <c r="F12" s="2580" t="s">
        <v>2512</v>
      </c>
    </row>
    <row r="13" spans="1:6" ht="15" thickBot="1">
      <c r="A13" s="2581">
        <f>'数据-取费表'!AN13</f>
        <v>0</v>
      </c>
      <c r="B13" s="2577" t="e">
        <f ca="1">IF(F13="是",'数据-取费表'!AO13,0)</f>
        <v>#REF!</v>
      </c>
      <c r="C13" s="2582" t="s">
        <v>2506</v>
      </c>
      <c r="D13" s="2583"/>
      <c r="E13" s="2579">
        <f>IF(OR(A13=0,F13="否"),0,'数据-取费表'!K13+'数据-取费表'!S13)</f>
        <v>0</v>
      </c>
      <c r="F13" s="2580"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4:S19"/>
  <sheetViews>
    <sheetView workbookViewId="0">
      <selection activeCell="S24" sqref="S24"/>
    </sheetView>
  </sheetViews>
  <sheetFormatPr defaultRowHeight="12.75"/>
  <cols>
    <col min="1" max="1" width="45.5" style="2950" customWidth="1"/>
    <col min="2" max="2" width="6.25" style="2950" customWidth="1"/>
    <col min="3" max="3" width="7.875" style="2950" customWidth="1"/>
    <col min="4" max="4" width="6.25" style="2950" customWidth="1"/>
    <col min="5" max="5" width="30.5" style="2950" customWidth="1"/>
    <col min="6" max="6" width="7.875" style="2950" customWidth="1"/>
    <col min="7" max="8" width="13.875" style="2950" customWidth="1"/>
    <col min="9" max="9" width="6.25" style="2950" customWidth="1"/>
    <col min="10" max="10" width="7.875" style="2950" customWidth="1"/>
    <col min="11" max="13" width="9" style="2950" customWidth="1"/>
    <col min="14" max="14" width="7.875" style="2950" customWidth="1"/>
    <col min="15" max="15" width="25.5" style="2950" customWidth="1"/>
    <col min="16" max="16" width="10.625" style="2950" customWidth="1"/>
    <col min="17" max="17" width="14.375" style="2950" customWidth="1"/>
    <col min="18" max="18" width="7.875" style="2950" customWidth="1"/>
    <col min="19" max="256" width="9" style="2950"/>
    <col min="257" max="257" width="45.5" style="2950" customWidth="1"/>
    <col min="258" max="258" width="6.25" style="2950" customWidth="1"/>
    <col min="259" max="259" width="7.875" style="2950" customWidth="1"/>
    <col min="260" max="260" width="6.25" style="2950" customWidth="1"/>
    <col min="261" max="261" width="30.5" style="2950" customWidth="1"/>
    <col min="262" max="262" width="7.875" style="2950" customWidth="1"/>
    <col min="263" max="264" width="13.875" style="2950" customWidth="1"/>
    <col min="265" max="265" width="6.25" style="2950" customWidth="1"/>
    <col min="266" max="266" width="7.875" style="2950" customWidth="1"/>
    <col min="267" max="269" width="9" style="2950" customWidth="1"/>
    <col min="270" max="270" width="7.875" style="2950" customWidth="1"/>
    <col min="271" max="271" width="25.5" style="2950" customWidth="1"/>
    <col min="272" max="272" width="10.625" style="2950" customWidth="1"/>
    <col min="273" max="273" width="14.375" style="2950" customWidth="1"/>
    <col min="274" max="274" width="7.875" style="2950" customWidth="1"/>
    <col min="275" max="512" width="9" style="2950"/>
    <col min="513" max="513" width="45.5" style="2950" customWidth="1"/>
    <col min="514" max="514" width="6.25" style="2950" customWidth="1"/>
    <col min="515" max="515" width="7.875" style="2950" customWidth="1"/>
    <col min="516" max="516" width="6.25" style="2950" customWidth="1"/>
    <col min="517" max="517" width="30.5" style="2950" customWidth="1"/>
    <col min="518" max="518" width="7.875" style="2950" customWidth="1"/>
    <col min="519" max="520" width="13.875" style="2950" customWidth="1"/>
    <col min="521" max="521" width="6.25" style="2950" customWidth="1"/>
    <col min="522" max="522" width="7.875" style="2950" customWidth="1"/>
    <col min="523" max="525" width="9" style="2950" customWidth="1"/>
    <col min="526" max="526" width="7.875" style="2950" customWidth="1"/>
    <col min="527" max="527" width="25.5" style="2950" customWidth="1"/>
    <col min="528" max="528" width="10.625" style="2950" customWidth="1"/>
    <col min="529" max="529" width="14.375" style="2950" customWidth="1"/>
    <col min="530" max="530" width="7.875" style="2950" customWidth="1"/>
    <col min="531" max="768" width="9" style="2950"/>
    <col min="769" max="769" width="45.5" style="2950" customWidth="1"/>
    <col min="770" max="770" width="6.25" style="2950" customWidth="1"/>
    <col min="771" max="771" width="7.875" style="2950" customWidth="1"/>
    <col min="772" max="772" width="6.25" style="2950" customWidth="1"/>
    <col min="773" max="773" width="30.5" style="2950" customWidth="1"/>
    <col min="774" max="774" width="7.875" style="2950" customWidth="1"/>
    <col min="775" max="776" width="13.875" style="2950" customWidth="1"/>
    <col min="777" max="777" width="6.25" style="2950" customWidth="1"/>
    <col min="778" max="778" width="7.875" style="2950" customWidth="1"/>
    <col min="779" max="781" width="9" style="2950" customWidth="1"/>
    <col min="782" max="782" width="7.875" style="2950" customWidth="1"/>
    <col min="783" max="783" width="25.5" style="2950" customWidth="1"/>
    <col min="784" max="784" width="10.625" style="2950" customWidth="1"/>
    <col min="785" max="785" width="14.375" style="2950" customWidth="1"/>
    <col min="786" max="786" width="7.875" style="2950" customWidth="1"/>
    <col min="787" max="1024" width="9" style="2950"/>
    <col min="1025" max="1025" width="45.5" style="2950" customWidth="1"/>
    <col min="1026" max="1026" width="6.25" style="2950" customWidth="1"/>
    <col min="1027" max="1027" width="7.875" style="2950" customWidth="1"/>
    <col min="1028" max="1028" width="6.25" style="2950" customWidth="1"/>
    <col min="1029" max="1029" width="30.5" style="2950" customWidth="1"/>
    <col min="1030" max="1030" width="7.875" style="2950" customWidth="1"/>
    <col min="1031" max="1032" width="13.875" style="2950" customWidth="1"/>
    <col min="1033" max="1033" width="6.25" style="2950" customWidth="1"/>
    <col min="1034" max="1034" width="7.875" style="2950" customWidth="1"/>
    <col min="1035" max="1037" width="9" style="2950" customWidth="1"/>
    <col min="1038" max="1038" width="7.875" style="2950" customWidth="1"/>
    <col min="1039" max="1039" width="25.5" style="2950" customWidth="1"/>
    <col min="1040" max="1040" width="10.625" style="2950" customWidth="1"/>
    <col min="1041" max="1041" width="14.375" style="2950" customWidth="1"/>
    <col min="1042" max="1042" width="7.875" style="2950" customWidth="1"/>
    <col min="1043" max="1280" width="9" style="2950"/>
    <col min="1281" max="1281" width="45.5" style="2950" customWidth="1"/>
    <col min="1282" max="1282" width="6.25" style="2950" customWidth="1"/>
    <col min="1283" max="1283" width="7.875" style="2950" customWidth="1"/>
    <col min="1284" max="1284" width="6.25" style="2950" customWidth="1"/>
    <col min="1285" max="1285" width="30.5" style="2950" customWidth="1"/>
    <col min="1286" max="1286" width="7.875" style="2950" customWidth="1"/>
    <col min="1287" max="1288" width="13.875" style="2950" customWidth="1"/>
    <col min="1289" max="1289" width="6.25" style="2950" customWidth="1"/>
    <col min="1290" max="1290" width="7.875" style="2950" customWidth="1"/>
    <col min="1291" max="1293" width="9" style="2950" customWidth="1"/>
    <col min="1294" max="1294" width="7.875" style="2950" customWidth="1"/>
    <col min="1295" max="1295" width="25.5" style="2950" customWidth="1"/>
    <col min="1296" max="1296" width="10.625" style="2950" customWidth="1"/>
    <col min="1297" max="1297" width="14.375" style="2950" customWidth="1"/>
    <col min="1298" max="1298" width="7.875" style="2950" customWidth="1"/>
    <col min="1299" max="1536" width="9" style="2950"/>
    <col min="1537" max="1537" width="45.5" style="2950" customWidth="1"/>
    <col min="1538" max="1538" width="6.25" style="2950" customWidth="1"/>
    <col min="1539" max="1539" width="7.875" style="2950" customWidth="1"/>
    <col min="1540" max="1540" width="6.25" style="2950" customWidth="1"/>
    <col min="1541" max="1541" width="30.5" style="2950" customWidth="1"/>
    <col min="1542" max="1542" width="7.875" style="2950" customWidth="1"/>
    <col min="1543" max="1544" width="13.875" style="2950" customWidth="1"/>
    <col min="1545" max="1545" width="6.25" style="2950" customWidth="1"/>
    <col min="1546" max="1546" width="7.875" style="2950" customWidth="1"/>
    <col min="1547" max="1549" width="9" style="2950" customWidth="1"/>
    <col min="1550" max="1550" width="7.875" style="2950" customWidth="1"/>
    <col min="1551" max="1551" width="25.5" style="2950" customWidth="1"/>
    <col min="1552" max="1552" width="10.625" style="2950" customWidth="1"/>
    <col min="1553" max="1553" width="14.375" style="2950" customWidth="1"/>
    <col min="1554" max="1554" width="7.875" style="2950" customWidth="1"/>
    <col min="1555" max="1792" width="9" style="2950"/>
    <col min="1793" max="1793" width="45.5" style="2950" customWidth="1"/>
    <col min="1794" max="1794" width="6.25" style="2950" customWidth="1"/>
    <col min="1795" max="1795" width="7.875" style="2950" customWidth="1"/>
    <col min="1796" max="1796" width="6.25" style="2950" customWidth="1"/>
    <col min="1797" max="1797" width="30.5" style="2950" customWidth="1"/>
    <col min="1798" max="1798" width="7.875" style="2950" customWidth="1"/>
    <col min="1799" max="1800" width="13.875" style="2950" customWidth="1"/>
    <col min="1801" max="1801" width="6.25" style="2950" customWidth="1"/>
    <col min="1802" max="1802" width="7.875" style="2950" customWidth="1"/>
    <col min="1803" max="1805" width="9" style="2950" customWidth="1"/>
    <col min="1806" max="1806" width="7.875" style="2950" customWidth="1"/>
    <col min="1807" max="1807" width="25.5" style="2950" customWidth="1"/>
    <col min="1808" max="1808" width="10.625" style="2950" customWidth="1"/>
    <col min="1809" max="1809" width="14.375" style="2950" customWidth="1"/>
    <col min="1810" max="1810" width="7.875" style="2950" customWidth="1"/>
    <col min="1811" max="2048" width="9" style="2950"/>
    <col min="2049" max="2049" width="45.5" style="2950" customWidth="1"/>
    <col min="2050" max="2050" width="6.25" style="2950" customWidth="1"/>
    <col min="2051" max="2051" width="7.875" style="2950" customWidth="1"/>
    <col min="2052" max="2052" width="6.25" style="2950" customWidth="1"/>
    <col min="2053" max="2053" width="30.5" style="2950" customWidth="1"/>
    <col min="2054" max="2054" width="7.875" style="2950" customWidth="1"/>
    <col min="2055" max="2056" width="13.875" style="2950" customWidth="1"/>
    <col min="2057" max="2057" width="6.25" style="2950" customWidth="1"/>
    <col min="2058" max="2058" width="7.875" style="2950" customWidth="1"/>
    <col min="2059" max="2061" width="9" style="2950" customWidth="1"/>
    <col min="2062" max="2062" width="7.875" style="2950" customWidth="1"/>
    <col min="2063" max="2063" width="25.5" style="2950" customWidth="1"/>
    <col min="2064" max="2064" width="10.625" style="2950" customWidth="1"/>
    <col min="2065" max="2065" width="14.375" style="2950" customWidth="1"/>
    <col min="2066" max="2066" width="7.875" style="2950" customWidth="1"/>
    <col min="2067" max="2304" width="9" style="2950"/>
    <col min="2305" max="2305" width="45.5" style="2950" customWidth="1"/>
    <col min="2306" max="2306" width="6.25" style="2950" customWidth="1"/>
    <col min="2307" max="2307" width="7.875" style="2950" customWidth="1"/>
    <col min="2308" max="2308" width="6.25" style="2950" customWidth="1"/>
    <col min="2309" max="2309" width="30.5" style="2950" customWidth="1"/>
    <col min="2310" max="2310" width="7.875" style="2950" customWidth="1"/>
    <col min="2311" max="2312" width="13.875" style="2950" customWidth="1"/>
    <col min="2313" max="2313" width="6.25" style="2950" customWidth="1"/>
    <col min="2314" max="2314" width="7.875" style="2950" customWidth="1"/>
    <col min="2315" max="2317" width="9" style="2950" customWidth="1"/>
    <col min="2318" max="2318" width="7.875" style="2950" customWidth="1"/>
    <col min="2319" max="2319" width="25.5" style="2950" customWidth="1"/>
    <col min="2320" max="2320" width="10.625" style="2950" customWidth="1"/>
    <col min="2321" max="2321" width="14.375" style="2950" customWidth="1"/>
    <col min="2322" max="2322" width="7.875" style="2950" customWidth="1"/>
    <col min="2323" max="2560" width="9" style="2950"/>
    <col min="2561" max="2561" width="45.5" style="2950" customWidth="1"/>
    <col min="2562" max="2562" width="6.25" style="2950" customWidth="1"/>
    <col min="2563" max="2563" width="7.875" style="2950" customWidth="1"/>
    <col min="2564" max="2564" width="6.25" style="2950" customWidth="1"/>
    <col min="2565" max="2565" width="30.5" style="2950" customWidth="1"/>
    <col min="2566" max="2566" width="7.875" style="2950" customWidth="1"/>
    <col min="2567" max="2568" width="13.875" style="2950" customWidth="1"/>
    <col min="2569" max="2569" width="6.25" style="2950" customWidth="1"/>
    <col min="2570" max="2570" width="7.875" style="2950" customWidth="1"/>
    <col min="2571" max="2573" width="9" style="2950" customWidth="1"/>
    <col min="2574" max="2574" width="7.875" style="2950" customWidth="1"/>
    <col min="2575" max="2575" width="25.5" style="2950" customWidth="1"/>
    <col min="2576" max="2576" width="10.625" style="2950" customWidth="1"/>
    <col min="2577" max="2577" width="14.375" style="2950" customWidth="1"/>
    <col min="2578" max="2578" width="7.875" style="2950" customWidth="1"/>
    <col min="2579" max="2816" width="9" style="2950"/>
    <col min="2817" max="2817" width="45.5" style="2950" customWidth="1"/>
    <col min="2818" max="2818" width="6.25" style="2950" customWidth="1"/>
    <col min="2819" max="2819" width="7.875" style="2950" customWidth="1"/>
    <col min="2820" max="2820" width="6.25" style="2950" customWidth="1"/>
    <col min="2821" max="2821" width="30.5" style="2950" customWidth="1"/>
    <col min="2822" max="2822" width="7.875" style="2950" customWidth="1"/>
    <col min="2823" max="2824" width="13.875" style="2950" customWidth="1"/>
    <col min="2825" max="2825" width="6.25" style="2950" customWidth="1"/>
    <col min="2826" max="2826" width="7.875" style="2950" customWidth="1"/>
    <col min="2827" max="2829" width="9" style="2950" customWidth="1"/>
    <col min="2830" max="2830" width="7.875" style="2950" customWidth="1"/>
    <col min="2831" max="2831" width="25.5" style="2950" customWidth="1"/>
    <col min="2832" max="2832" width="10.625" style="2950" customWidth="1"/>
    <col min="2833" max="2833" width="14.375" style="2950" customWidth="1"/>
    <col min="2834" max="2834" width="7.875" style="2950" customWidth="1"/>
    <col min="2835" max="3072" width="9" style="2950"/>
    <col min="3073" max="3073" width="45.5" style="2950" customWidth="1"/>
    <col min="3074" max="3074" width="6.25" style="2950" customWidth="1"/>
    <col min="3075" max="3075" width="7.875" style="2950" customWidth="1"/>
    <col min="3076" max="3076" width="6.25" style="2950" customWidth="1"/>
    <col min="3077" max="3077" width="30.5" style="2950" customWidth="1"/>
    <col min="3078" max="3078" width="7.875" style="2950" customWidth="1"/>
    <col min="3079" max="3080" width="13.875" style="2950" customWidth="1"/>
    <col min="3081" max="3081" width="6.25" style="2950" customWidth="1"/>
    <col min="3082" max="3082" width="7.875" style="2950" customWidth="1"/>
    <col min="3083" max="3085" width="9" style="2950" customWidth="1"/>
    <col min="3086" max="3086" width="7.875" style="2950" customWidth="1"/>
    <col min="3087" max="3087" width="25.5" style="2950" customWidth="1"/>
    <col min="3088" max="3088" width="10.625" style="2950" customWidth="1"/>
    <col min="3089" max="3089" width="14.375" style="2950" customWidth="1"/>
    <col min="3090" max="3090" width="7.875" style="2950" customWidth="1"/>
    <col min="3091" max="3328" width="9" style="2950"/>
    <col min="3329" max="3329" width="45.5" style="2950" customWidth="1"/>
    <col min="3330" max="3330" width="6.25" style="2950" customWidth="1"/>
    <col min="3331" max="3331" width="7.875" style="2950" customWidth="1"/>
    <col min="3332" max="3332" width="6.25" style="2950" customWidth="1"/>
    <col min="3333" max="3333" width="30.5" style="2950" customWidth="1"/>
    <col min="3334" max="3334" width="7.875" style="2950" customWidth="1"/>
    <col min="3335" max="3336" width="13.875" style="2950" customWidth="1"/>
    <col min="3337" max="3337" width="6.25" style="2950" customWidth="1"/>
    <col min="3338" max="3338" width="7.875" style="2950" customWidth="1"/>
    <col min="3339" max="3341" width="9" style="2950" customWidth="1"/>
    <col min="3342" max="3342" width="7.875" style="2950" customWidth="1"/>
    <col min="3343" max="3343" width="25.5" style="2950" customWidth="1"/>
    <col min="3344" max="3344" width="10.625" style="2950" customWidth="1"/>
    <col min="3345" max="3345" width="14.375" style="2950" customWidth="1"/>
    <col min="3346" max="3346" width="7.875" style="2950" customWidth="1"/>
    <col min="3347" max="3584" width="9" style="2950"/>
    <col min="3585" max="3585" width="45.5" style="2950" customWidth="1"/>
    <col min="3586" max="3586" width="6.25" style="2950" customWidth="1"/>
    <col min="3587" max="3587" width="7.875" style="2950" customWidth="1"/>
    <col min="3588" max="3588" width="6.25" style="2950" customWidth="1"/>
    <col min="3589" max="3589" width="30.5" style="2950" customWidth="1"/>
    <col min="3590" max="3590" width="7.875" style="2950" customWidth="1"/>
    <col min="3591" max="3592" width="13.875" style="2950" customWidth="1"/>
    <col min="3593" max="3593" width="6.25" style="2950" customWidth="1"/>
    <col min="3594" max="3594" width="7.875" style="2950" customWidth="1"/>
    <col min="3595" max="3597" width="9" style="2950" customWidth="1"/>
    <col min="3598" max="3598" width="7.875" style="2950" customWidth="1"/>
    <col min="3599" max="3599" width="25.5" style="2950" customWidth="1"/>
    <col min="3600" max="3600" width="10.625" style="2950" customWidth="1"/>
    <col min="3601" max="3601" width="14.375" style="2950" customWidth="1"/>
    <col min="3602" max="3602" width="7.875" style="2950" customWidth="1"/>
    <col min="3603" max="3840" width="9" style="2950"/>
    <col min="3841" max="3841" width="45.5" style="2950" customWidth="1"/>
    <col min="3842" max="3842" width="6.25" style="2950" customWidth="1"/>
    <col min="3843" max="3843" width="7.875" style="2950" customWidth="1"/>
    <col min="3844" max="3844" width="6.25" style="2950" customWidth="1"/>
    <col min="3845" max="3845" width="30.5" style="2950" customWidth="1"/>
    <col min="3846" max="3846" width="7.875" style="2950" customWidth="1"/>
    <col min="3847" max="3848" width="13.875" style="2950" customWidth="1"/>
    <col min="3849" max="3849" width="6.25" style="2950" customWidth="1"/>
    <col min="3850" max="3850" width="7.875" style="2950" customWidth="1"/>
    <col min="3851" max="3853" width="9" style="2950" customWidth="1"/>
    <col min="3854" max="3854" width="7.875" style="2950" customWidth="1"/>
    <col min="3855" max="3855" width="25.5" style="2950" customWidth="1"/>
    <col min="3856" max="3856" width="10.625" style="2950" customWidth="1"/>
    <col min="3857" max="3857" width="14.375" style="2950" customWidth="1"/>
    <col min="3858" max="3858" width="7.875" style="2950" customWidth="1"/>
    <col min="3859" max="4096" width="9" style="2950"/>
    <col min="4097" max="4097" width="45.5" style="2950" customWidth="1"/>
    <col min="4098" max="4098" width="6.25" style="2950" customWidth="1"/>
    <col min="4099" max="4099" width="7.875" style="2950" customWidth="1"/>
    <col min="4100" max="4100" width="6.25" style="2950" customWidth="1"/>
    <col min="4101" max="4101" width="30.5" style="2950" customWidth="1"/>
    <col min="4102" max="4102" width="7.875" style="2950" customWidth="1"/>
    <col min="4103" max="4104" width="13.875" style="2950" customWidth="1"/>
    <col min="4105" max="4105" width="6.25" style="2950" customWidth="1"/>
    <col min="4106" max="4106" width="7.875" style="2950" customWidth="1"/>
    <col min="4107" max="4109" width="9" style="2950" customWidth="1"/>
    <col min="4110" max="4110" width="7.875" style="2950" customWidth="1"/>
    <col min="4111" max="4111" width="25.5" style="2950" customWidth="1"/>
    <col min="4112" max="4112" width="10.625" style="2950" customWidth="1"/>
    <col min="4113" max="4113" width="14.375" style="2950" customWidth="1"/>
    <col min="4114" max="4114" width="7.875" style="2950" customWidth="1"/>
    <col min="4115" max="4352" width="9" style="2950"/>
    <col min="4353" max="4353" width="45.5" style="2950" customWidth="1"/>
    <col min="4354" max="4354" width="6.25" style="2950" customWidth="1"/>
    <col min="4355" max="4355" width="7.875" style="2950" customWidth="1"/>
    <col min="4356" max="4356" width="6.25" style="2950" customWidth="1"/>
    <col min="4357" max="4357" width="30.5" style="2950" customWidth="1"/>
    <col min="4358" max="4358" width="7.875" style="2950" customWidth="1"/>
    <col min="4359" max="4360" width="13.875" style="2950" customWidth="1"/>
    <col min="4361" max="4361" width="6.25" style="2950" customWidth="1"/>
    <col min="4362" max="4362" width="7.875" style="2950" customWidth="1"/>
    <col min="4363" max="4365" width="9" style="2950" customWidth="1"/>
    <col min="4366" max="4366" width="7.875" style="2950" customWidth="1"/>
    <col min="4367" max="4367" width="25.5" style="2950" customWidth="1"/>
    <col min="4368" max="4368" width="10.625" style="2950" customWidth="1"/>
    <col min="4369" max="4369" width="14.375" style="2950" customWidth="1"/>
    <col min="4370" max="4370" width="7.875" style="2950" customWidth="1"/>
    <col min="4371" max="4608" width="9" style="2950"/>
    <col min="4609" max="4609" width="45.5" style="2950" customWidth="1"/>
    <col min="4610" max="4610" width="6.25" style="2950" customWidth="1"/>
    <col min="4611" max="4611" width="7.875" style="2950" customWidth="1"/>
    <col min="4612" max="4612" width="6.25" style="2950" customWidth="1"/>
    <col min="4613" max="4613" width="30.5" style="2950" customWidth="1"/>
    <col min="4614" max="4614" width="7.875" style="2950" customWidth="1"/>
    <col min="4615" max="4616" width="13.875" style="2950" customWidth="1"/>
    <col min="4617" max="4617" width="6.25" style="2950" customWidth="1"/>
    <col min="4618" max="4618" width="7.875" style="2950" customWidth="1"/>
    <col min="4619" max="4621" width="9" style="2950" customWidth="1"/>
    <col min="4622" max="4622" width="7.875" style="2950" customWidth="1"/>
    <col min="4623" max="4623" width="25.5" style="2950" customWidth="1"/>
    <col min="4624" max="4624" width="10.625" style="2950" customWidth="1"/>
    <col min="4625" max="4625" width="14.375" style="2950" customWidth="1"/>
    <col min="4626" max="4626" width="7.875" style="2950" customWidth="1"/>
    <col min="4627" max="4864" width="9" style="2950"/>
    <col min="4865" max="4865" width="45.5" style="2950" customWidth="1"/>
    <col min="4866" max="4866" width="6.25" style="2950" customWidth="1"/>
    <col min="4867" max="4867" width="7.875" style="2950" customWidth="1"/>
    <col min="4868" max="4868" width="6.25" style="2950" customWidth="1"/>
    <col min="4869" max="4869" width="30.5" style="2950" customWidth="1"/>
    <col min="4870" max="4870" width="7.875" style="2950" customWidth="1"/>
    <col min="4871" max="4872" width="13.875" style="2950" customWidth="1"/>
    <col min="4873" max="4873" width="6.25" style="2950" customWidth="1"/>
    <col min="4874" max="4874" width="7.875" style="2950" customWidth="1"/>
    <col min="4875" max="4877" width="9" style="2950" customWidth="1"/>
    <col min="4878" max="4878" width="7.875" style="2950" customWidth="1"/>
    <col min="4879" max="4879" width="25.5" style="2950" customWidth="1"/>
    <col min="4880" max="4880" width="10.625" style="2950" customWidth="1"/>
    <col min="4881" max="4881" width="14.375" style="2950" customWidth="1"/>
    <col min="4882" max="4882" width="7.875" style="2950" customWidth="1"/>
    <col min="4883" max="5120" width="9" style="2950"/>
    <col min="5121" max="5121" width="45.5" style="2950" customWidth="1"/>
    <col min="5122" max="5122" width="6.25" style="2950" customWidth="1"/>
    <col min="5123" max="5123" width="7.875" style="2950" customWidth="1"/>
    <col min="5124" max="5124" width="6.25" style="2950" customWidth="1"/>
    <col min="5125" max="5125" width="30.5" style="2950" customWidth="1"/>
    <col min="5126" max="5126" width="7.875" style="2950" customWidth="1"/>
    <col min="5127" max="5128" width="13.875" style="2950" customWidth="1"/>
    <col min="5129" max="5129" width="6.25" style="2950" customWidth="1"/>
    <col min="5130" max="5130" width="7.875" style="2950" customWidth="1"/>
    <col min="5131" max="5133" width="9" style="2950" customWidth="1"/>
    <col min="5134" max="5134" width="7.875" style="2950" customWidth="1"/>
    <col min="5135" max="5135" width="25.5" style="2950" customWidth="1"/>
    <col min="5136" max="5136" width="10.625" style="2950" customWidth="1"/>
    <col min="5137" max="5137" width="14.375" style="2950" customWidth="1"/>
    <col min="5138" max="5138" width="7.875" style="2950" customWidth="1"/>
    <col min="5139" max="5376" width="9" style="2950"/>
    <col min="5377" max="5377" width="45.5" style="2950" customWidth="1"/>
    <col min="5378" max="5378" width="6.25" style="2950" customWidth="1"/>
    <col min="5379" max="5379" width="7.875" style="2950" customWidth="1"/>
    <col min="5380" max="5380" width="6.25" style="2950" customWidth="1"/>
    <col min="5381" max="5381" width="30.5" style="2950" customWidth="1"/>
    <col min="5382" max="5382" width="7.875" style="2950" customWidth="1"/>
    <col min="5383" max="5384" width="13.875" style="2950" customWidth="1"/>
    <col min="5385" max="5385" width="6.25" style="2950" customWidth="1"/>
    <col min="5386" max="5386" width="7.875" style="2950" customWidth="1"/>
    <col min="5387" max="5389" width="9" style="2950" customWidth="1"/>
    <col min="5390" max="5390" width="7.875" style="2950" customWidth="1"/>
    <col min="5391" max="5391" width="25.5" style="2950" customWidth="1"/>
    <col min="5392" max="5392" width="10.625" style="2950" customWidth="1"/>
    <col min="5393" max="5393" width="14.375" style="2950" customWidth="1"/>
    <col min="5394" max="5394" width="7.875" style="2950" customWidth="1"/>
    <col min="5395" max="5632" width="9" style="2950"/>
    <col min="5633" max="5633" width="45.5" style="2950" customWidth="1"/>
    <col min="5634" max="5634" width="6.25" style="2950" customWidth="1"/>
    <col min="5635" max="5635" width="7.875" style="2950" customWidth="1"/>
    <col min="5636" max="5636" width="6.25" style="2950" customWidth="1"/>
    <col min="5637" max="5637" width="30.5" style="2950" customWidth="1"/>
    <col min="5638" max="5638" width="7.875" style="2950" customWidth="1"/>
    <col min="5639" max="5640" width="13.875" style="2950" customWidth="1"/>
    <col min="5641" max="5641" width="6.25" style="2950" customWidth="1"/>
    <col min="5642" max="5642" width="7.875" style="2950" customWidth="1"/>
    <col min="5643" max="5645" width="9" style="2950" customWidth="1"/>
    <col min="5646" max="5646" width="7.875" style="2950" customWidth="1"/>
    <col min="5647" max="5647" width="25.5" style="2950" customWidth="1"/>
    <col min="5648" max="5648" width="10.625" style="2950" customWidth="1"/>
    <col min="5649" max="5649" width="14.375" style="2950" customWidth="1"/>
    <col min="5650" max="5650" width="7.875" style="2950" customWidth="1"/>
    <col min="5651" max="5888" width="9" style="2950"/>
    <col min="5889" max="5889" width="45.5" style="2950" customWidth="1"/>
    <col min="5890" max="5890" width="6.25" style="2950" customWidth="1"/>
    <col min="5891" max="5891" width="7.875" style="2950" customWidth="1"/>
    <col min="5892" max="5892" width="6.25" style="2950" customWidth="1"/>
    <col min="5893" max="5893" width="30.5" style="2950" customWidth="1"/>
    <col min="5894" max="5894" width="7.875" style="2950" customWidth="1"/>
    <col min="5895" max="5896" width="13.875" style="2950" customWidth="1"/>
    <col min="5897" max="5897" width="6.25" style="2950" customWidth="1"/>
    <col min="5898" max="5898" width="7.875" style="2950" customWidth="1"/>
    <col min="5899" max="5901" width="9" style="2950" customWidth="1"/>
    <col min="5902" max="5902" width="7.875" style="2950" customWidth="1"/>
    <col min="5903" max="5903" width="25.5" style="2950" customWidth="1"/>
    <col min="5904" max="5904" width="10.625" style="2950" customWidth="1"/>
    <col min="5905" max="5905" width="14.375" style="2950" customWidth="1"/>
    <col min="5906" max="5906" width="7.875" style="2950" customWidth="1"/>
    <col min="5907" max="6144" width="9" style="2950"/>
    <col min="6145" max="6145" width="45.5" style="2950" customWidth="1"/>
    <col min="6146" max="6146" width="6.25" style="2950" customWidth="1"/>
    <col min="6147" max="6147" width="7.875" style="2950" customWidth="1"/>
    <col min="6148" max="6148" width="6.25" style="2950" customWidth="1"/>
    <col min="6149" max="6149" width="30.5" style="2950" customWidth="1"/>
    <col min="6150" max="6150" width="7.875" style="2950" customWidth="1"/>
    <col min="6151" max="6152" width="13.875" style="2950" customWidth="1"/>
    <col min="6153" max="6153" width="6.25" style="2950" customWidth="1"/>
    <col min="6154" max="6154" width="7.875" style="2950" customWidth="1"/>
    <col min="6155" max="6157" width="9" style="2950" customWidth="1"/>
    <col min="6158" max="6158" width="7.875" style="2950" customWidth="1"/>
    <col min="6159" max="6159" width="25.5" style="2950" customWidth="1"/>
    <col min="6160" max="6160" width="10.625" style="2950" customWidth="1"/>
    <col min="6161" max="6161" width="14.375" style="2950" customWidth="1"/>
    <col min="6162" max="6162" width="7.875" style="2950" customWidth="1"/>
    <col min="6163" max="6400" width="9" style="2950"/>
    <col min="6401" max="6401" width="45.5" style="2950" customWidth="1"/>
    <col min="6402" max="6402" width="6.25" style="2950" customWidth="1"/>
    <col min="6403" max="6403" width="7.875" style="2950" customWidth="1"/>
    <col min="6404" max="6404" width="6.25" style="2950" customWidth="1"/>
    <col min="6405" max="6405" width="30.5" style="2950" customWidth="1"/>
    <col min="6406" max="6406" width="7.875" style="2950" customWidth="1"/>
    <col min="6407" max="6408" width="13.875" style="2950" customWidth="1"/>
    <col min="6409" max="6409" width="6.25" style="2950" customWidth="1"/>
    <col min="6410" max="6410" width="7.875" style="2950" customWidth="1"/>
    <col min="6411" max="6413" width="9" style="2950" customWidth="1"/>
    <col min="6414" max="6414" width="7.875" style="2950" customWidth="1"/>
    <col min="6415" max="6415" width="25.5" style="2950" customWidth="1"/>
    <col min="6416" max="6416" width="10.625" style="2950" customWidth="1"/>
    <col min="6417" max="6417" width="14.375" style="2950" customWidth="1"/>
    <col min="6418" max="6418" width="7.875" style="2950" customWidth="1"/>
    <col min="6419" max="6656" width="9" style="2950"/>
    <col min="6657" max="6657" width="45.5" style="2950" customWidth="1"/>
    <col min="6658" max="6658" width="6.25" style="2950" customWidth="1"/>
    <col min="6659" max="6659" width="7.875" style="2950" customWidth="1"/>
    <col min="6660" max="6660" width="6.25" style="2950" customWidth="1"/>
    <col min="6661" max="6661" width="30.5" style="2950" customWidth="1"/>
    <col min="6662" max="6662" width="7.875" style="2950" customWidth="1"/>
    <col min="6663" max="6664" width="13.875" style="2950" customWidth="1"/>
    <col min="6665" max="6665" width="6.25" style="2950" customWidth="1"/>
    <col min="6666" max="6666" width="7.875" style="2950" customWidth="1"/>
    <col min="6667" max="6669" width="9" style="2950" customWidth="1"/>
    <col min="6670" max="6670" width="7.875" style="2950" customWidth="1"/>
    <col min="6671" max="6671" width="25.5" style="2950" customWidth="1"/>
    <col min="6672" max="6672" width="10.625" style="2950" customWidth="1"/>
    <col min="6673" max="6673" width="14.375" style="2950" customWidth="1"/>
    <col min="6674" max="6674" width="7.875" style="2950" customWidth="1"/>
    <col min="6675" max="6912" width="9" style="2950"/>
    <col min="6913" max="6913" width="45.5" style="2950" customWidth="1"/>
    <col min="6914" max="6914" width="6.25" style="2950" customWidth="1"/>
    <col min="6915" max="6915" width="7.875" style="2950" customWidth="1"/>
    <col min="6916" max="6916" width="6.25" style="2950" customWidth="1"/>
    <col min="6917" max="6917" width="30.5" style="2950" customWidth="1"/>
    <col min="6918" max="6918" width="7.875" style="2950" customWidth="1"/>
    <col min="6919" max="6920" width="13.875" style="2950" customWidth="1"/>
    <col min="6921" max="6921" width="6.25" style="2950" customWidth="1"/>
    <col min="6922" max="6922" width="7.875" style="2950" customWidth="1"/>
    <col min="6923" max="6925" width="9" style="2950" customWidth="1"/>
    <col min="6926" max="6926" width="7.875" style="2950" customWidth="1"/>
    <col min="6927" max="6927" width="25.5" style="2950" customWidth="1"/>
    <col min="6928" max="6928" width="10.625" style="2950" customWidth="1"/>
    <col min="6929" max="6929" width="14.375" style="2950" customWidth="1"/>
    <col min="6930" max="6930" width="7.875" style="2950" customWidth="1"/>
    <col min="6931" max="7168" width="9" style="2950"/>
    <col min="7169" max="7169" width="45.5" style="2950" customWidth="1"/>
    <col min="7170" max="7170" width="6.25" style="2950" customWidth="1"/>
    <col min="7171" max="7171" width="7.875" style="2950" customWidth="1"/>
    <col min="7172" max="7172" width="6.25" style="2950" customWidth="1"/>
    <col min="7173" max="7173" width="30.5" style="2950" customWidth="1"/>
    <col min="7174" max="7174" width="7.875" style="2950" customWidth="1"/>
    <col min="7175" max="7176" width="13.875" style="2950" customWidth="1"/>
    <col min="7177" max="7177" width="6.25" style="2950" customWidth="1"/>
    <col min="7178" max="7178" width="7.875" style="2950" customWidth="1"/>
    <col min="7179" max="7181" width="9" style="2950" customWidth="1"/>
    <col min="7182" max="7182" width="7.875" style="2950" customWidth="1"/>
    <col min="7183" max="7183" width="25.5" style="2950" customWidth="1"/>
    <col min="7184" max="7184" width="10.625" style="2950" customWidth="1"/>
    <col min="7185" max="7185" width="14.375" style="2950" customWidth="1"/>
    <col min="7186" max="7186" width="7.875" style="2950" customWidth="1"/>
    <col min="7187" max="7424" width="9" style="2950"/>
    <col min="7425" max="7425" width="45.5" style="2950" customWidth="1"/>
    <col min="7426" max="7426" width="6.25" style="2950" customWidth="1"/>
    <col min="7427" max="7427" width="7.875" style="2950" customWidth="1"/>
    <col min="7428" max="7428" width="6.25" style="2950" customWidth="1"/>
    <col min="7429" max="7429" width="30.5" style="2950" customWidth="1"/>
    <col min="7430" max="7430" width="7.875" style="2950" customWidth="1"/>
    <col min="7431" max="7432" width="13.875" style="2950" customWidth="1"/>
    <col min="7433" max="7433" width="6.25" style="2950" customWidth="1"/>
    <col min="7434" max="7434" width="7.875" style="2950" customWidth="1"/>
    <col min="7435" max="7437" width="9" style="2950" customWidth="1"/>
    <col min="7438" max="7438" width="7.875" style="2950" customWidth="1"/>
    <col min="7439" max="7439" width="25.5" style="2950" customWidth="1"/>
    <col min="7440" max="7440" width="10.625" style="2950" customWidth="1"/>
    <col min="7441" max="7441" width="14.375" style="2950" customWidth="1"/>
    <col min="7442" max="7442" width="7.875" style="2950" customWidth="1"/>
    <col min="7443" max="7680" width="9" style="2950"/>
    <col min="7681" max="7681" width="45.5" style="2950" customWidth="1"/>
    <col min="7682" max="7682" width="6.25" style="2950" customWidth="1"/>
    <col min="7683" max="7683" width="7.875" style="2950" customWidth="1"/>
    <col min="7684" max="7684" width="6.25" style="2950" customWidth="1"/>
    <col min="7685" max="7685" width="30.5" style="2950" customWidth="1"/>
    <col min="7686" max="7686" width="7.875" style="2950" customWidth="1"/>
    <col min="7687" max="7688" width="13.875" style="2950" customWidth="1"/>
    <col min="7689" max="7689" width="6.25" style="2950" customWidth="1"/>
    <col min="7690" max="7690" width="7.875" style="2950" customWidth="1"/>
    <col min="7691" max="7693" width="9" style="2950" customWidth="1"/>
    <col min="7694" max="7694" width="7.875" style="2950" customWidth="1"/>
    <col min="7695" max="7695" width="25.5" style="2950" customWidth="1"/>
    <col min="7696" max="7696" width="10.625" style="2950" customWidth="1"/>
    <col min="7697" max="7697" width="14.375" style="2950" customWidth="1"/>
    <col min="7698" max="7698" width="7.875" style="2950" customWidth="1"/>
    <col min="7699" max="7936" width="9" style="2950"/>
    <col min="7937" max="7937" width="45.5" style="2950" customWidth="1"/>
    <col min="7938" max="7938" width="6.25" style="2950" customWidth="1"/>
    <col min="7939" max="7939" width="7.875" style="2950" customWidth="1"/>
    <col min="7940" max="7940" width="6.25" style="2950" customWidth="1"/>
    <col min="7941" max="7941" width="30.5" style="2950" customWidth="1"/>
    <col min="7942" max="7942" width="7.875" style="2950" customWidth="1"/>
    <col min="7943" max="7944" width="13.875" style="2950" customWidth="1"/>
    <col min="7945" max="7945" width="6.25" style="2950" customWidth="1"/>
    <col min="7946" max="7946" width="7.875" style="2950" customWidth="1"/>
    <col min="7947" max="7949" width="9" style="2950" customWidth="1"/>
    <col min="7950" max="7950" width="7.875" style="2950" customWidth="1"/>
    <col min="7951" max="7951" width="25.5" style="2950" customWidth="1"/>
    <col min="7952" max="7952" width="10.625" style="2950" customWidth="1"/>
    <col min="7953" max="7953" width="14.375" style="2950" customWidth="1"/>
    <col min="7954" max="7954" width="7.875" style="2950" customWidth="1"/>
    <col min="7955" max="8192" width="9" style="2950"/>
    <col min="8193" max="8193" width="45.5" style="2950" customWidth="1"/>
    <col min="8194" max="8194" width="6.25" style="2950" customWidth="1"/>
    <col min="8195" max="8195" width="7.875" style="2950" customWidth="1"/>
    <col min="8196" max="8196" width="6.25" style="2950" customWidth="1"/>
    <col min="8197" max="8197" width="30.5" style="2950" customWidth="1"/>
    <col min="8198" max="8198" width="7.875" style="2950" customWidth="1"/>
    <col min="8199" max="8200" width="13.875" style="2950" customWidth="1"/>
    <col min="8201" max="8201" width="6.25" style="2950" customWidth="1"/>
    <col min="8202" max="8202" width="7.875" style="2950" customWidth="1"/>
    <col min="8203" max="8205" width="9" style="2950" customWidth="1"/>
    <col min="8206" max="8206" width="7.875" style="2950" customWidth="1"/>
    <col min="8207" max="8207" width="25.5" style="2950" customWidth="1"/>
    <col min="8208" max="8208" width="10.625" style="2950" customWidth="1"/>
    <col min="8209" max="8209" width="14.375" style="2950" customWidth="1"/>
    <col min="8210" max="8210" width="7.875" style="2950" customWidth="1"/>
    <col min="8211" max="8448" width="9" style="2950"/>
    <col min="8449" max="8449" width="45.5" style="2950" customWidth="1"/>
    <col min="8450" max="8450" width="6.25" style="2950" customWidth="1"/>
    <col min="8451" max="8451" width="7.875" style="2950" customWidth="1"/>
    <col min="8452" max="8452" width="6.25" style="2950" customWidth="1"/>
    <col min="8453" max="8453" width="30.5" style="2950" customWidth="1"/>
    <col min="8454" max="8454" width="7.875" style="2950" customWidth="1"/>
    <col min="8455" max="8456" width="13.875" style="2950" customWidth="1"/>
    <col min="8457" max="8457" width="6.25" style="2950" customWidth="1"/>
    <col min="8458" max="8458" width="7.875" style="2950" customWidth="1"/>
    <col min="8459" max="8461" width="9" style="2950" customWidth="1"/>
    <col min="8462" max="8462" width="7.875" style="2950" customWidth="1"/>
    <col min="8463" max="8463" width="25.5" style="2950" customWidth="1"/>
    <col min="8464" max="8464" width="10.625" style="2950" customWidth="1"/>
    <col min="8465" max="8465" width="14.375" style="2950" customWidth="1"/>
    <col min="8466" max="8466" width="7.875" style="2950" customWidth="1"/>
    <col min="8467" max="8704" width="9" style="2950"/>
    <col min="8705" max="8705" width="45.5" style="2950" customWidth="1"/>
    <col min="8706" max="8706" width="6.25" style="2950" customWidth="1"/>
    <col min="8707" max="8707" width="7.875" style="2950" customWidth="1"/>
    <col min="8708" max="8708" width="6.25" style="2950" customWidth="1"/>
    <col min="8709" max="8709" width="30.5" style="2950" customWidth="1"/>
    <col min="8710" max="8710" width="7.875" style="2950" customWidth="1"/>
    <col min="8711" max="8712" width="13.875" style="2950" customWidth="1"/>
    <col min="8713" max="8713" width="6.25" style="2950" customWidth="1"/>
    <col min="8714" max="8714" width="7.875" style="2950" customWidth="1"/>
    <col min="8715" max="8717" width="9" style="2950" customWidth="1"/>
    <col min="8718" max="8718" width="7.875" style="2950" customWidth="1"/>
    <col min="8719" max="8719" width="25.5" style="2950" customWidth="1"/>
    <col min="8720" max="8720" width="10.625" style="2950" customWidth="1"/>
    <col min="8721" max="8721" width="14.375" style="2950" customWidth="1"/>
    <col min="8722" max="8722" width="7.875" style="2950" customWidth="1"/>
    <col min="8723" max="8960" width="9" style="2950"/>
    <col min="8961" max="8961" width="45.5" style="2950" customWidth="1"/>
    <col min="8962" max="8962" width="6.25" style="2950" customWidth="1"/>
    <col min="8963" max="8963" width="7.875" style="2950" customWidth="1"/>
    <col min="8964" max="8964" width="6.25" style="2950" customWidth="1"/>
    <col min="8965" max="8965" width="30.5" style="2950" customWidth="1"/>
    <col min="8966" max="8966" width="7.875" style="2950" customWidth="1"/>
    <col min="8967" max="8968" width="13.875" style="2950" customWidth="1"/>
    <col min="8969" max="8969" width="6.25" style="2950" customWidth="1"/>
    <col min="8970" max="8970" width="7.875" style="2950" customWidth="1"/>
    <col min="8971" max="8973" width="9" style="2950" customWidth="1"/>
    <col min="8974" max="8974" width="7.875" style="2950" customWidth="1"/>
    <col min="8975" max="8975" width="25.5" style="2950" customWidth="1"/>
    <col min="8976" max="8976" width="10.625" style="2950" customWidth="1"/>
    <col min="8977" max="8977" width="14.375" style="2950" customWidth="1"/>
    <col min="8978" max="8978" width="7.875" style="2950" customWidth="1"/>
    <col min="8979" max="9216" width="9" style="2950"/>
    <col min="9217" max="9217" width="45.5" style="2950" customWidth="1"/>
    <col min="9218" max="9218" width="6.25" style="2950" customWidth="1"/>
    <col min="9219" max="9219" width="7.875" style="2950" customWidth="1"/>
    <col min="9220" max="9220" width="6.25" style="2950" customWidth="1"/>
    <col min="9221" max="9221" width="30.5" style="2950" customWidth="1"/>
    <col min="9222" max="9222" width="7.875" style="2950" customWidth="1"/>
    <col min="9223" max="9224" width="13.875" style="2950" customWidth="1"/>
    <col min="9225" max="9225" width="6.25" style="2950" customWidth="1"/>
    <col min="9226" max="9226" width="7.875" style="2950" customWidth="1"/>
    <col min="9227" max="9229" width="9" style="2950" customWidth="1"/>
    <col min="9230" max="9230" width="7.875" style="2950" customWidth="1"/>
    <col min="9231" max="9231" width="25.5" style="2950" customWidth="1"/>
    <col min="9232" max="9232" width="10.625" style="2950" customWidth="1"/>
    <col min="9233" max="9233" width="14.375" style="2950" customWidth="1"/>
    <col min="9234" max="9234" width="7.875" style="2950" customWidth="1"/>
    <col min="9235" max="9472" width="9" style="2950"/>
    <col min="9473" max="9473" width="45.5" style="2950" customWidth="1"/>
    <col min="9474" max="9474" width="6.25" style="2950" customWidth="1"/>
    <col min="9475" max="9475" width="7.875" style="2950" customWidth="1"/>
    <col min="9476" max="9476" width="6.25" style="2950" customWidth="1"/>
    <col min="9477" max="9477" width="30.5" style="2950" customWidth="1"/>
    <col min="9478" max="9478" width="7.875" style="2950" customWidth="1"/>
    <col min="9479" max="9480" width="13.875" style="2950" customWidth="1"/>
    <col min="9481" max="9481" width="6.25" style="2950" customWidth="1"/>
    <col min="9482" max="9482" width="7.875" style="2950" customWidth="1"/>
    <col min="9483" max="9485" width="9" style="2950" customWidth="1"/>
    <col min="9486" max="9486" width="7.875" style="2950" customWidth="1"/>
    <col min="9487" max="9487" width="25.5" style="2950" customWidth="1"/>
    <col min="9488" max="9488" width="10.625" style="2950" customWidth="1"/>
    <col min="9489" max="9489" width="14.375" style="2950" customWidth="1"/>
    <col min="9490" max="9490" width="7.875" style="2950" customWidth="1"/>
    <col min="9491" max="9728" width="9" style="2950"/>
    <col min="9729" max="9729" width="45.5" style="2950" customWidth="1"/>
    <col min="9730" max="9730" width="6.25" style="2950" customWidth="1"/>
    <col min="9731" max="9731" width="7.875" style="2950" customWidth="1"/>
    <col min="9732" max="9732" width="6.25" style="2950" customWidth="1"/>
    <col min="9733" max="9733" width="30.5" style="2950" customWidth="1"/>
    <col min="9734" max="9734" width="7.875" style="2950" customWidth="1"/>
    <col min="9735" max="9736" width="13.875" style="2950" customWidth="1"/>
    <col min="9737" max="9737" width="6.25" style="2950" customWidth="1"/>
    <col min="9738" max="9738" width="7.875" style="2950" customWidth="1"/>
    <col min="9739" max="9741" width="9" style="2950" customWidth="1"/>
    <col min="9742" max="9742" width="7.875" style="2950" customWidth="1"/>
    <col min="9743" max="9743" width="25.5" style="2950" customWidth="1"/>
    <col min="9744" max="9744" width="10.625" style="2950" customWidth="1"/>
    <col min="9745" max="9745" width="14.375" style="2950" customWidth="1"/>
    <col min="9746" max="9746" width="7.875" style="2950" customWidth="1"/>
    <col min="9747" max="9984" width="9" style="2950"/>
    <col min="9985" max="9985" width="45.5" style="2950" customWidth="1"/>
    <col min="9986" max="9986" width="6.25" style="2950" customWidth="1"/>
    <col min="9987" max="9987" width="7.875" style="2950" customWidth="1"/>
    <col min="9988" max="9988" width="6.25" style="2950" customWidth="1"/>
    <col min="9989" max="9989" width="30.5" style="2950" customWidth="1"/>
    <col min="9990" max="9990" width="7.875" style="2950" customWidth="1"/>
    <col min="9991" max="9992" width="13.875" style="2950" customWidth="1"/>
    <col min="9993" max="9993" width="6.25" style="2950" customWidth="1"/>
    <col min="9994" max="9994" width="7.875" style="2950" customWidth="1"/>
    <col min="9995" max="9997" width="9" style="2950" customWidth="1"/>
    <col min="9998" max="9998" width="7.875" style="2950" customWidth="1"/>
    <col min="9999" max="9999" width="25.5" style="2950" customWidth="1"/>
    <col min="10000" max="10000" width="10.625" style="2950" customWidth="1"/>
    <col min="10001" max="10001" width="14.375" style="2950" customWidth="1"/>
    <col min="10002" max="10002" width="7.875" style="2950" customWidth="1"/>
    <col min="10003" max="10240" width="9" style="2950"/>
    <col min="10241" max="10241" width="45.5" style="2950" customWidth="1"/>
    <col min="10242" max="10242" width="6.25" style="2950" customWidth="1"/>
    <col min="10243" max="10243" width="7.875" style="2950" customWidth="1"/>
    <col min="10244" max="10244" width="6.25" style="2950" customWidth="1"/>
    <col min="10245" max="10245" width="30.5" style="2950" customWidth="1"/>
    <col min="10246" max="10246" width="7.875" style="2950" customWidth="1"/>
    <col min="10247" max="10248" width="13.875" style="2950" customWidth="1"/>
    <col min="10249" max="10249" width="6.25" style="2950" customWidth="1"/>
    <col min="10250" max="10250" width="7.875" style="2950" customWidth="1"/>
    <col min="10251" max="10253" width="9" style="2950" customWidth="1"/>
    <col min="10254" max="10254" width="7.875" style="2950" customWidth="1"/>
    <col min="10255" max="10255" width="25.5" style="2950" customWidth="1"/>
    <col min="10256" max="10256" width="10.625" style="2950" customWidth="1"/>
    <col min="10257" max="10257" width="14.375" style="2950" customWidth="1"/>
    <col min="10258" max="10258" width="7.875" style="2950" customWidth="1"/>
    <col min="10259" max="10496" width="9" style="2950"/>
    <col min="10497" max="10497" width="45.5" style="2950" customWidth="1"/>
    <col min="10498" max="10498" width="6.25" style="2950" customWidth="1"/>
    <col min="10499" max="10499" width="7.875" style="2950" customWidth="1"/>
    <col min="10500" max="10500" width="6.25" style="2950" customWidth="1"/>
    <col min="10501" max="10501" width="30.5" style="2950" customWidth="1"/>
    <col min="10502" max="10502" width="7.875" style="2950" customWidth="1"/>
    <col min="10503" max="10504" width="13.875" style="2950" customWidth="1"/>
    <col min="10505" max="10505" width="6.25" style="2950" customWidth="1"/>
    <col min="10506" max="10506" width="7.875" style="2950" customWidth="1"/>
    <col min="10507" max="10509" width="9" style="2950" customWidth="1"/>
    <col min="10510" max="10510" width="7.875" style="2950" customWidth="1"/>
    <col min="10511" max="10511" width="25.5" style="2950" customWidth="1"/>
    <col min="10512" max="10512" width="10.625" style="2950" customWidth="1"/>
    <col min="10513" max="10513" width="14.375" style="2950" customWidth="1"/>
    <col min="10514" max="10514" width="7.875" style="2950" customWidth="1"/>
    <col min="10515" max="10752" width="9" style="2950"/>
    <col min="10753" max="10753" width="45.5" style="2950" customWidth="1"/>
    <col min="10754" max="10754" width="6.25" style="2950" customWidth="1"/>
    <col min="10755" max="10755" width="7.875" style="2950" customWidth="1"/>
    <col min="10756" max="10756" width="6.25" style="2950" customWidth="1"/>
    <col min="10757" max="10757" width="30.5" style="2950" customWidth="1"/>
    <col min="10758" max="10758" width="7.875" style="2950" customWidth="1"/>
    <col min="10759" max="10760" width="13.875" style="2950" customWidth="1"/>
    <col min="10761" max="10761" width="6.25" style="2950" customWidth="1"/>
    <col min="10762" max="10762" width="7.875" style="2950" customWidth="1"/>
    <col min="10763" max="10765" width="9" style="2950" customWidth="1"/>
    <col min="10766" max="10766" width="7.875" style="2950" customWidth="1"/>
    <col min="10767" max="10767" width="25.5" style="2950" customWidth="1"/>
    <col min="10768" max="10768" width="10.625" style="2950" customWidth="1"/>
    <col min="10769" max="10769" width="14.375" style="2950" customWidth="1"/>
    <col min="10770" max="10770" width="7.875" style="2950" customWidth="1"/>
    <col min="10771" max="11008" width="9" style="2950"/>
    <col min="11009" max="11009" width="45.5" style="2950" customWidth="1"/>
    <col min="11010" max="11010" width="6.25" style="2950" customWidth="1"/>
    <col min="11011" max="11011" width="7.875" style="2950" customWidth="1"/>
    <col min="11012" max="11012" width="6.25" style="2950" customWidth="1"/>
    <col min="11013" max="11013" width="30.5" style="2950" customWidth="1"/>
    <col min="11014" max="11014" width="7.875" style="2950" customWidth="1"/>
    <col min="11015" max="11016" width="13.875" style="2950" customWidth="1"/>
    <col min="11017" max="11017" width="6.25" style="2950" customWidth="1"/>
    <col min="11018" max="11018" width="7.875" style="2950" customWidth="1"/>
    <col min="11019" max="11021" width="9" style="2950" customWidth="1"/>
    <col min="11022" max="11022" width="7.875" style="2950" customWidth="1"/>
    <col min="11023" max="11023" width="25.5" style="2950" customWidth="1"/>
    <col min="11024" max="11024" width="10.625" style="2950" customWidth="1"/>
    <col min="11025" max="11025" width="14.375" style="2950" customWidth="1"/>
    <col min="11026" max="11026" width="7.875" style="2950" customWidth="1"/>
    <col min="11027" max="11264" width="9" style="2950"/>
    <col min="11265" max="11265" width="45.5" style="2950" customWidth="1"/>
    <col min="11266" max="11266" width="6.25" style="2950" customWidth="1"/>
    <col min="11267" max="11267" width="7.875" style="2950" customWidth="1"/>
    <col min="11268" max="11268" width="6.25" style="2950" customWidth="1"/>
    <col min="11269" max="11269" width="30.5" style="2950" customWidth="1"/>
    <col min="11270" max="11270" width="7.875" style="2950" customWidth="1"/>
    <col min="11271" max="11272" width="13.875" style="2950" customWidth="1"/>
    <col min="11273" max="11273" width="6.25" style="2950" customWidth="1"/>
    <col min="11274" max="11274" width="7.875" style="2950" customWidth="1"/>
    <col min="11275" max="11277" width="9" style="2950" customWidth="1"/>
    <col min="11278" max="11278" width="7.875" style="2950" customWidth="1"/>
    <col min="11279" max="11279" width="25.5" style="2950" customWidth="1"/>
    <col min="11280" max="11280" width="10.625" style="2950" customWidth="1"/>
    <col min="11281" max="11281" width="14.375" style="2950" customWidth="1"/>
    <col min="11282" max="11282" width="7.875" style="2950" customWidth="1"/>
    <col min="11283" max="11520" width="9" style="2950"/>
    <col min="11521" max="11521" width="45.5" style="2950" customWidth="1"/>
    <col min="11522" max="11522" width="6.25" style="2950" customWidth="1"/>
    <col min="11523" max="11523" width="7.875" style="2950" customWidth="1"/>
    <col min="11524" max="11524" width="6.25" style="2950" customWidth="1"/>
    <col min="11525" max="11525" width="30.5" style="2950" customWidth="1"/>
    <col min="11526" max="11526" width="7.875" style="2950" customWidth="1"/>
    <col min="11527" max="11528" width="13.875" style="2950" customWidth="1"/>
    <col min="11529" max="11529" width="6.25" style="2950" customWidth="1"/>
    <col min="11530" max="11530" width="7.875" style="2950" customWidth="1"/>
    <col min="11531" max="11533" width="9" style="2950" customWidth="1"/>
    <col min="11534" max="11534" width="7.875" style="2950" customWidth="1"/>
    <col min="11535" max="11535" width="25.5" style="2950" customWidth="1"/>
    <col min="11536" max="11536" width="10.625" style="2950" customWidth="1"/>
    <col min="11537" max="11537" width="14.375" style="2950" customWidth="1"/>
    <col min="11538" max="11538" width="7.875" style="2950" customWidth="1"/>
    <col min="11539" max="11776" width="9" style="2950"/>
    <col min="11777" max="11777" width="45.5" style="2950" customWidth="1"/>
    <col min="11778" max="11778" width="6.25" style="2950" customWidth="1"/>
    <col min="11779" max="11779" width="7.875" style="2950" customWidth="1"/>
    <col min="11780" max="11780" width="6.25" style="2950" customWidth="1"/>
    <col min="11781" max="11781" width="30.5" style="2950" customWidth="1"/>
    <col min="11782" max="11782" width="7.875" style="2950" customWidth="1"/>
    <col min="11783" max="11784" width="13.875" style="2950" customWidth="1"/>
    <col min="11785" max="11785" width="6.25" style="2950" customWidth="1"/>
    <col min="11786" max="11786" width="7.875" style="2950" customWidth="1"/>
    <col min="11787" max="11789" width="9" style="2950" customWidth="1"/>
    <col min="11790" max="11790" width="7.875" style="2950" customWidth="1"/>
    <col min="11791" max="11791" width="25.5" style="2950" customWidth="1"/>
    <col min="11792" max="11792" width="10.625" style="2950" customWidth="1"/>
    <col min="11793" max="11793" width="14.375" style="2950" customWidth="1"/>
    <col min="11794" max="11794" width="7.875" style="2950" customWidth="1"/>
    <col min="11795" max="12032" width="9" style="2950"/>
    <col min="12033" max="12033" width="45.5" style="2950" customWidth="1"/>
    <col min="12034" max="12034" width="6.25" style="2950" customWidth="1"/>
    <col min="12035" max="12035" width="7.875" style="2950" customWidth="1"/>
    <col min="12036" max="12036" width="6.25" style="2950" customWidth="1"/>
    <col min="12037" max="12037" width="30.5" style="2950" customWidth="1"/>
    <col min="12038" max="12038" width="7.875" style="2950" customWidth="1"/>
    <col min="12039" max="12040" width="13.875" style="2950" customWidth="1"/>
    <col min="12041" max="12041" width="6.25" style="2950" customWidth="1"/>
    <col min="12042" max="12042" width="7.875" style="2950" customWidth="1"/>
    <col min="12043" max="12045" width="9" style="2950" customWidth="1"/>
    <col min="12046" max="12046" width="7.875" style="2950" customWidth="1"/>
    <col min="12047" max="12047" width="25.5" style="2950" customWidth="1"/>
    <col min="12048" max="12048" width="10.625" style="2950" customWidth="1"/>
    <col min="12049" max="12049" width="14.375" style="2950" customWidth="1"/>
    <col min="12050" max="12050" width="7.875" style="2950" customWidth="1"/>
    <col min="12051" max="12288" width="9" style="2950"/>
    <col min="12289" max="12289" width="45.5" style="2950" customWidth="1"/>
    <col min="12290" max="12290" width="6.25" style="2950" customWidth="1"/>
    <col min="12291" max="12291" width="7.875" style="2950" customWidth="1"/>
    <col min="12292" max="12292" width="6.25" style="2950" customWidth="1"/>
    <col min="12293" max="12293" width="30.5" style="2950" customWidth="1"/>
    <col min="12294" max="12294" width="7.875" style="2950" customWidth="1"/>
    <col min="12295" max="12296" width="13.875" style="2950" customWidth="1"/>
    <col min="12297" max="12297" width="6.25" style="2950" customWidth="1"/>
    <col min="12298" max="12298" width="7.875" style="2950" customWidth="1"/>
    <col min="12299" max="12301" width="9" style="2950" customWidth="1"/>
    <col min="12302" max="12302" width="7.875" style="2950" customWidth="1"/>
    <col min="12303" max="12303" width="25.5" style="2950" customWidth="1"/>
    <col min="12304" max="12304" width="10.625" style="2950" customWidth="1"/>
    <col min="12305" max="12305" width="14.375" style="2950" customWidth="1"/>
    <col min="12306" max="12306" width="7.875" style="2950" customWidth="1"/>
    <col min="12307" max="12544" width="9" style="2950"/>
    <col min="12545" max="12545" width="45.5" style="2950" customWidth="1"/>
    <col min="12546" max="12546" width="6.25" style="2950" customWidth="1"/>
    <col min="12547" max="12547" width="7.875" style="2950" customWidth="1"/>
    <col min="12548" max="12548" width="6.25" style="2950" customWidth="1"/>
    <col min="12549" max="12549" width="30.5" style="2950" customWidth="1"/>
    <col min="12550" max="12550" width="7.875" style="2950" customWidth="1"/>
    <col min="12551" max="12552" width="13.875" style="2950" customWidth="1"/>
    <col min="12553" max="12553" width="6.25" style="2950" customWidth="1"/>
    <col min="12554" max="12554" width="7.875" style="2950" customWidth="1"/>
    <col min="12555" max="12557" width="9" style="2950" customWidth="1"/>
    <col min="12558" max="12558" width="7.875" style="2950" customWidth="1"/>
    <col min="12559" max="12559" width="25.5" style="2950" customWidth="1"/>
    <col min="12560" max="12560" width="10.625" style="2950" customWidth="1"/>
    <col min="12561" max="12561" width="14.375" style="2950" customWidth="1"/>
    <col min="12562" max="12562" width="7.875" style="2950" customWidth="1"/>
    <col min="12563" max="12800" width="9" style="2950"/>
    <col min="12801" max="12801" width="45.5" style="2950" customWidth="1"/>
    <col min="12802" max="12802" width="6.25" style="2950" customWidth="1"/>
    <col min="12803" max="12803" width="7.875" style="2950" customWidth="1"/>
    <col min="12804" max="12804" width="6.25" style="2950" customWidth="1"/>
    <col min="12805" max="12805" width="30.5" style="2950" customWidth="1"/>
    <col min="12806" max="12806" width="7.875" style="2950" customWidth="1"/>
    <col min="12807" max="12808" width="13.875" style="2950" customWidth="1"/>
    <col min="12809" max="12809" width="6.25" style="2950" customWidth="1"/>
    <col min="12810" max="12810" width="7.875" style="2950" customWidth="1"/>
    <col min="12811" max="12813" width="9" style="2950" customWidth="1"/>
    <col min="12814" max="12814" width="7.875" style="2950" customWidth="1"/>
    <col min="12815" max="12815" width="25.5" style="2950" customWidth="1"/>
    <col min="12816" max="12816" width="10.625" style="2950" customWidth="1"/>
    <col min="12817" max="12817" width="14.375" style="2950" customWidth="1"/>
    <col min="12818" max="12818" width="7.875" style="2950" customWidth="1"/>
    <col min="12819" max="13056" width="9" style="2950"/>
    <col min="13057" max="13057" width="45.5" style="2950" customWidth="1"/>
    <col min="13058" max="13058" width="6.25" style="2950" customWidth="1"/>
    <col min="13059" max="13059" width="7.875" style="2950" customWidth="1"/>
    <col min="13060" max="13060" width="6.25" style="2950" customWidth="1"/>
    <col min="13061" max="13061" width="30.5" style="2950" customWidth="1"/>
    <col min="13062" max="13062" width="7.875" style="2950" customWidth="1"/>
    <col min="13063" max="13064" width="13.875" style="2950" customWidth="1"/>
    <col min="13065" max="13065" width="6.25" style="2950" customWidth="1"/>
    <col min="13066" max="13066" width="7.875" style="2950" customWidth="1"/>
    <col min="13067" max="13069" width="9" style="2950" customWidth="1"/>
    <col min="13070" max="13070" width="7.875" style="2950" customWidth="1"/>
    <col min="13071" max="13071" width="25.5" style="2950" customWidth="1"/>
    <col min="13072" max="13072" width="10.625" style="2950" customWidth="1"/>
    <col min="13073" max="13073" width="14.375" style="2950" customWidth="1"/>
    <col min="13074" max="13074" width="7.875" style="2950" customWidth="1"/>
    <col min="13075" max="13312" width="9" style="2950"/>
    <col min="13313" max="13313" width="45.5" style="2950" customWidth="1"/>
    <col min="13314" max="13314" width="6.25" style="2950" customWidth="1"/>
    <col min="13315" max="13315" width="7.875" style="2950" customWidth="1"/>
    <col min="13316" max="13316" width="6.25" style="2950" customWidth="1"/>
    <col min="13317" max="13317" width="30.5" style="2950" customWidth="1"/>
    <col min="13318" max="13318" width="7.875" style="2950" customWidth="1"/>
    <col min="13319" max="13320" width="13.875" style="2950" customWidth="1"/>
    <col min="13321" max="13321" width="6.25" style="2950" customWidth="1"/>
    <col min="13322" max="13322" width="7.875" style="2950" customWidth="1"/>
    <col min="13323" max="13325" width="9" style="2950" customWidth="1"/>
    <col min="13326" max="13326" width="7.875" style="2950" customWidth="1"/>
    <col min="13327" max="13327" width="25.5" style="2950" customWidth="1"/>
    <col min="13328" max="13328" width="10.625" style="2950" customWidth="1"/>
    <col min="13329" max="13329" width="14.375" style="2950" customWidth="1"/>
    <col min="13330" max="13330" width="7.875" style="2950" customWidth="1"/>
    <col min="13331" max="13568" width="9" style="2950"/>
    <col min="13569" max="13569" width="45.5" style="2950" customWidth="1"/>
    <col min="13570" max="13570" width="6.25" style="2950" customWidth="1"/>
    <col min="13571" max="13571" width="7.875" style="2950" customWidth="1"/>
    <col min="13572" max="13572" width="6.25" style="2950" customWidth="1"/>
    <col min="13573" max="13573" width="30.5" style="2950" customWidth="1"/>
    <col min="13574" max="13574" width="7.875" style="2950" customWidth="1"/>
    <col min="13575" max="13576" width="13.875" style="2950" customWidth="1"/>
    <col min="13577" max="13577" width="6.25" style="2950" customWidth="1"/>
    <col min="13578" max="13578" width="7.875" style="2950" customWidth="1"/>
    <col min="13579" max="13581" width="9" style="2950" customWidth="1"/>
    <col min="13582" max="13582" width="7.875" style="2950" customWidth="1"/>
    <col min="13583" max="13583" width="25.5" style="2950" customWidth="1"/>
    <col min="13584" max="13584" width="10.625" style="2950" customWidth="1"/>
    <col min="13585" max="13585" width="14.375" style="2950" customWidth="1"/>
    <col min="13586" max="13586" width="7.875" style="2950" customWidth="1"/>
    <col min="13587" max="13824" width="9" style="2950"/>
    <col min="13825" max="13825" width="45.5" style="2950" customWidth="1"/>
    <col min="13826" max="13826" width="6.25" style="2950" customWidth="1"/>
    <col min="13827" max="13827" width="7.875" style="2950" customWidth="1"/>
    <col min="13828" max="13828" width="6.25" style="2950" customWidth="1"/>
    <col min="13829" max="13829" width="30.5" style="2950" customWidth="1"/>
    <col min="13830" max="13830" width="7.875" style="2950" customWidth="1"/>
    <col min="13831" max="13832" width="13.875" style="2950" customWidth="1"/>
    <col min="13833" max="13833" width="6.25" style="2950" customWidth="1"/>
    <col min="13834" max="13834" width="7.875" style="2950" customWidth="1"/>
    <col min="13835" max="13837" width="9" style="2950" customWidth="1"/>
    <col min="13838" max="13838" width="7.875" style="2950" customWidth="1"/>
    <col min="13839" max="13839" width="25.5" style="2950" customWidth="1"/>
    <col min="13840" max="13840" width="10.625" style="2950" customWidth="1"/>
    <col min="13841" max="13841" width="14.375" style="2950" customWidth="1"/>
    <col min="13842" max="13842" width="7.875" style="2950" customWidth="1"/>
    <col min="13843" max="14080" width="9" style="2950"/>
    <col min="14081" max="14081" width="45.5" style="2950" customWidth="1"/>
    <col min="14082" max="14082" width="6.25" style="2950" customWidth="1"/>
    <col min="14083" max="14083" width="7.875" style="2950" customWidth="1"/>
    <col min="14084" max="14084" width="6.25" style="2950" customWidth="1"/>
    <col min="14085" max="14085" width="30.5" style="2950" customWidth="1"/>
    <col min="14086" max="14086" width="7.875" style="2950" customWidth="1"/>
    <col min="14087" max="14088" width="13.875" style="2950" customWidth="1"/>
    <col min="14089" max="14089" width="6.25" style="2950" customWidth="1"/>
    <col min="14090" max="14090" width="7.875" style="2950" customWidth="1"/>
    <col min="14091" max="14093" width="9" style="2950" customWidth="1"/>
    <col min="14094" max="14094" width="7.875" style="2950" customWidth="1"/>
    <col min="14095" max="14095" width="25.5" style="2950" customWidth="1"/>
    <col min="14096" max="14096" width="10.625" style="2950" customWidth="1"/>
    <col min="14097" max="14097" width="14.375" style="2950" customWidth="1"/>
    <col min="14098" max="14098" width="7.875" style="2950" customWidth="1"/>
    <col min="14099" max="14336" width="9" style="2950"/>
    <col min="14337" max="14337" width="45.5" style="2950" customWidth="1"/>
    <col min="14338" max="14338" width="6.25" style="2950" customWidth="1"/>
    <col min="14339" max="14339" width="7.875" style="2950" customWidth="1"/>
    <col min="14340" max="14340" width="6.25" style="2950" customWidth="1"/>
    <col min="14341" max="14341" width="30.5" style="2950" customWidth="1"/>
    <col min="14342" max="14342" width="7.875" style="2950" customWidth="1"/>
    <col min="14343" max="14344" width="13.875" style="2950" customWidth="1"/>
    <col min="14345" max="14345" width="6.25" style="2950" customWidth="1"/>
    <col min="14346" max="14346" width="7.875" style="2950" customWidth="1"/>
    <col min="14347" max="14349" width="9" style="2950" customWidth="1"/>
    <col min="14350" max="14350" width="7.875" style="2950" customWidth="1"/>
    <col min="14351" max="14351" width="25.5" style="2950" customWidth="1"/>
    <col min="14352" max="14352" width="10.625" style="2950" customWidth="1"/>
    <col min="14353" max="14353" width="14.375" style="2950" customWidth="1"/>
    <col min="14354" max="14354" width="7.875" style="2950" customWidth="1"/>
    <col min="14355" max="14592" width="9" style="2950"/>
    <col min="14593" max="14593" width="45.5" style="2950" customWidth="1"/>
    <col min="14594" max="14594" width="6.25" style="2950" customWidth="1"/>
    <col min="14595" max="14595" width="7.875" style="2950" customWidth="1"/>
    <col min="14596" max="14596" width="6.25" style="2950" customWidth="1"/>
    <col min="14597" max="14597" width="30.5" style="2950" customWidth="1"/>
    <col min="14598" max="14598" width="7.875" style="2950" customWidth="1"/>
    <col min="14599" max="14600" width="13.875" style="2950" customWidth="1"/>
    <col min="14601" max="14601" width="6.25" style="2950" customWidth="1"/>
    <col min="14602" max="14602" width="7.875" style="2950" customWidth="1"/>
    <col min="14603" max="14605" width="9" style="2950" customWidth="1"/>
    <col min="14606" max="14606" width="7.875" style="2950" customWidth="1"/>
    <col min="14607" max="14607" width="25.5" style="2950" customWidth="1"/>
    <col min="14608" max="14608" width="10.625" style="2950" customWidth="1"/>
    <col min="14609" max="14609" width="14.375" style="2950" customWidth="1"/>
    <col min="14610" max="14610" width="7.875" style="2950" customWidth="1"/>
    <col min="14611" max="14848" width="9" style="2950"/>
    <col min="14849" max="14849" width="45.5" style="2950" customWidth="1"/>
    <col min="14850" max="14850" width="6.25" style="2950" customWidth="1"/>
    <col min="14851" max="14851" width="7.875" style="2950" customWidth="1"/>
    <col min="14852" max="14852" width="6.25" style="2950" customWidth="1"/>
    <col min="14853" max="14853" width="30.5" style="2950" customWidth="1"/>
    <col min="14854" max="14854" width="7.875" style="2950" customWidth="1"/>
    <col min="14855" max="14856" width="13.875" style="2950" customWidth="1"/>
    <col min="14857" max="14857" width="6.25" style="2950" customWidth="1"/>
    <col min="14858" max="14858" width="7.875" style="2950" customWidth="1"/>
    <col min="14859" max="14861" width="9" style="2950" customWidth="1"/>
    <col min="14862" max="14862" width="7.875" style="2950" customWidth="1"/>
    <col min="14863" max="14863" width="25.5" style="2950" customWidth="1"/>
    <col min="14864" max="14864" width="10.625" style="2950" customWidth="1"/>
    <col min="14865" max="14865" width="14.375" style="2950" customWidth="1"/>
    <col min="14866" max="14866" width="7.875" style="2950" customWidth="1"/>
    <col min="14867" max="15104" width="9" style="2950"/>
    <col min="15105" max="15105" width="45.5" style="2950" customWidth="1"/>
    <col min="15106" max="15106" width="6.25" style="2950" customWidth="1"/>
    <col min="15107" max="15107" width="7.875" style="2950" customWidth="1"/>
    <col min="15108" max="15108" width="6.25" style="2950" customWidth="1"/>
    <col min="15109" max="15109" width="30.5" style="2950" customWidth="1"/>
    <col min="15110" max="15110" width="7.875" style="2950" customWidth="1"/>
    <col min="15111" max="15112" width="13.875" style="2950" customWidth="1"/>
    <col min="15113" max="15113" width="6.25" style="2950" customWidth="1"/>
    <col min="15114" max="15114" width="7.875" style="2950" customWidth="1"/>
    <col min="15115" max="15117" width="9" style="2950" customWidth="1"/>
    <col min="15118" max="15118" width="7.875" style="2950" customWidth="1"/>
    <col min="15119" max="15119" width="25.5" style="2950" customWidth="1"/>
    <col min="15120" max="15120" width="10.625" style="2950" customWidth="1"/>
    <col min="15121" max="15121" width="14.375" style="2950" customWidth="1"/>
    <col min="15122" max="15122" width="7.875" style="2950" customWidth="1"/>
    <col min="15123" max="15360" width="9" style="2950"/>
    <col min="15361" max="15361" width="45.5" style="2950" customWidth="1"/>
    <col min="15362" max="15362" width="6.25" style="2950" customWidth="1"/>
    <col min="15363" max="15363" width="7.875" style="2950" customWidth="1"/>
    <col min="15364" max="15364" width="6.25" style="2950" customWidth="1"/>
    <col min="15365" max="15365" width="30.5" style="2950" customWidth="1"/>
    <col min="15366" max="15366" width="7.875" style="2950" customWidth="1"/>
    <col min="15367" max="15368" width="13.875" style="2950" customWidth="1"/>
    <col min="15369" max="15369" width="6.25" style="2950" customWidth="1"/>
    <col min="15370" max="15370" width="7.875" style="2950" customWidth="1"/>
    <col min="15371" max="15373" width="9" style="2950" customWidth="1"/>
    <col min="15374" max="15374" width="7.875" style="2950" customWidth="1"/>
    <col min="15375" max="15375" width="25.5" style="2950" customWidth="1"/>
    <col min="15376" max="15376" width="10.625" style="2950" customWidth="1"/>
    <col min="15377" max="15377" width="14.375" style="2950" customWidth="1"/>
    <col min="15378" max="15378" width="7.875" style="2950" customWidth="1"/>
    <col min="15379" max="15616" width="9" style="2950"/>
    <col min="15617" max="15617" width="45.5" style="2950" customWidth="1"/>
    <col min="15618" max="15618" width="6.25" style="2950" customWidth="1"/>
    <col min="15619" max="15619" width="7.875" style="2950" customWidth="1"/>
    <col min="15620" max="15620" width="6.25" style="2950" customWidth="1"/>
    <col min="15621" max="15621" width="30.5" style="2950" customWidth="1"/>
    <col min="15622" max="15622" width="7.875" style="2950" customWidth="1"/>
    <col min="15623" max="15624" width="13.875" style="2950" customWidth="1"/>
    <col min="15625" max="15625" width="6.25" style="2950" customWidth="1"/>
    <col min="15626" max="15626" width="7.875" style="2950" customWidth="1"/>
    <col min="15627" max="15629" width="9" style="2950" customWidth="1"/>
    <col min="15630" max="15630" width="7.875" style="2950" customWidth="1"/>
    <col min="15631" max="15631" width="25.5" style="2950" customWidth="1"/>
    <col min="15632" max="15632" width="10.625" style="2950" customWidth="1"/>
    <col min="15633" max="15633" width="14.375" style="2950" customWidth="1"/>
    <col min="15634" max="15634" width="7.875" style="2950" customWidth="1"/>
    <col min="15635" max="15872" width="9" style="2950"/>
    <col min="15873" max="15873" width="45.5" style="2950" customWidth="1"/>
    <col min="15874" max="15874" width="6.25" style="2950" customWidth="1"/>
    <col min="15875" max="15875" width="7.875" style="2950" customWidth="1"/>
    <col min="15876" max="15876" width="6.25" style="2950" customWidth="1"/>
    <col min="15877" max="15877" width="30.5" style="2950" customWidth="1"/>
    <col min="15878" max="15878" width="7.875" style="2950" customWidth="1"/>
    <col min="15879" max="15880" width="13.875" style="2950" customWidth="1"/>
    <col min="15881" max="15881" width="6.25" style="2950" customWidth="1"/>
    <col min="15882" max="15882" width="7.875" style="2950" customWidth="1"/>
    <col min="15883" max="15885" width="9" style="2950" customWidth="1"/>
    <col min="15886" max="15886" width="7.875" style="2950" customWidth="1"/>
    <col min="15887" max="15887" width="25.5" style="2950" customWidth="1"/>
    <col min="15888" max="15888" width="10.625" style="2950" customWidth="1"/>
    <col min="15889" max="15889" width="14.375" style="2950" customWidth="1"/>
    <col min="15890" max="15890" width="7.875" style="2950" customWidth="1"/>
    <col min="15891" max="16128" width="9" style="2950"/>
    <col min="16129" max="16129" width="45.5" style="2950" customWidth="1"/>
    <col min="16130" max="16130" width="6.25" style="2950" customWidth="1"/>
    <col min="16131" max="16131" width="7.875" style="2950" customWidth="1"/>
    <col min="16132" max="16132" width="6.25" style="2950" customWidth="1"/>
    <col min="16133" max="16133" width="30.5" style="2950" customWidth="1"/>
    <col min="16134" max="16134" width="7.875" style="2950" customWidth="1"/>
    <col min="16135" max="16136" width="13.875" style="2950" customWidth="1"/>
    <col min="16137" max="16137" width="6.25" style="2950" customWidth="1"/>
    <col min="16138" max="16138" width="7.875" style="2950" customWidth="1"/>
    <col min="16139" max="16141" width="9" style="2950" customWidth="1"/>
    <col min="16142" max="16142" width="7.875" style="2950" customWidth="1"/>
    <col min="16143" max="16143" width="25.5" style="2950" customWidth="1"/>
    <col min="16144" max="16144" width="10.625" style="2950" customWidth="1"/>
    <col min="16145" max="16145" width="14.375" style="2950" customWidth="1"/>
    <col min="16146" max="16146" width="7.875" style="2950" customWidth="1"/>
    <col min="16147" max="16384" width="9" style="2950"/>
  </cols>
  <sheetData>
    <row r="4" spans="1:19">
      <c r="A4" s="2950" t="s">
        <v>3115</v>
      </c>
      <c r="B4" s="2950" t="s">
        <v>3116</v>
      </c>
      <c r="C4" s="2950" t="s">
        <v>3117</v>
      </c>
      <c r="D4" s="2950" t="s">
        <v>3118</v>
      </c>
      <c r="E4" s="2950" t="s">
        <v>3119</v>
      </c>
      <c r="F4" s="2950" t="s">
        <v>3120</v>
      </c>
      <c r="G4" s="2950" t="s">
        <v>3121</v>
      </c>
      <c r="H4" s="2950" t="s">
        <v>3122</v>
      </c>
      <c r="I4" s="2950" t="s">
        <v>3123</v>
      </c>
      <c r="J4" s="2950" t="s">
        <v>3124</v>
      </c>
      <c r="K4" s="2950" t="s">
        <v>3125</v>
      </c>
      <c r="L4" s="2950" t="s">
        <v>3126</v>
      </c>
      <c r="M4" s="2950" t="s">
        <v>3127</v>
      </c>
      <c r="N4" s="2950" t="s">
        <v>3128</v>
      </c>
      <c r="O4" s="2950" t="s">
        <v>3129</v>
      </c>
      <c r="P4" s="2950" t="s">
        <v>3130</v>
      </c>
      <c r="Q4" s="2950" t="s">
        <v>3195</v>
      </c>
      <c r="R4" s="2950" t="s">
        <v>3131</v>
      </c>
      <c r="S4" s="2956" t="s">
        <v>3196</v>
      </c>
    </row>
    <row r="5" spans="1:19">
      <c r="A5" s="2950" t="s">
        <v>3132</v>
      </c>
      <c r="B5" s="2950" t="s">
        <v>3039</v>
      </c>
      <c r="C5" s="2950" t="s">
        <v>3042</v>
      </c>
      <c r="D5" s="2950" t="s">
        <v>3133</v>
      </c>
      <c r="E5" s="2950" t="s">
        <v>3132</v>
      </c>
      <c r="F5" s="2950" t="s">
        <v>3134</v>
      </c>
      <c r="G5" s="2950">
        <v>103751.8</v>
      </c>
      <c r="H5" s="2950">
        <v>155627.70000000001</v>
      </c>
      <c r="I5" s="2950" t="s">
        <v>3135</v>
      </c>
      <c r="J5" s="2950" t="s">
        <v>3136</v>
      </c>
      <c r="K5" s="2950" t="s">
        <v>3137</v>
      </c>
      <c r="L5" s="2950" t="s">
        <v>3138</v>
      </c>
      <c r="M5" s="2950" t="s">
        <v>3138</v>
      </c>
      <c r="N5" s="2950" t="s">
        <v>3139</v>
      </c>
      <c r="O5" s="2950" t="s">
        <v>3140</v>
      </c>
      <c r="P5" s="2951">
        <v>16807.79</v>
      </c>
      <c r="Q5" s="2950">
        <v>1080</v>
      </c>
      <c r="R5" s="2950" t="s">
        <v>3141</v>
      </c>
      <c r="S5" s="2959">
        <f>P5*10000/G5</f>
        <v>1619.999845785808</v>
      </c>
    </row>
    <row r="6" spans="1:19">
      <c r="A6" s="2950" t="s">
        <v>3142</v>
      </c>
      <c r="B6" s="2950" t="s">
        <v>3039</v>
      </c>
      <c r="C6" s="2950" t="s">
        <v>3042</v>
      </c>
      <c r="D6" s="2950" t="s">
        <v>3133</v>
      </c>
      <c r="E6" s="2950" t="s">
        <v>3142</v>
      </c>
      <c r="F6" s="2950" t="s">
        <v>3134</v>
      </c>
      <c r="G6" s="2950">
        <v>61106.9</v>
      </c>
      <c r="H6" s="2950">
        <v>122213.8</v>
      </c>
      <c r="I6" s="2950" t="s">
        <v>3143</v>
      </c>
      <c r="J6" s="2950" t="s">
        <v>3136</v>
      </c>
      <c r="K6" s="2950" t="s">
        <v>3144</v>
      </c>
      <c r="L6" s="2950" t="s">
        <v>3145</v>
      </c>
      <c r="M6" s="2950" t="s">
        <v>3145</v>
      </c>
      <c r="N6" s="2950" t="s">
        <v>3139</v>
      </c>
      <c r="O6" s="2950" t="s">
        <v>3146</v>
      </c>
      <c r="P6" s="2951">
        <v>13199.09</v>
      </c>
      <c r="Q6" s="2950">
        <v>1080</v>
      </c>
      <c r="R6" s="2950" t="s">
        <v>3141</v>
      </c>
      <c r="S6" s="2959">
        <f t="shared" ref="S6:S19" si="0">P6*10000/G6</f>
        <v>2159.9999345409437</v>
      </c>
    </row>
    <row r="7" spans="1:19">
      <c r="A7" s="2950" t="s">
        <v>3147</v>
      </c>
      <c r="B7" s="2950" t="s">
        <v>3039</v>
      </c>
      <c r="C7" s="2950" t="s">
        <v>3042</v>
      </c>
      <c r="D7" s="2950" t="s">
        <v>3133</v>
      </c>
      <c r="E7" s="2950" t="s">
        <v>3147</v>
      </c>
      <c r="F7" s="2950" t="s">
        <v>3134</v>
      </c>
      <c r="G7" s="2950">
        <v>2718.4</v>
      </c>
      <c r="H7" s="2950">
        <v>4077.6</v>
      </c>
      <c r="I7" s="2950" t="s">
        <v>3148</v>
      </c>
      <c r="J7" s="2950" t="s">
        <v>3136</v>
      </c>
      <c r="K7" s="2950" t="s">
        <v>3149</v>
      </c>
      <c r="L7" s="2950" t="s">
        <v>3150</v>
      </c>
      <c r="M7" s="2950" t="s">
        <v>3150</v>
      </c>
      <c r="N7" s="2950" t="s">
        <v>3139</v>
      </c>
      <c r="O7" s="2950" t="s">
        <v>3151</v>
      </c>
      <c r="P7" s="2951">
        <v>611.63</v>
      </c>
      <c r="Q7" s="2950">
        <v>1500</v>
      </c>
      <c r="R7" s="2950" t="s">
        <v>3141</v>
      </c>
      <c r="S7" s="2959">
        <f t="shared" si="0"/>
        <v>2249.9632136550913</v>
      </c>
    </row>
    <row r="8" spans="1:19">
      <c r="A8" s="2950" t="s">
        <v>3152</v>
      </c>
      <c r="B8" s="2950" t="s">
        <v>3039</v>
      </c>
      <c r="C8" s="2950" t="s">
        <v>3042</v>
      </c>
      <c r="D8" s="2950" t="s">
        <v>3133</v>
      </c>
      <c r="E8" s="2950" t="s">
        <v>3152</v>
      </c>
      <c r="F8" s="2950" t="s">
        <v>3134</v>
      </c>
      <c r="G8" s="2950">
        <v>11807.8</v>
      </c>
      <c r="H8" s="2950">
        <v>17711.7</v>
      </c>
      <c r="I8" s="2950" t="s">
        <v>3135</v>
      </c>
      <c r="J8" s="2950" t="s">
        <v>3136</v>
      </c>
      <c r="K8" s="2950" t="s">
        <v>3149</v>
      </c>
      <c r="L8" s="2950" t="s">
        <v>3153</v>
      </c>
      <c r="M8" s="2950" t="s">
        <v>3153</v>
      </c>
      <c r="N8" s="2950" t="s">
        <v>3139</v>
      </c>
      <c r="O8" s="2950" t="s">
        <v>3154</v>
      </c>
      <c r="P8" s="2951">
        <v>2656.76</v>
      </c>
      <c r="Q8" s="2950">
        <v>1500</v>
      </c>
      <c r="R8" s="2950" t="s">
        <v>3141</v>
      </c>
      <c r="S8" s="2959">
        <f t="shared" si="0"/>
        <v>2250.0042344890671</v>
      </c>
    </row>
    <row r="9" spans="1:19">
      <c r="A9" s="2950" t="s">
        <v>3155</v>
      </c>
      <c r="B9" s="2950" t="s">
        <v>3039</v>
      </c>
      <c r="C9" s="2950" t="s">
        <v>3042</v>
      </c>
      <c r="D9" s="2950" t="s">
        <v>3133</v>
      </c>
      <c r="E9" s="2950" t="s">
        <v>3155</v>
      </c>
      <c r="F9" s="2950" t="s">
        <v>3134</v>
      </c>
      <c r="G9" s="2950">
        <v>40514.6</v>
      </c>
      <c r="H9" s="2950">
        <v>81029.2</v>
      </c>
      <c r="I9" s="2950" t="s">
        <v>3143</v>
      </c>
      <c r="J9" s="2950" t="s">
        <v>3136</v>
      </c>
      <c r="K9" s="2950" t="s">
        <v>3149</v>
      </c>
      <c r="L9" s="2950" t="s">
        <v>3153</v>
      </c>
      <c r="M9" s="2950" t="s">
        <v>3153</v>
      </c>
      <c r="N9" s="2950" t="s">
        <v>3139</v>
      </c>
      <c r="O9" s="2950" t="s">
        <v>3156</v>
      </c>
      <c r="P9" s="2951">
        <v>7049.53</v>
      </c>
      <c r="Q9" s="2950">
        <v>870</v>
      </c>
      <c r="R9" s="2950" t="s">
        <v>3141</v>
      </c>
      <c r="S9" s="2959">
        <f t="shared" si="0"/>
        <v>1739.9974330241444</v>
      </c>
    </row>
    <row r="10" spans="1:19">
      <c r="A10" s="2950" t="s">
        <v>3157</v>
      </c>
      <c r="B10" s="2950" t="s">
        <v>3039</v>
      </c>
      <c r="C10" s="2950" t="s">
        <v>3042</v>
      </c>
      <c r="D10" s="2950" t="s">
        <v>3133</v>
      </c>
      <c r="E10" s="2950" t="s">
        <v>3158</v>
      </c>
      <c r="F10" s="2950" t="s">
        <v>3134</v>
      </c>
      <c r="G10" s="2950">
        <v>31860</v>
      </c>
      <c r="H10" s="2950">
        <v>63720</v>
      </c>
      <c r="I10" s="2950" t="s">
        <v>3143</v>
      </c>
      <c r="J10" s="2950" t="s">
        <v>3136</v>
      </c>
      <c r="K10" s="2950" t="s">
        <v>3159</v>
      </c>
      <c r="L10" s="2950" t="s">
        <v>3160</v>
      </c>
      <c r="M10" s="2950" t="s">
        <v>3160</v>
      </c>
      <c r="N10" s="2950" t="s">
        <v>3139</v>
      </c>
      <c r="O10" s="2950" t="s">
        <v>3161</v>
      </c>
      <c r="P10" s="2951">
        <v>5543.64</v>
      </c>
      <c r="Q10" s="2950">
        <v>870</v>
      </c>
      <c r="R10" s="2950" t="s">
        <v>3141</v>
      </c>
      <c r="S10" s="2959">
        <f t="shared" si="0"/>
        <v>1740</v>
      </c>
    </row>
    <row r="11" spans="1:19" ht="11.25" customHeight="1">
      <c r="A11" s="2950" t="s">
        <v>3162</v>
      </c>
      <c r="B11" s="2950" t="s">
        <v>3039</v>
      </c>
      <c r="C11" s="2950" t="s">
        <v>3042</v>
      </c>
      <c r="D11" s="2950" t="s">
        <v>3133</v>
      </c>
      <c r="E11" s="2950" t="s">
        <v>3162</v>
      </c>
      <c r="F11" s="2950" t="s">
        <v>3134</v>
      </c>
      <c r="G11" s="2950">
        <v>233050</v>
      </c>
      <c r="H11" s="2950">
        <v>279660</v>
      </c>
      <c r="I11" s="2950" t="s">
        <v>3163</v>
      </c>
      <c r="J11" s="2950" t="s">
        <v>3164</v>
      </c>
      <c r="K11" s="2950" t="s">
        <v>3165</v>
      </c>
      <c r="L11" s="2950" t="s">
        <v>3166</v>
      </c>
      <c r="M11" s="2950" t="s">
        <v>3166</v>
      </c>
      <c r="N11" s="2950" t="s">
        <v>3139</v>
      </c>
      <c r="O11" s="2950" t="s">
        <v>3167</v>
      </c>
      <c r="P11" s="2951">
        <v>21533.81</v>
      </c>
      <c r="Q11" s="2950">
        <v>770</v>
      </c>
      <c r="R11" s="2950" t="s">
        <v>3141</v>
      </c>
      <c r="S11" s="2959">
        <f t="shared" si="0"/>
        <v>923.9995709075306</v>
      </c>
    </row>
    <row r="12" spans="1:19" s="2954" customFormat="1">
      <c r="A12" s="2954" t="s">
        <v>3168</v>
      </c>
      <c r="B12" s="2954" t="s">
        <v>3039</v>
      </c>
      <c r="C12" s="2954" t="s">
        <v>3042</v>
      </c>
      <c r="D12" s="2954" t="s">
        <v>3133</v>
      </c>
      <c r="E12" s="2954" t="s">
        <v>3169</v>
      </c>
      <c r="F12" s="2954" t="s">
        <v>3134</v>
      </c>
      <c r="G12" s="2954">
        <v>26676.58</v>
      </c>
      <c r="H12" s="2954">
        <v>37347</v>
      </c>
      <c r="I12" s="2954" t="s">
        <v>3170</v>
      </c>
      <c r="J12" s="2954" t="s">
        <v>3164</v>
      </c>
      <c r="K12" s="2954" t="s">
        <v>3171</v>
      </c>
      <c r="L12" s="2954" t="s">
        <v>3172</v>
      </c>
      <c r="M12" s="2954" t="s">
        <v>3172</v>
      </c>
      <c r="N12" s="2954" t="s">
        <v>3139</v>
      </c>
      <c r="O12" s="2954" t="s">
        <v>3173</v>
      </c>
      <c r="P12" s="2955">
        <v>3035</v>
      </c>
      <c r="Q12" s="2954">
        <v>812.64</v>
      </c>
      <c r="R12" s="2954" t="s">
        <v>3141</v>
      </c>
      <c r="S12" s="2959">
        <f t="shared" si="0"/>
        <v>1137.7020592594702</v>
      </c>
    </row>
    <row r="13" spans="1:19" s="2954" customFormat="1">
      <c r="A13" s="2954" t="s">
        <v>3174</v>
      </c>
      <c r="B13" s="2954" t="s">
        <v>3039</v>
      </c>
      <c r="C13" s="2954" t="s">
        <v>3042</v>
      </c>
      <c r="D13" s="2954" t="s">
        <v>3133</v>
      </c>
      <c r="E13" s="2954" t="s">
        <v>3169</v>
      </c>
      <c r="F13" s="2954" t="s">
        <v>3134</v>
      </c>
      <c r="G13" s="2954">
        <v>50030.87</v>
      </c>
      <c r="H13" s="2954">
        <v>75046</v>
      </c>
      <c r="I13" s="2954" t="s">
        <v>3148</v>
      </c>
      <c r="J13" s="2954" t="s">
        <v>3164</v>
      </c>
      <c r="K13" s="2954" t="s">
        <v>3171</v>
      </c>
      <c r="L13" s="2954" t="s">
        <v>3175</v>
      </c>
      <c r="M13" s="2954" t="s">
        <v>3175</v>
      </c>
      <c r="N13" s="2954" t="s">
        <v>3139</v>
      </c>
      <c r="O13" s="2954" t="s">
        <v>3176</v>
      </c>
      <c r="P13" s="2955">
        <v>5951</v>
      </c>
      <c r="Q13" s="2954">
        <v>792.98</v>
      </c>
      <c r="R13" s="2954" t="s">
        <v>3141</v>
      </c>
      <c r="S13" s="2959">
        <f t="shared" si="0"/>
        <v>1189.4656239237893</v>
      </c>
    </row>
    <row r="14" spans="1:19">
      <c r="A14" s="2950" t="s">
        <v>3177</v>
      </c>
      <c r="B14" s="2950" t="s">
        <v>3039</v>
      </c>
      <c r="C14" s="2950" t="s">
        <v>3042</v>
      </c>
      <c r="D14" s="2950" t="s">
        <v>3133</v>
      </c>
      <c r="E14" s="2950" t="s">
        <v>3177</v>
      </c>
      <c r="F14" s="2950" t="s">
        <v>3134</v>
      </c>
      <c r="G14" s="2950">
        <v>49648.1</v>
      </c>
      <c r="H14" s="2950">
        <v>99296.2</v>
      </c>
      <c r="I14" s="2950" t="s">
        <v>3143</v>
      </c>
      <c r="J14" s="2950" t="s">
        <v>3164</v>
      </c>
      <c r="K14" s="2950" t="s">
        <v>3178</v>
      </c>
      <c r="L14" s="2950" t="s">
        <v>3179</v>
      </c>
      <c r="M14" s="2950" t="s">
        <v>3179</v>
      </c>
      <c r="N14" s="2950" t="s">
        <v>3139</v>
      </c>
      <c r="O14" s="2950" t="s">
        <v>3180</v>
      </c>
      <c r="P14" s="2951">
        <v>8638.77</v>
      </c>
      <c r="Q14" s="2950">
        <v>870</v>
      </c>
      <c r="R14" s="2950" t="s">
        <v>3141</v>
      </c>
      <c r="S14" s="2959">
        <f t="shared" si="0"/>
        <v>1740.0001208505462</v>
      </c>
    </row>
    <row r="15" spans="1:19" s="2954" customFormat="1">
      <c r="A15" s="2954" t="s">
        <v>3181</v>
      </c>
      <c r="B15" s="2954" t="s">
        <v>3039</v>
      </c>
      <c r="C15" s="2954" t="s">
        <v>3042</v>
      </c>
      <c r="D15" s="2954" t="s">
        <v>3133</v>
      </c>
      <c r="E15" s="2954" t="s">
        <v>3169</v>
      </c>
      <c r="F15" s="2954" t="s">
        <v>3134</v>
      </c>
      <c r="G15" s="2954">
        <v>11642.35</v>
      </c>
      <c r="H15" s="2954">
        <v>23285</v>
      </c>
      <c r="I15" s="2954" t="s">
        <v>3143</v>
      </c>
      <c r="J15" s="2954" t="s">
        <v>3164</v>
      </c>
      <c r="K15" s="2954" t="s">
        <v>3178</v>
      </c>
      <c r="L15" s="2954" t="s">
        <v>3182</v>
      </c>
      <c r="M15" s="2954" t="s">
        <v>3182</v>
      </c>
      <c r="N15" s="2954" t="s">
        <v>3139</v>
      </c>
      <c r="O15" s="2954" t="s">
        <v>3183</v>
      </c>
      <c r="P15" s="2955">
        <v>1635</v>
      </c>
      <c r="Q15" s="2954">
        <v>702.16</v>
      </c>
      <c r="R15" s="2954" t="s">
        <v>3141</v>
      </c>
      <c r="S15" s="2959">
        <f t="shared" si="0"/>
        <v>1404.3556498473247</v>
      </c>
    </row>
    <row r="16" spans="1:19" s="2952" customFormat="1">
      <c r="A16" s="2952" t="s">
        <v>3184</v>
      </c>
      <c r="B16" s="2952" t="s">
        <v>3039</v>
      </c>
      <c r="C16" s="2952" t="s">
        <v>3042</v>
      </c>
      <c r="D16" s="2952" t="s">
        <v>3133</v>
      </c>
      <c r="E16" s="2952" t="s">
        <v>3169</v>
      </c>
      <c r="F16" s="2952" t="s">
        <v>3134</v>
      </c>
      <c r="G16" s="2952">
        <v>5352.49</v>
      </c>
      <c r="H16" s="2952">
        <v>7493</v>
      </c>
      <c r="I16" s="2952" t="s">
        <v>3170</v>
      </c>
      <c r="J16" s="2952" t="s">
        <v>3164</v>
      </c>
      <c r="K16" s="2952" t="s">
        <v>3178</v>
      </c>
      <c r="L16" s="2952" t="s">
        <v>3182</v>
      </c>
      <c r="M16" s="2952" t="s">
        <v>3182</v>
      </c>
      <c r="N16" s="2952" t="s">
        <v>3139</v>
      </c>
      <c r="O16" s="2952" t="s">
        <v>3185</v>
      </c>
      <c r="P16" s="2953">
        <v>613</v>
      </c>
      <c r="Q16" s="2952">
        <v>818.1</v>
      </c>
      <c r="R16" s="2952" t="s">
        <v>3141</v>
      </c>
      <c r="S16" s="2959">
        <f t="shared" si="0"/>
        <v>1145.2613643369723</v>
      </c>
    </row>
    <row r="17" spans="1:19" s="2952" customFormat="1">
      <c r="A17" s="2952" t="s">
        <v>3186</v>
      </c>
      <c r="B17" s="2952" t="s">
        <v>3039</v>
      </c>
      <c r="C17" s="2952" t="s">
        <v>3042</v>
      </c>
      <c r="D17" s="2952" t="s">
        <v>3133</v>
      </c>
      <c r="E17" s="2952" t="s">
        <v>3169</v>
      </c>
      <c r="F17" s="2952" t="s">
        <v>3134</v>
      </c>
      <c r="G17" s="2952">
        <v>11276.71</v>
      </c>
      <c r="H17" s="2952">
        <v>16915</v>
      </c>
      <c r="I17" s="2952" t="s">
        <v>3148</v>
      </c>
      <c r="J17" s="2952" t="s">
        <v>3164</v>
      </c>
      <c r="K17" s="2952" t="s">
        <v>3178</v>
      </c>
      <c r="L17" s="2952" t="s">
        <v>3182</v>
      </c>
      <c r="M17" s="2952" t="s">
        <v>3182</v>
      </c>
      <c r="N17" s="2952" t="s">
        <v>3139</v>
      </c>
      <c r="O17" s="2952" t="s">
        <v>3187</v>
      </c>
      <c r="P17" s="2953">
        <v>1346</v>
      </c>
      <c r="Q17" s="2952">
        <v>795.74</v>
      </c>
      <c r="R17" s="2952" t="s">
        <v>3141</v>
      </c>
      <c r="S17" s="2959">
        <f t="shared" si="0"/>
        <v>1193.6105477572803</v>
      </c>
    </row>
    <row r="18" spans="1:19" s="2952" customFormat="1">
      <c r="A18" s="2952" t="s">
        <v>3188</v>
      </c>
      <c r="B18" s="2952" t="s">
        <v>3039</v>
      </c>
      <c r="C18" s="2952" t="s">
        <v>3042</v>
      </c>
      <c r="D18" s="2952" t="s">
        <v>3133</v>
      </c>
      <c r="E18" s="2952" t="s">
        <v>3169</v>
      </c>
      <c r="F18" s="2952" t="s">
        <v>3134</v>
      </c>
      <c r="G18" s="2952">
        <v>11295.39</v>
      </c>
      <c r="H18" s="2952">
        <v>16943</v>
      </c>
      <c r="I18" s="2952" t="s">
        <v>3148</v>
      </c>
      <c r="J18" s="2952" t="s">
        <v>3164</v>
      </c>
      <c r="K18" s="2952" t="s">
        <v>3171</v>
      </c>
      <c r="L18" s="2952" t="s">
        <v>3189</v>
      </c>
      <c r="M18" s="2952" t="s">
        <v>3189</v>
      </c>
      <c r="N18" s="2952" t="s">
        <v>3139</v>
      </c>
      <c r="O18" s="2952" t="s">
        <v>3190</v>
      </c>
      <c r="P18" s="2953">
        <v>1347</v>
      </c>
      <c r="Q18" s="2952">
        <v>795.01</v>
      </c>
      <c r="R18" s="2952" t="s">
        <v>3141</v>
      </c>
      <c r="S18" s="2959">
        <f t="shared" si="0"/>
        <v>1192.5219049541452</v>
      </c>
    </row>
    <row r="19" spans="1:19" s="2952" customFormat="1">
      <c r="A19" s="2952" t="s">
        <v>3191</v>
      </c>
      <c r="B19" s="2952" t="s">
        <v>3039</v>
      </c>
      <c r="C19" s="2952" t="s">
        <v>3042</v>
      </c>
      <c r="D19" s="2952" t="s">
        <v>3133</v>
      </c>
      <c r="E19" s="2952" t="s">
        <v>3169</v>
      </c>
      <c r="F19" s="2952" t="s">
        <v>3134</v>
      </c>
      <c r="G19" s="2952">
        <v>66765.320000000007</v>
      </c>
      <c r="H19" s="2952">
        <v>100148</v>
      </c>
      <c r="I19" s="2952" t="s">
        <v>3148</v>
      </c>
      <c r="J19" s="2952" t="s">
        <v>3164</v>
      </c>
      <c r="K19" s="2952" t="s">
        <v>3171</v>
      </c>
      <c r="L19" s="2952" t="s">
        <v>3189</v>
      </c>
      <c r="M19" s="2952" t="s">
        <v>3189</v>
      </c>
      <c r="N19" s="2952" t="s">
        <v>3139</v>
      </c>
      <c r="O19" s="2952" t="s">
        <v>3192</v>
      </c>
      <c r="P19" s="2953">
        <v>11186</v>
      </c>
      <c r="Q19" s="2952">
        <v>1116.95</v>
      </c>
      <c r="R19" s="2952" t="s">
        <v>3141</v>
      </c>
      <c r="S19" s="2959">
        <f t="shared" si="0"/>
        <v>1675.4207124297463</v>
      </c>
    </row>
  </sheetData>
  <phoneticPr fontId="143" type="noConversion"/>
  <pageMargins left="0.75" right="0.75" top="1" bottom="1" header="0.5" footer="0.5"/>
  <pageSetup orientation="portrait" horizontalDpi="300" verticalDpi="300"/>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E8" zoomScale="80" zoomScaleNormal="80" workbookViewId="0">
      <selection activeCell="O63" sqref="O63"/>
    </sheetView>
  </sheetViews>
  <sheetFormatPr defaultRowHeight="14.25"/>
  <cols>
    <col min="1" max="1" width="14.375" style="403" customWidth="1"/>
    <col min="2" max="2" width="15.75" style="403" customWidth="1"/>
    <col min="3" max="3" width="16.8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2731</v>
      </c>
      <c r="B1" s="395"/>
      <c r="C1" s="396" t="s">
        <v>2783</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175" t="s">
        <v>2633</v>
      </c>
      <c r="D4" s="3202"/>
      <c r="E4" s="3203" t="s">
        <v>2634</v>
      </c>
      <c r="F4" s="3204"/>
      <c r="G4" s="3175" t="s">
        <v>2635</v>
      </c>
      <c r="H4" s="3202"/>
      <c r="I4" s="3175" t="s">
        <v>2636</v>
      </c>
      <c r="J4" s="3202"/>
      <c r="K4" s="610" t="s">
        <v>2637</v>
      </c>
      <c r="L4" s="1133"/>
      <c r="M4" s="1134"/>
      <c r="N4" s="1134"/>
      <c r="O4" s="1134"/>
      <c r="P4" s="3205" t="s">
        <v>2638</v>
      </c>
      <c r="Q4" s="3206"/>
      <c r="R4" s="3182" t="s">
        <v>2634</v>
      </c>
      <c r="S4" s="3183"/>
      <c r="T4" s="3182" t="s">
        <v>2635</v>
      </c>
      <c r="U4" s="3183"/>
      <c r="V4" s="3195" t="s">
        <v>2636</v>
      </c>
      <c r="W4" s="3195"/>
      <c r="X4" s="1816"/>
      <c r="Y4" s="3182" t="s">
        <v>2638</v>
      </c>
      <c r="Z4" s="3183"/>
      <c r="AA4" s="3199" t="s">
        <v>2634</v>
      </c>
      <c r="AB4" s="3200" t="s">
        <v>2635</v>
      </c>
      <c r="AC4" s="3199" t="s">
        <v>2636</v>
      </c>
    </row>
    <row r="5" spans="1:29" ht="15">
      <c r="A5" s="404"/>
      <c r="B5" s="405"/>
      <c r="C5" s="3186" t="s">
        <v>3083</v>
      </c>
      <c r="D5" s="3187"/>
      <c r="E5" s="3211" t="str">
        <f>土地案例!E12</f>
        <v>中关村科技园区大兴生物医药产业基地</v>
      </c>
      <c r="F5" s="3212"/>
      <c r="G5" s="3190" t="str">
        <f>土地案例!E13</f>
        <v>中关村科技园区大兴生物医药产业基地</v>
      </c>
      <c r="H5" s="3191"/>
      <c r="I5" s="3190" t="str">
        <f>土地案例!E15</f>
        <v>中关村科技园区大兴生物医药产业基地</v>
      </c>
      <c r="J5" s="3191"/>
      <c r="K5" s="610"/>
      <c r="L5" s="1133"/>
      <c r="M5" s="1134"/>
      <c r="N5" s="1134"/>
      <c r="O5" s="1134"/>
      <c r="P5" s="3207"/>
      <c r="Q5" s="3208"/>
      <c r="R5" s="3184"/>
      <c r="S5" s="3185"/>
      <c r="T5" s="3184"/>
      <c r="U5" s="3185"/>
      <c r="V5" s="3195"/>
      <c r="W5" s="3195"/>
      <c r="X5" s="1816"/>
      <c r="Y5" s="3184"/>
      <c r="Z5" s="3185"/>
      <c r="AA5" s="3200"/>
      <c r="AB5" s="3200"/>
      <c r="AC5" s="3200"/>
    </row>
    <row r="6" spans="1:29" ht="15.75" thickBot="1">
      <c r="A6" s="406"/>
      <c r="B6" s="407"/>
      <c r="C6" s="3188" t="s">
        <v>3084</v>
      </c>
      <c r="D6" s="3189"/>
      <c r="E6" s="3188" t="s">
        <v>3084</v>
      </c>
      <c r="F6" s="3189"/>
      <c r="G6" s="3188" t="s">
        <v>3084</v>
      </c>
      <c r="H6" s="3189"/>
      <c r="I6" s="3188" t="s">
        <v>3084</v>
      </c>
      <c r="J6" s="3189"/>
      <c r="K6" s="610" t="s">
        <v>2534</v>
      </c>
      <c r="L6" s="1133"/>
      <c r="M6" s="1134"/>
      <c r="N6" s="1134"/>
      <c r="O6" s="1134"/>
      <c r="P6" s="3209"/>
      <c r="Q6" s="3210"/>
      <c r="R6" s="3184"/>
      <c r="S6" s="3185"/>
      <c r="T6" s="3193"/>
      <c r="U6" s="3194"/>
      <c r="V6" s="3195"/>
      <c r="W6" s="3195"/>
      <c r="X6" s="1816"/>
      <c r="Y6" s="3193"/>
      <c r="Z6" s="3194"/>
      <c r="AA6" s="3201"/>
      <c r="AB6" s="3201"/>
      <c r="AC6" s="3201"/>
    </row>
    <row r="7" spans="1:29" s="117" customFormat="1" ht="15.75" thickBot="1">
      <c r="A7" s="408" t="s">
        <v>2535</v>
      </c>
      <c r="B7" s="409"/>
      <c r="C7" s="410">
        <f>'数据-取费表'!B2</f>
        <v>43430</v>
      </c>
      <c r="D7" s="411">
        <v>100</v>
      </c>
      <c r="E7" s="412">
        <v>42277</v>
      </c>
      <c r="F7" s="413">
        <f>SUMIF(65:65,YEAR(E7)&amp;"-"&amp;INT((MONTH(E7)+2)/3),66:66)</f>
        <v>0</v>
      </c>
      <c r="G7" s="2698" t="str">
        <f>土地案例!M13</f>
        <v>2015-09-18</v>
      </c>
      <c r="H7" s="411">
        <f>SUMIF(65:65,YEAR(G7)&amp;"-"&amp;INT((MONTH(G7)+2)/3),66:66)</f>
        <v>0</v>
      </c>
      <c r="I7" s="2698" t="str">
        <f>土地案例!M15</f>
        <v>2015-09-15</v>
      </c>
      <c r="J7" s="411">
        <f>SUMIF(65:65,YEAR(I7)&amp;"-"&amp;INT((MONTH(I7)+2)/3),66:66)</f>
        <v>0</v>
      </c>
      <c r="K7" s="611"/>
      <c r="L7" s="1135"/>
      <c r="M7" s="1136"/>
      <c r="N7" s="1136"/>
      <c r="O7" s="1136"/>
      <c r="P7" s="3180" t="s">
        <v>2536</v>
      </c>
      <c r="Q7" s="3192"/>
      <c r="R7" s="770" t="s">
        <v>17</v>
      </c>
      <c r="S7" s="771">
        <f t="shared" ref="S7:S15" si="0">F7</f>
        <v>0</v>
      </c>
      <c r="T7" s="770" t="s">
        <v>17</v>
      </c>
      <c r="U7" s="771">
        <f t="shared" ref="U7:U15" si="1">H7</f>
        <v>0</v>
      </c>
      <c r="V7" s="770" t="s">
        <v>17</v>
      </c>
      <c r="W7" s="771">
        <f t="shared" ref="W7:W15" si="2">J7</f>
        <v>0</v>
      </c>
      <c r="X7" s="772"/>
      <c r="Y7" s="3180" t="s">
        <v>2536</v>
      </c>
      <c r="Z7" s="3181"/>
      <c r="AA7" s="773" t="e">
        <f>D7/F7</f>
        <v>#DIV/0!</v>
      </c>
      <c r="AB7" s="773" t="e">
        <f>D7/H7</f>
        <v>#DIV/0!</v>
      </c>
      <c r="AC7" s="773" t="e">
        <f>D7/J7</f>
        <v>#DIV/0!</v>
      </c>
    </row>
    <row r="8" spans="1:29" s="117" customFormat="1" ht="15.75" thickBot="1">
      <c r="A8" s="408" t="s">
        <v>2537</v>
      </c>
      <c r="B8" s="409"/>
      <c r="C8" s="414" t="s">
        <v>2538</v>
      </c>
      <c r="D8" s="411">
        <v>100</v>
      </c>
      <c r="E8" s="414" t="s">
        <v>3050</v>
      </c>
      <c r="F8" s="413">
        <f>SUMIF(68:68,E8,69:69)-SUMIF(68:68,C8,69:69)+100</f>
        <v>100</v>
      </c>
      <c r="G8" s="414" t="s">
        <v>3050</v>
      </c>
      <c r="H8" s="411">
        <f>SUMIF(68:68,G8,69:69)-SUMIF(68:68,C8,69:69)+100</f>
        <v>100</v>
      </c>
      <c r="I8" s="414" t="s">
        <v>3050</v>
      </c>
      <c r="J8" s="411">
        <f>SUMIF(68:68,I8,69:69)-SUMIF(68:68,C8,69:69)+100</f>
        <v>100</v>
      </c>
      <c r="K8" s="611"/>
      <c r="L8" s="1135"/>
      <c r="M8" s="1136"/>
      <c r="N8" s="1136"/>
      <c r="O8" s="1136"/>
      <c r="P8" s="3180" t="s">
        <v>2539</v>
      </c>
      <c r="Q8" s="3181"/>
      <c r="R8" s="770" t="s">
        <v>17</v>
      </c>
      <c r="S8" s="771">
        <f t="shared" si="0"/>
        <v>100</v>
      </c>
      <c r="T8" s="770" t="s">
        <v>17</v>
      </c>
      <c r="U8" s="771">
        <f t="shared" si="1"/>
        <v>100</v>
      </c>
      <c r="V8" s="770" t="s">
        <v>17</v>
      </c>
      <c r="W8" s="771">
        <f t="shared" si="2"/>
        <v>100</v>
      </c>
      <c r="X8" s="772"/>
      <c r="Y8" s="3180" t="s">
        <v>2539</v>
      </c>
      <c r="Z8" s="3181"/>
      <c r="AA8" s="773">
        <f t="shared" ref="AA8:AA40" si="3">D8/F8</f>
        <v>1</v>
      </c>
      <c r="AB8" s="773">
        <f t="shared" ref="AB8:AB40" si="4">D8/H8</f>
        <v>1</v>
      </c>
      <c r="AC8" s="773">
        <f t="shared" ref="AC8:AC40" si="5">D8/J8</f>
        <v>1</v>
      </c>
    </row>
    <row r="9" spans="1:29" s="117" customFormat="1" ht="17.25" customHeight="1">
      <c r="A9" s="415" t="s">
        <v>2540</v>
      </c>
      <c r="B9" s="71" t="s">
        <v>2541</v>
      </c>
      <c r="C9" s="2701" t="s">
        <v>6</v>
      </c>
      <c r="D9" s="135">
        <v>100</v>
      </c>
      <c r="E9" s="2701" t="s">
        <v>6</v>
      </c>
      <c r="F9" s="135">
        <f>SUMIF(70:70,E9,71:71)-SUMIF(70:70,C9,71:71)+100</f>
        <v>100</v>
      </c>
      <c r="G9" s="2701" t="s">
        <v>6</v>
      </c>
      <c r="H9" s="135">
        <f>SUMIF(70:70,G9,71:71)-SUMIF(70:70,C9,71:71)+100</f>
        <v>100</v>
      </c>
      <c r="I9" s="2701" t="s">
        <v>6</v>
      </c>
      <c r="J9" s="135">
        <f>SUMIF(70:70,I9,71:71)-SUMIF(70:70,C9,71:71)+100</f>
        <v>100</v>
      </c>
      <c r="K9" s="611"/>
      <c r="L9" s="1135"/>
      <c r="M9" s="1136"/>
      <c r="N9" s="1136"/>
      <c r="O9" s="1137"/>
      <c r="P9" s="3178" t="s">
        <v>2542</v>
      </c>
      <c r="Q9" s="1798" t="str">
        <f t="shared" ref="Q9:Q15" si="6">B9</f>
        <v>用途</v>
      </c>
      <c r="R9" s="770" t="s">
        <v>17</v>
      </c>
      <c r="S9" s="771">
        <f t="shared" si="0"/>
        <v>100</v>
      </c>
      <c r="T9" s="770" t="s">
        <v>17</v>
      </c>
      <c r="U9" s="771">
        <f t="shared" si="1"/>
        <v>100</v>
      </c>
      <c r="V9" s="770" t="s">
        <v>17</v>
      </c>
      <c r="W9" s="771">
        <f t="shared" si="2"/>
        <v>100</v>
      </c>
      <c r="X9" s="772"/>
      <c r="Y9" s="3004" t="s">
        <v>2543</v>
      </c>
      <c r="Z9" s="55" t="str">
        <f t="shared" ref="Z9:Z15" si="7">Q9</f>
        <v>用途</v>
      </c>
      <c r="AA9" s="773">
        <f t="shared" si="3"/>
        <v>1</v>
      </c>
      <c r="AB9" s="773">
        <f t="shared" si="4"/>
        <v>1</v>
      </c>
      <c r="AC9" s="773">
        <f t="shared" si="5"/>
        <v>1</v>
      </c>
    </row>
    <row r="10" spans="1:29" s="427" customFormat="1" ht="27">
      <c r="A10" s="421"/>
      <c r="B10" s="422" t="s">
        <v>2544</v>
      </c>
      <c r="C10" s="432" t="str">
        <f>项目基本情况!F16</f>
        <v>45.24年</v>
      </c>
      <c r="D10" s="136">
        <v>100</v>
      </c>
      <c r="E10" s="432">
        <v>50</v>
      </c>
      <c r="F10" s="136">
        <f>ROUND(100/'数据-取费表'!G16,0)</f>
        <v>103</v>
      </c>
      <c r="G10" s="432">
        <v>50</v>
      </c>
      <c r="H10" s="136">
        <f>ROUND(100/'数据-取费表'!G16,0)</f>
        <v>103</v>
      </c>
      <c r="I10" s="432">
        <v>50</v>
      </c>
      <c r="J10" s="136">
        <f>ROUND(100/'数据-取费表'!G16,0)</f>
        <v>103</v>
      </c>
      <c r="K10" s="672"/>
      <c r="L10" s="1138"/>
      <c r="M10" s="1139"/>
      <c r="N10" s="1139"/>
      <c r="O10" s="1140"/>
      <c r="P10" s="3178"/>
      <c r="Q10" s="1798" t="str">
        <f t="shared" si="6"/>
        <v>土地使用年限（年）</v>
      </c>
      <c r="R10" s="770" t="s">
        <v>17</v>
      </c>
      <c r="S10" s="771">
        <f t="shared" si="0"/>
        <v>103</v>
      </c>
      <c r="T10" s="770" t="s">
        <v>17</v>
      </c>
      <c r="U10" s="771">
        <f t="shared" si="1"/>
        <v>103</v>
      </c>
      <c r="V10" s="770" t="s">
        <v>17</v>
      </c>
      <c r="W10" s="771">
        <f t="shared" si="2"/>
        <v>103</v>
      </c>
      <c r="X10" s="772"/>
      <c r="Y10" s="3004"/>
      <c r="Z10" s="55" t="str">
        <f t="shared" si="7"/>
        <v>土地使用年限（年）</v>
      </c>
      <c r="AA10" s="773">
        <f t="shared" si="3"/>
        <v>0.970873786407767</v>
      </c>
      <c r="AB10" s="773">
        <f t="shared" si="4"/>
        <v>0.970873786407767</v>
      </c>
      <c r="AC10" s="773">
        <f t="shared" si="5"/>
        <v>0.970873786407767</v>
      </c>
    </row>
    <row r="11" spans="1:29" ht="15">
      <c r="A11" s="428"/>
      <c r="B11" s="422" t="s">
        <v>2545</v>
      </c>
      <c r="C11" s="429">
        <f>'数据-汇总表'!I4</f>
        <v>1.54</v>
      </c>
      <c r="D11" s="136">
        <v>100</v>
      </c>
      <c r="E11" s="429">
        <v>1.4</v>
      </c>
      <c r="F11" s="136">
        <f>LOOKUP(E11,75:75,76:76)-LOOKUP(C11,75:75,76:76)+100</f>
        <v>100</v>
      </c>
      <c r="G11" s="430">
        <v>1.5</v>
      </c>
      <c r="H11" s="136">
        <f>LOOKUP(G11,75:75,76:76)-LOOKUP(C11,75:75,76:76)+100</f>
        <v>100</v>
      </c>
      <c r="I11" s="429">
        <v>2</v>
      </c>
      <c r="J11" s="136">
        <f>LOOKUP(I11,75:75,76:76)-LOOKUP(C11,75:75,76:76)+100</f>
        <v>100</v>
      </c>
      <c r="K11" s="673">
        <v>0</v>
      </c>
      <c r="L11" s="1141"/>
      <c r="M11" s="1134"/>
      <c r="N11" s="1134"/>
      <c r="O11" s="1142"/>
      <c r="P11" s="3178"/>
      <c r="Q11" s="1798" t="str">
        <f t="shared" si="6"/>
        <v>容积率</v>
      </c>
      <c r="R11" s="770" t="s">
        <v>17</v>
      </c>
      <c r="S11" s="771">
        <f t="shared" si="0"/>
        <v>100</v>
      </c>
      <c r="T11" s="770" t="s">
        <v>17</v>
      </c>
      <c r="U11" s="771">
        <f t="shared" si="1"/>
        <v>100</v>
      </c>
      <c r="V11" s="770" t="s">
        <v>17</v>
      </c>
      <c r="W11" s="771">
        <f t="shared" si="2"/>
        <v>100</v>
      </c>
      <c r="X11" s="772"/>
      <c r="Y11" s="3004"/>
      <c r="Z11" s="55" t="str">
        <f t="shared" si="7"/>
        <v>容积率</v>
      </c>
      <c r="AA11" s="773">
        <f t="shared" si="3"/>
        <v>1</v>
      </c>
      <c r="AB11" s="773">
        <f t="shared" si="4"/>
        <v>1</v>
      </c>
      <c r="AC11" s="773">
        <f t="shared" si="5"/>
        <v>1</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8"/>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8"/>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8"/>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99.75">
      <c r="A15" s="440" t="s">
        <v>2546</v>
      </c>
      <c r="B15" s="629" t="s">
        <v>2784</v>
      </c>
      <c r="C15" s="2695" t="str">
        <f>估价对象房地状况!G15</f>
        <v>估价对象位于大兴生物医药基地，周边1公里范围内有味多美食品技术开发公司、北京以岭药业等项目，产业集聚程度较好。</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196" t="s">
        <v>2547</v>
      </c>
      <c r="Q15" s="1813" t="str">
        <f t="shared" si="6"/>
        <v>产业集聚程度</v>
      </c>
      <c r="R15" s="774" t="s">
        <v>17</v>
      </c>
      <c r="S15" s="775">
        <f t="shared" si="0"/>
        <v>100</v>
      </c>
      <c r="T15" s="774" t="s">
        <v>17</v>
      </c>
      <c r="U15" s="775">
        <f t="shared" si="1"/>
        <v>100</v>
      </c>
      <c r="V15" s="774" t="s">
        <v>17</v>
      </c>
      <c r="W15" s="775">
        <f t="shared" si="2"/>
        <v>100</v>
      </c>
      <c r="X15" s="1816"/>
      <c r="Y15" s="3196" t="s">
        <v>2547</v>
      </c>
      <c r="Z15" s="1817" t="str">
        <f t="shared" si="7"/>
        <v>产业集聚程度</v>
      </c>
      <c r="AA15" s="1814">
        <f t="shared" si="3"/>
        <v>1</v>
      </c>
      <c r="AB15" s="1814">
        <f t="shared" si="4"/>
        <v>1</v>
      </c>
      <c r="AC15" s="1814">
        <f t="shared" si="5"/>
        <v>1</v>
      </c>
    </row>
    <row r="16" spans="1:29" ht="15">
      <c r="A16" s="428"/>
      <c r="B16" s="630"/>
      <c r="C16" s="447" t="s">
        <v>3094</v>
      </c>
      <c r="D16" s="448"/>
      <c r="E16" s="2613" t="s">
        <v>3094</v>
      </c>
      <c r="F16" s="448"/>
      <c r="G16" s="2613" t="s">
        <v>3094</v>
      </c>
      <c r="H16" s="450"/>
      <c r="I16" s="2613" t="s">
        <v>3094</v>
      </c>
      <c r="J16" s="448"/>
      <c r="K16" s="672"/>
      <c r="L16" s="1143"/>
      <c r="M16" s="1134"/>
      <c r="N16" s="1134"/>
      <c r="O16" s="1142"/>
      <c r="P16" s="3197"/>
      <c r="Q16" s="1813"/>
      <c r="R16" s="774"/>
      <c r="S16" s="775"/>
      <c r="T16" s="774"/>
      <c r="U16" s="775"/>
      <c r="V16" s="774"/>
      <c r="W16" s="775"/>
      <c r="X16" s="1816"/>
      <c r="Y16" s="3197"/>
      <c r="Z16" s="1817"/>
      <c r="AA16" s="1814">
        <v>1</v>
      </c>
      <c r="AB16" s="1814">
        <v>1</v>
      </c>
      <c r="AC16" s="1814">
        <v>1</v>
      </c>
    </row>
    <row r="17" spans="1:29" ht="85.5">
      <c r="A17" s="428"/>
      <c r="B17" s="631" t="s">
        <v>2696</v>
      </c>
      <c r="C17" s="2609" t="str">
        <f>估价对象房地状况!G16</f>
        <v>周边1公里范围内有兴11路、兴15路、兴16路等公交线路及地铁大兴线经过，交通便捷度一般。</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197"/>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632"/>
      <c r="C18" s="447" t="s">
        <v>3094</v>
      </c>
      <c r="D18" s="448"/>
      <c r="E18" s="447" t="s">
        <v>3094</v>
      </c>
      <c r="F18" s="448"/>
      <c r="G18" s="447" t="s">
        <v>3094</v>
      </c>
      <c r="H18" s="448"/>
      <c r="I18" s="447" t="s">
        <v>3094</v>
      </c>
      <c r="J18" s="448"/>
      <c r="K18" s="672"/>
      <c r="L18" s="1143"/>
      <c r="M18" s="1134"/>
      <c r="N18" s="1134"/>
      <c r="O18" s="1142"/>
      <c r="P18" s="3197"/>
      <c r="Q18" s="1813"/>
      <c r="R18" s="774"/>
      <c r="S18" s="775"/>
      <c r="T18" s="774"/>
      <c r="U18" s="775"/>
      <c r="V18" s="774"/>
      <c r="W18" s="775"/>
      <c r="X18" s="1816"/>
      <c r="Y18" s="3197"/>
      <c r="Z18" s="1817"/>
      <c r="AA18" s="1814">
        <v>1</v>
      </c>
      <c r="AB18" s="1814">
        <v>1</v>
      </c>
      <c r="AC18" s="1814">
        <v>1</v>
      </c>
    </row>
    <row r="19" spans="1:29" ht="28.5">
      <c r="A19" s="428"/>
      <c r="B19" s="631" t="s">
        <v>2735</v>
      </c>
      <c r="C19" s="2609" t="str">
        <f>估价对象房地状况!G17</f>
        <v>零星有其他宗地，基本不影响本宗地</v>
      </c>
      <c r="D19" s="450">
        <v>100</v>
      </c>
      <c r="E19" s="452"/>
      <c r="F19" s="455">
        <f>SUMIF(87:87,E20,88:88)-SUMIF(87:87,C20,88:88)+100</f>
        <v>100</v>
      </c>
      <c r="G19" s="452"/>
      <c r="H19" s="455">
        <f>SUMIF(87:87,G20,88:88)-SUMIF(87:87,C20,88:88)+100</f>
        <v>100</v>
      </c>
      <c r="I19" s="452"/>
      <c r="J19" s="455">
        <f>SUMIF(87:87,I20,88:88)-SUMIF(87:87,C20,88:88)+100</f>
        <v>100</v>
      </c>
      <c r="K19" s="673">
        <v>2</v>
      </c>
      <c r="L19" s="1143"/>
      <c r="M19" s="1134"/>
      <c r="N19" s="1134"/>
      <c r="O19" s="1142"/>
      <c r="P19" s="3197"/>
      <c r="Q19" s="1813" t="str">
        <f t="shared" ref="Q19:Q33" si="8">B19</f>
        <v>区域土地利用方向</v>
      </c>
      <c r="R19" s="774" t="s">
        <v>17</v>
      </c>
      <c r="S19" s="775">
        <f>F19</f>
        <v>100</v>
      </c>
      <c r="T19" s="774" t="s">
        <v>17</v>
      </c>
      <c r="U19" s="775">
        <f>H19</f>
        <v>100</v>
      </c>
      <c r="V19" s="774" t="s">
        <v>17</v>
      </c>
      <c r="W19" s="775">
        <f>J19</f>
        <v>100</v>
      </c>
      <c r="X19" s="1816"/>
      <c r="Y19" s="3197"/>
      <c r="Z19" s="1817" t="str">
        <f>Q19</f>
        <v>区域土地利用方向</v>
      </c>
      <c r="AA19" s="1814">
        <f t="shared" si="3"/>
        <v>1</v>
      </c>
      <c r="AB19" s="1814">
        <f t="shared" si="4"/>
        <v>1</v>
      </c>
      <c r="AC19" s="1814">
        <f t="shared" si="5"/>
        <v>1</v>
      </c>
    </row>
    <row r="20" spans="1:29" ht="15">
      <c r="A20" s="404"/>
      <c r="B20" s="632"/>
      <c r="C20" s="447" t="s">
        <v>3093</v>
      </c>
      <c r="D20" s="448"/>
      <c r="E20" s="447" t="s">
        <v>3093</v>
      </c>
      <c r="F20" s="448"/>
      <c r="G20" s="447" t="s">
        <v>3093</v>
      </c>
      <c r="H20" s="448"/>
      <c r="I20" s="447" t="s">
        <v>3093</v>
      </c>
      <c r="J20" s="448"/>
      <c r="K20" s="812"/>
      <c r="L20" s="1143"/>
      <c r="M20" s="1134"/>
      <c r="N20" s="1134"/>
      <c r="O20" s="1142"/>
      <c r="P20" s="3197"/>
      <c r="Q20" s="1813"/>
      <c r="R20" s="774"/>
      <c r="S20" s="775"/>
      <c r="T20" s="774"/>
      <c r="U20" s="775"/>
      <c r="V20" s="774"/>
      <c r="W20" s="775"/>
      <c r="X20" s="1816"/>
      <c r="Y20" s="3197"/>
      <c r="Z20" s="1817"/>
      <c r="AA20" s="1814"/>
      <c r="AB20" s="1814"/>
      <c r="AC20" s="1814"/>
    </row>
    <row r="21" spans="1:29" ht="71.25">
      <c r="A21" s="404"/>
      <c r="B21" s="631" t="s">
        <v>2785</v>
      </c>
      <c r="C21" s="2609" t="str">
        <f>估价对象房地状况!G18</f>
        <v>区域内污染物排放及治理状况一般，周边无危险设施及污染源，环境状况较好。</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197"/>
      <c r="Q21" s="1813" t="str">
        <f t="shared" si="8"/>
        <v>环境状况</v>
      </c>
      <c r="R21" s="774" t="s">
        <v>17</v>
      </c>
      <c r="S21" s="775">
        <f>F21</f>
        <v>100</v>
      </c>
      <c r="T21" s="774" t="s">
        <v>17</v>
      </c>
      <c r="U21" s="775">
        <f>H21</f>
        <v>100</v>
      </c>
      <c r="V21" s="774" t="s">
        <v>17</v>
      </c>
      <c r="W21" s="775">
        <f>J21</f>
        <v>100</v>
      </c>
      <c r="X21" s="1816"/>
      <c r="Y21" s="3197"/>
      <c r="Z21" s="1817" t="str">
        <f>Q21</f>
        <v>环境状况</v>
      </c>
      <c r="AA21" s="1814">
        <f t="shared" si="3"/>
        <v>1</v>
      </c>
      <c r="AB21" s="1814">
        <f t="shared" si="4"/>
        <v>1</v>
      </c>
      <c r="AC21" s="1814">
        <f t="shared" si="5"/>
        <v>1</v>
      </c>
    </row>
    <row r="22" spans="1:29" ht="15">
      <c r="A22" s="404"/>
      <c r="B22" s="632"/>
      <c r="C22" s="447" t="s">
        <v>3093</v>
      </c>
      <c r="D22" s="448"/>
      <c r="E22" s="447" t="s">
        <v>3093</v>
      </c>
      <c r="F22" s="448"/>
      <c r="G22" s="447" t="s">
        <v>3093</v>
      </c>
      <c r="H22" s="448"/>
      <c r="I22" s="447" t="s">
        <v>3093</v>
      </c>
      <c r="J22" s="448"/>
      <c r="K22" s="672"/>
      <c r="L22" s="1143"/>
      <c r="M22" s="1134"/>
      <c r="N22" s="1134"/>
      <c r="O22" s="1142"/>
      <c r="P22" s="3197"/>
      <c r="Q22" s="1813"/>
      <c r="R22" s="774"/>
      <c r="S22" s="775"/>
      <c r="T22" s="774"/>
      <c r="U22" s="775"/>
      <c r="V22" s="774"/>
      <c r="W22" s="775"/>
      <c r="X22" s="1816"/>
      <c r="Y22" s="3197"/>
      <c r="Z22" s="1817"/>
      <c r="AA22" s="1814">
        <v>1</v>
      </c>
      <c r="AB22" s="1814">
        <v>1</v>
      </c>
      <c r="AC22" s="1814">
        <v>1</v>
      </c>
    </row>
    <row r="23" spans="1:29" s="117" customFormat="1" ht="42.75">
      <c r="A23" s="649"/>
      <c r="B23" s="633" t="s">
        <v>2641</v>
      </c>
      <c r="C23" s="2609" t="str">
        <f>估价对象房地状况!G19</f>
        <v>周边无银行、超市、餐饮等配套，公共服务设施较差</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197"/>
      <c r="Q23" s="1798" t="str">
        <f t="shared" si="8"/>
        <v>公共配套设施</v>
      </c>
      <c r="R23" s="770" t="s">
        <v>17</v>
      </c>
      <c r="S23" s="771">
        <f>F23</f>
        <v>100</v>
      </c>
      <c r="T23" s="770" t="s">
        <v>17</v>
      </c>
      <c r="U23" s="771">
        <f>H23</f>
        <v>100</v>
      </c>
      <c r="V23" s="770" t="s">
        <v>17</v>
      </c>
      <c r="W23" s="771">
        <f>J23</f>
        <v>100</v>
      </c>
      <c r="X23" s="772"/>
      <c r="Y23" s="3197"/>
      <c r="Z23" s="55" t="str">
        <f>Q23</f>
        <v>公共配套设施</v>
      </c>
      <c r="AA23" s="1814">
        <f>D23/F23</f>
        <v>1</v>
      </c>
      <c r="AB23" s="1814">
        <f>D23/H23</f>
        <v>1</v>
      </c>
      <c r="AC23" s="1814">
        <f>D23/J23</f>
        <v>1</v>
      </c>
    </row>
    <row r="24" spans="1:29" s="117" customFormat="1" ht="15">
      <c r="A24" s="649"/>
      <c r="B24" s="632"/>
      <c r="C24" s="2702" t="s">
        <v>3092</v>
      </c>
      <c r="D24" s="448"/>
      <c r="E24" s="2702" t="s">
        <v>3092</v>
      </c>
      <c r="F24" s="448"/>
      <c r="G24" s="2702" t="s">
        <v>3092</v>
      </c>
      <c r="H24" s="448"/>
      <c r="I24" s="2702" t="s">
        <v>3092</v>
      </c>
      <c r="J24" s="448"/>
      <c r="K24" s="672"/>
      <c r="L24" s="1135"/>
      <c r="M24" s="1136"/>
      <c r="N24" s="1136"/>
      <c r="O24" s="1137"/>
      <c r="P24" s="3197"/>
      <c r="Q24" s="1798"/>
      <c r="R24" s="770"/>
      <c r="S24" s="771"/>
      <c r="T24" s="770"/>
      <c r="U24" s="771"/>
      <c r="V24" s="770"/>
      <c r="W24" s="771"/>
      <c r="X24" s="772"/>
      <c r="Y24" s="3197"/>
      <c r="Z24" s="55"/>
      <c r="AA24" s="773">
        <v>1</v>
      </c>
      <c r="AB24" s="773">
        <v>1</v>
      </c>
      <c r="AC24" s="773">
        <v>1</v>
      </c>
    </row>
    <row r="25" spans="1:29" s="117" customFormat="1" ht="15">
      <c r="A25" s="649"/>
      <c r="B25" s="633" t="s">
        <v>2642</v>
      </c>
      <c r="C25" s="2609"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v>2</v>
      </c>
      <c r="L25" s="1135"/>
      <c r="M25" s="1136"/>
      <c r="N25" s="1136"/>
      <c r="O25" s="1137"/>
      <c r="P25" s="3197"/>
      <c r="Q25" s="1798" t="str">
        <f t="shared" ref="Q25" si="9">B25</f>
        <v>基础设施水平</v>
      </c>
      <c r="R25" s="770" t="s">
        <v>17</v>
      </c>
      <c r="S25" s="771">
        <f>F25</f>
        <v>100</v>
      </c>
      <c r="T25" s="770" t="s">
        <v>17</v>
      </c>
      <c r="U25" s="771">
        <f>H25</f>
        <v>100</v>
      </c>
      <c r="V25" s="770" t="s">
        <v>17</v>
      </c>
      <c r="W25" s="771">
        <f>J25</f>
        <v>100</v>
      </c>
      <c r="X25" s="772"/>
      <c r="Y25" s="3197"/>
      <c r="Z25" s="55" t="str">
        <f>Q25</f>
        <v>基础设施水平</v>
      </c>
      <c r="AA25" s="1814">
        <f>D25/F25</f>
        <v>1</v>
      </c>
      <c r="AB25" s="1814">
        <f>D25/H25</f>
        <v>1</v>
      </c>
      <c r="AC25" s="1814">
        <f>D25/J25</f>
        <v>1</v>
      </c>
    </row>
    <row r="26" spans="1:29" s="117" customFormat="1" ht="15">
      <c r="A26" s="649"/>
      <c r="B26" s="632"/>
      <c r="C26" s="2702" t="s">
        <v>3088</v>
      </c>
      <c r="D26" s="448"/>
      <c r="E26" s="2702" t="s">
        <v>3088</v>
      </c>
      <c r="F26" s="448"/>
      <c r="G26" s="2702" t="s">
        <v>3088</v>
      </c>
      <c r="H26" s="448"/>
      <c r="I26" s="2702" t="s">
        <v>3088</v>
      </c>
      <c r="J26" s="448"/>
      <c r="K26" s="672"/>
      <c r="L26" s="1135"/>
      <c r="M26" s="1136"/>
      <c r="N26" s="1136"/>
      <c r="O26" s="1137"/>
      <c r="P26" s="3197"/>
      <c r="Q26" s="1798"/>
      <c r="R26" s="770"/>
      <c r="S26" s="771"/>
      <c r="T26" s="770"/>
      <c r="U26" s="771"/>
      <c r="V26" s="770"/>
      <c r="W26" s="771"/>
      <c r="X26" s="772"/>
      <c r="Y26" s="3197"/>
      <c r="Z26" s="55"/>
      <c r="AA26" s="773">
        <v>1</v>
      </c>
      <c r="AB26" s="773">
        <v>1</v>
      </c>
      <c r="AC26" s="773">
        <v>1</v>
      </c>
    </row>
    <row r="27" spans="1:29" ht="15">
      <c r="A27" s="428"/>
      <c r="B27" s="632" t="s">
        <v>2643</v>
      </c>
      <c r="C27" s="616" t="s">
        <v>3095</v>
      </c>
      <c r="D27" s="435">
        <v>100</v>
      </c>
      <c r="E27" s="634" t="s">
        <v>3091</v>
      </c>
      <c r="F27" s="435">
        <f>SUMIF(95:95,E27,96:96)-SUMIF(95:95,C27,96:96)+100</f>
        <v>99</v>
      </c>
      <c r="G27" s="634" t="s">
        <v>3193</v>
      </c>
      <c r="H27" s="435">
        <f>SUMIF(95:95,G27,96:96)-SUMIF(95:95,C27,96:96)+100</f>
        <v>101</v>
      </c>
      <c r="I27" s="634" t="s">
        <v>3095</v>
      </c>
      <c r="J27" s="435">
        <f>SUMIF(95:95,I27,96:96)-SUMIF(95:95,C27,96:96)+100</f>
        <v>100</v>
      </c>
      <c r="K27" s="673">
        <v>1</v>
      </c>
      <c r="L27" s="1143"/>
      <c r="M27" s="1134"/>
      <c r="N27" s="1134"/>
      <c r="O27" s="1142"/>
      <c r="P27" s="3197"/>
      <c r="Q27" s="1813" t="str">
        <f t="shared" si="8"/>
        <v>临街状况</v>
      </c>
      <c r="R27" s="774" t="s">
        <v>17</v>
      </c>
      <c r="S27" s="775">
        <f t="shared" ref="S27:S40" si="10">F27</f>
        <v>99</v>
      </c>
      <c r="T27" s="774" t="s">
        <v>17</v>
      </c>
      <c r="U27" s="775">
        <f t="shared" ref="U27:U40" si="11">H27</f>
        <v>101</v>
      </c>
      <c r="V27" s="774" t="s">
        <v>17</v>
      </c>
      <c r="W27" s="775">
        <f t="shared" ref="W27:W40" si="12">J27</f>
        <v>100</v>
      </c>
      <c r="X27" s="1816"/>
      <c r="Y27" s="3197"/>
      <c r="Z27" s="1817" t="str">
        <f t="shared" ref="Z27:Z40" si="13">Q27</f>
        <v>临街状况</v>
      </c>
      <c r="AA27" s="1814">
        <f t="shared" si="3"/>
        <v>1.0101010101010102</v>
      </c>
      <c r="AB27" s="1814">
        <f t="shared" si="4"/>
        <v>0.99009900990099009</v>
      </c>
      <c r="AC27" s="1814">
        <f t="shared" si="5"/>
        <v>1</v>
      </c>
    </row>
    <row r="28" spans="1:29" ht="27">
      <c r="A28" s="428"/>
      <c r="B28" s="633" t="s">
        <v>2678</v>
      </c>
      <c r="C28" s="2715" t="str">
        <f>估价对象房地状况!G22</f>
        <v>支路-华佗路</v>
      </c>
      <c r="D28" s="450">
        <v>100</v>
      </c>
      <c r="E28" s="452"/>
      <c r="F28" s="450">
        <f>SUMIF(97:97,E29,98:98)-SUMIF(97:97,C29,98:98)+100</f>
        <v>100</v>
      </c>
      <c r="G28" s="452"/>
      <c r="H28" s="450">
        <f>SUMIF(97:97,G29,98:98)-SUMIF(97:97,C29,98:98)+100</f>
        <v>100</v>
      </c>
      <c r="I28" s="454"/>
      <c r="J28" s="450">
        <f>SUMIF(97:97,I29,98:98)-SUMIF(97:97,C29,98:98)+100</f>
        <v>100</v>
      </c>
      <c r="K28" s="673">
        <v>1</v>
      </c>
      <c r="L28" s="1143"/>
      <c r="M28" s="1134"/>
      <c r="N28" s="1134"/>
      <c r="O28" s="1142"/>
      <c r="P28" s="3197"/>
      <c r="Q28" s="1813" t="str">
        <f t="shared" si="8"/>
        <v>毗邻道路的类型与等级</v>
      </c>
      <c r="R28" s="774" t="s">
        <v>17</v>
      </c>
      <c r="S28" s="775">
        <f t="shared" si="10"/>
        <v>100</v>
      </c>
      <c r="T28" s="774" t="s">
        <v>17</v>
      </c>
      <c r="U28" s="775">
        <f t="shared" si="11"/>
        <v>100</v>
      </c>
      <c r="V28" s="774" t="s">
        <v>17</v>
      </c>
      <c r="W28" s="775">
        <f t="shared" si="12"/>
        <v>100</v>
      </c>
      <c r="X28" s="1816"/>
      <c r="Y28" s="3197"/>
      <c r="Z28" s="1817" t="str">
        <f t="shared" si="13"/>
        <v>毗邻道路的类型与等级</v>
      </c>
      <c r="AA28" s="1814">
        <f t="shared" si="3"/>
        <v>1</v>
      </c>
      <c r="AB28" s="1814">
        <f t="shared" si="4"/>
        <v>1</v>
      </c>
      <c r="AC28" s="1814">
        <f t="shared" si="5"/>
        <v>1</v>
      </c>
    </row>
    <row r="29" spans="1:29" ht="15.75" thickBot="1">
      <c r="A29" s="428"/>
      <c r="B29" s="632"/>
      <c r="C29" s="447" t="s">
        <v>3100</v>
      </c>
      <c r="D29" s="448"/>
      <c r="E29" s="2613" t="s">
        <v>3100</v>
      </c>
      <c r="F29" s="448"/>
      <c r="G29" s="2613" t="s">
        <v>3100</v>
      </c>
      <c r="H29" s="448"/>
      <c r="I29" s="2613" t="s">
        <v>3100</v>
      </c>
      <c r="J29" s="448"/>
      <c r="K29" s="613"/>
      <c r="L29" s="1143"/>
      <c r="M29" s="1134"/>
      <c r="N29" s="1134"/>
      <c r="O29" s="1142"/>
      <c r="P29" s="3197"/>
      <c r="Q29" s="1813"/>
      <c r="R29" s="774"/>
      <c r="S29" s="775"/>
      <c r="T29" s="774"/>
      <c r="U29" s="775"/>
      <c r="V29" s="774"/>
      <c r="W29" s="775"/>
      <c r="X29" s="1816"/>
      <c r="Y29" s="3197"/>
      <c r="Z29" s="1817"/>
      <c r="AA29" s="1814">
        <v>1</v>
      </c>
      <c r="AB29" s="1814">
        <v>1</v>
      </c>
      <c r="AC29" s="1814">
        <v>1</v>
      </c>
    </row>
    <row r="30" spans="1:29" ht="15.75" hidden="1" thickBot="1">
      <c r="A30" s="428"/>
      <c r="B30" s="654" t="s">
        <v>2737</v>
      </c>
      <c r="C30" s="1392" t="str">
        <f>估价对象房地状况!G23</f>
        <v>8级</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7"/>
      <c r="Q30" s="1813" t="str">
        <f t="shared" si="8"/>
        <v>土地级别</v>
      </c>
      <c r="R30" s="774" t="s">
        <v>17</v>
      </c>
      <c r="S30" s="775">
        <f t="shared" si="10"/>
        <v>100</v>
      </c>
      <c r="T30" s="774" t="s">
        <v>17</v>
      </c>
      <c r="U30" s="775">
        <f t="shared" si="11"/>
        <v>100</v>
      </c>
      <c r="V30" s="774" t="s">
        <v>17</v>
      </c>
      <c r="W30" s="775">
        <f t="shared" si="12"/>
        <v>100</v>
      </c>
      <c r="X30" s="1816"/>
      <c r="Y30" s="3197"/>
      <c r="Z30" s="1817" t="str">
        <f t="shared" si="13"/>
        <v>土地级别</v>
      </c>
      <c r="AA30" s="1814">
        <f t="shared" si="3"/>
        <v>1</v>
      </c>
      <c r="AB30" s="1814">
        <f t="shared" si="4"/>
        <v>1</v>
      </c>
      <c r="AC30" s="1814">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7"/>
      <c r="Q31" s="1813">
        <f t="shared" si="8"/>
        <v>111</v>
      </c>
      <c r="R31" s="774" t="s">
        <v>17</v>
      </c>
      <c r="S31" s="775">
        <f t="shared" si="10"/>
        <v>100</v>
      </c>
      <c r="T31" s="774" t="s">
        <v>17</v>
      </c>
      <c r="U31" s="775">
        <f t="shared" si="11"/>
        <v>100</v>
      </c>
      <c r="V31" s="774" t="s">
        <v>17</v>
      </c>
      <c r="W31" s="775">
        <f t="shared" si="12"/>
        <v>100</v>
      </c>
      <c r="X31" s="1816"/>
      <c r="Y31" s="3197"/>
      <c r="Z31" s="1817">
        <f t="shared" si="13"/>
        <v>111</v>
      </c>
      <c r="AA31" s="1814">
        <f t="shared" si="3"/>
        <v>1</v>
      </c>
      <c r="AB31" s="1814">
        <f t="shared" si="4"/>
        <v>1</v>
      </c>
      <c r="AC31" s="1814">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3" t="s">
        <v>2552</v>
      </c>
      <c r="Q32" s="1813">
        <f t="shared" si="8"/>
        <v>111</v>
      </c>
      <c r="R32" s="774" t="s">
        <v>17</v>
      </c>
      <c r="S32" s="775">
        <f t="shared" si="10"/>
        <v>100</v>
      </c>
      <c r="T32" s="774" t="s">
        <v>17</v>
      </c>
      <c r="U32" s="775">
        <f t="shared" si="11"/>
        <v>100</v>
      </c>
      <c r="V32" s="774" t="s">
        <v>17</v>
      </c>
      <c r="W32" s="775">
        <f t="shared" si="12"/>
        <v>100</v>
      </c>
      <c r="X32" s="1816"/>
      <c r="Y32" s="3198" t="s">
        <v>2552</v>
      </c>
      <c r="Z32" s="1817">
        <f t="shared" si="13"/>
        <v>111</v>
      </c>
      <c r="AA32" s="1814">
        <f t="shared" si="3"/>
        <v>1</v>
      </c>
      <c r="AB32" s="1814">
        <f t="shared" si="4"/>
        <v>1</v>
      </c>
      <c r="AC32" s="1814">
        <f t="shared" si="5"/>
        <v>1</v>
      </c>
    </row>
    <row r="33" spans="1:29" s="471" customFormat="1" ht="15.75"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8"/>
      <c r="Q33" s="1813">
        <f t="shared" si="8"/>
        <v>111</v>
      </c>
      <c r="R33" s="777" t="s">
        <v>17</v>
      </c>
      <c r="S33" s="778">
        <f t="shared" si="10"/>
        <v>100</v>
      </c>
      <c r="T33" s="777" t="s">
        <v>17</v>
      </c>
      <c r="U33" s="778">
        <f t="shared" si="11"/>
        <v>100</v>
      </c>
      <c r="V33" s="777" t="s">
        <v>17</v>
      </c>
      <c r="W33" s="778">
        <f t="shared" si="12"/>
        <v>100</v>
      </c>
      <c r="X33" s="779"/>
      <c r="Y33" s="3198"/>
      <c r="Z33" s="780">
        <f t="shared" si="13"/>
        <v>111</v>
      </c>
      <c r="AA33" s="1814">
        <f t="shared" si="3"/>
        <v>1</v>
      </c>
      <c r="AB33" s="1814">
        <f t="shared" si="4"/>
        <v>1</v>
      </c>
      <c r="AC33" s="1814">
        <f t="shared" si="5"/>
        <v>1</v>
      </c>
    </row>
    <row r="34" spans="1:29" ht="15">
      <c r="A34" s="440" t="s">
        <v>2550</v>
      </c>
      <c r="B34" s="456" t="s">
        <v>2738</v>
      </c>
      <c r="C34" s="679">
        <f>项目基本情况!C18</f>
        <v>23303.32</v>
      </c>
      <c r="D34" s="467">
        <v>100</v>
      </c>
      <c r="E34" s="679">
        <f>土地案例!G12</f>
        <v>26676.58</v>
      </c>
      <c r="F34" s="467">
        <f>LOOKUP(E34,108:108,109:109)-LOOKUP(C34,108:108,109:109)+100</f>
        <v>100</v>
      </c>
      <c r="G34" s="679">
        <f>土地案例!G13</f>
        <v>50030.87</v>
      </c>
      <c r="H34" s="467">
        <f>LOOKUP(G34,108:108,109:109)-LOOKUP(C34,108:108,109:109)+100</f>
        <v>101</v>
      </c>
      <c r="I34" s="530">
        <f>土地案例!G15</f>
        <v>11642.35</v>
      </c>
      <c r="J34" s="467">
        <f>LOOKUP(I34,108:108,109:109)-LOOKUP(C34,108:108,109:109)+100</f>
        <v>99</v>
      </c>
      <c r="K34" s="613"/>
      <c r="L34" s="1143"/>
      <c r="M34" s="1134"/>
      <c r="N34" s="1134"/>
      <c r="O34" s="1142"/>
      <c r="P34" s="3198"/>
      <c r="Q34" s="1813" t="str">
        <f>B34</f>
        <v>宗地面积</v>
      </c>
      <c r="R34" s="774" t="s">
        <v>17</v>
      </c>
      <c r="S34" s="775">
        <f t="shared" si="10"/>
        <v>100</v>
      </c>
      <c r="T34" s="774" t="s">
        <v>17</v>
      </c>
      <c r="U34" s="775">
        <f t="shared" si="11"/>
        <v>101</v>
      </c>
      <c r="V34" s="774" t="s">
        <v>17</v>
      </c>
      <c r="W34" s="775">
        <f t="shared" si="12"/>
        <v>99</v>
      </c>
      <c r="X34" s="1816"/>
      <c r="Y34" s="3198"/>
      <c r="Z34" s="1817" t="str">
        <f t="shared" si="13"/>
        <v>宗地面积</v>
      </c>
      <c r="AA34" s="1814">
        <f t="shared" si="3"/>
        <v>1</v>
      </c>
      <c r="AB34" s="1814">
        <f t="shared" si="4"/>
        <v>0.99009900990099009</v>
      </c>
      <c r="AC34" s="1814">
        <f t="shared" si="5"/>
        <v>1.0101010101010102</v>
      </c>
    </row>
    <row r="35" spans="1:29" ht="15">
      <c r="A35" s="472"/>
      <c r="B35" s="422" t="s">
        <v>2739</v>
      </c>
      <c r="C35" s="2615" t="s">
        <v>3103</v>
      </c>
      <c r="D35" s="435">
        <v>100</v>
      </c>
      <c r="E35" s="2615" t="s">
        <v>3103</v>
      </c>
      <c r="F35" s="435">
        <f>SUMIF(110:110,E35,111:111)-SUMIF(110:110,C35,111:111)+100</f>
        <v>100</v>
      </c>
      <c r="G35" s="2615" t="s">
        <v>3103</v>
      </c>
      <c r="H35" s="435">
        <f>SUMIF(110:110,G35,111:111)-SUMIF(110:110,C35,111:111)+100</f>
        <v>100</v>
      </c>
      <c r="I35" s="2615" t="s">
        <v>3103</v>
      </c>
      <c r="J35" s="435">
        <f>SUMIF(110:110,I35,111:111)-SUMIF(110:110,C35,111:111)+100</f>
        <v>100</v>
      </c>
      <c r="K35" s="612">
        <v>2</v>
      </c>
      <c r="L35" s="1143"/>
      <c r="M35" s="1134"/>
      <c r="N35" s="1134"/>
      <c r="O35" s="1142"/>
      <c r="P35" s="3198"/>
      <c r="Q35" s="1813" t="str">
        <f t="shared" ref="Q35:Q40" si="14">B35</f>
        <v>宗地形状</v>
      </c>
      <c r="R35" s="774" t="s">
        <v>17</v>
      </c>
      <c r="S35" s="775">
        <f t="shared" si="10"/>
        <v>100</v>
      </c>
      <c r="T35" s="774" t="s">
        <v>17</v>
      </c>
      <c r="U35" s="775">
        <f t="shared" si="11"/>
        <v>100</v>
      </c>
      <c r="V35" s="774" t="s">
        <v>17</v>
      </c>
      <c r="W35" s="775">
        <f t="shared" si="12"/>
        <v>100</v>
      </c>
      <c r="X35" s="1816"/>
      <c r="Y35" s="3198"/>
      <c r="Z35" s="1817" t="str">
        <f t="shared" si="13"/>
        <v>宗地形状</v>
      </c>
      <c r="AA35" s="1814">
        <f t="shared" si="3"/>
        <v>1</v>
      </c>
      <c r="AB35" s="1814">
        <f t="shared" si="4"/>
        <v>1</v>
      </c>
      <c r="AC35" s="1814">
        <f t="shared" si="5"/>
        <v>1</v>
      </c>
    </row>
    <row r="36" spans="1:29" s="117" customFormat="1" ht="15">
      <c r="A36" s="473"/>
      <c r="B36" s="422" t="s">
        <v>2741</v>
      </c>
      <c r="C36" s="2704" t="s">
        <v>3088</v>
      </c>
      <c r="D36" s="136">
        <v>100</v>
      </c>
      <c r="E36" s="2704" t="s">
        <v>3107</v>
      </c>
      <c r="F36" s="435">
        <f>SUMIF(112:112,E36,113:113)-SUMIF(112:112,C36,113:113)+100</f>
        <v>98</v>
      </c>
      <c r="G36" s="2704" t="s">
        <v>3107</v>
      </c>
      <c r="H36" s="435">
        <f>SUMIF(112:112,G36,113:113)-SUMIF(112:112,C36,113:113)+100</f>
        <v>98</v>
      </c>
      <c r="I36" s="2704" t="s">
        <v>3107</v>
      </c>
      <c r="J36" s="435">
        <f>SUMIF(112:112,I36,113:113)-SUMIF(112:112,C36,113:113)+100</f>
        <v>98</v>
      </c>
      <c r="K36" s="612">
        <v>1</v>
      </c>
      <c r="L36" s="1135"/>
      <c r="M36" s="1136"/>
      <c r="N36" s="1136"/>
      <c r="O36" s="1137"/>
      <c r="P36" s="3198"/>
      <c r="Q36" s="1813" t="str">
        <f t="shared" si="14"/>
        <v>宗地开发程度</v>
      </c>
      <c r="R36" s="770" t="s">
        <v>17</v>
      </c>
      <c r="S36" s="771">
        <f t="shared" si="10"/>
        <v>98</v>
      </c>
      <c r="T36" s="770" t="s">
        <v>17</v>
      </c>
      <c r="U36" s="771">
        <f t="shared" si="11"/>
        <v>98</v>
      </c>
      <c r="V36" s="770" t="s">
        <v>17</v>
      </c>
      <c r="W36" s="771">
        <f t="shared" si="12"/>
        <v>98</v>
      </c>
      <c r="X36" s="772"/>
      <c r="Y36" s="3198"/>
      <c r="Z36" s="55" t="str">
        <f t="shared" si="13"/>
        <v>宗地开发程度</v>
      </c>
      <c r="AA36" s="773">
        <f t="shared" si="3"/>
        <v>1.0204081632653061</v>
      </c>
      <c r="AB36" s="773">
        <f t="shared" si="4"/>
        <v>1.0204081632653061</v>
      </c>
      <c r="AC36" s="773">
        <f t="shared" si="5"/>
        <v>1.0204081632653061</v>
      </c>
    </row>
    <row r="37" spans="1:29" ht="15.75" thickBot="1">
      <c r="A37" s="472"/>
      <c r="B37" s="422" t="s">
        <v>2742</v>
      </c>
      <c r="C37" s="2615" t="s">
        <v>3093</v>
      </c>
      <c r="D37" s="435">
        <v>100</v>
      </c>
      <c r="E37" s="2615" t="s">
        <v>3093</v>
      </c>
      <c r="F37" s="435">
        <f>SUMIF(114:114,E37,115:115)-SUMIF(114:114,C37,115:115)+100</f>
        <v>100</v>
      </c>
      <c r="G37" s="2615" t="s">
        <v>3093</v>
      </c>
      <c r="H37" s="435">
        <f>SUMIF(114:114,G37,115:115)-SUMIF(114:114,C37,115:115)+100</f>
        <v>100</v>
      </c>
      <c r="I37" s="2615" t="s">
        <v>3093</v>
      </c>
      <c r="J37" s="435">
        <f>SUMIF(114:114,I37,115:115)-SUMIF(114:114,C37,115:115)+100</f>
        <v>100</v>
      </c>
      <c r="K37" s="612">
        <v>2</v>
      </c>
      <c r="L37" s="1143"/>
      <c r="M37" s="1134"/>
      <c r="N37" s="1134"/>
      <c r="O37" s="1142"/>
      <c r="P37" s="3198" t="s">
        <v>2552</v>
      </c>
      <c r="Q37" s="1813" t="str">
        <f t="shared" si="14"/>
        <v>工程地质条件</v>
      </c>
      <c r="R37" s="774" t="s">
        <v>17</v>
      </c>
      <c r="S37" s="775">
        <f t="shared" si="10"/>
        <v>100</v>
      </c>
      <c r="T37" s="774" t="s">
        <v>17</v>
      </c>
      <c r="U37" s="775">
        <f t="shared" si="11"/>
        <v>100</v>
      </c>
      <c r="V37" s="774" t="s">
        <v>17</v>
      </c>
      <c r="W37" s="775">
        <f t="shared" si="12"/>
        <v>100</v>
      </c>
      <c r="X37" s="1816"/>
      <c r="Y37" s="3198" t="s">
        <v>2552</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8"/>
      <c r="Q38" s="1813">
        <f t="shared" si="14"/>
        <v>111</v>
      </c>
      <c r="R38" s="774" t="s">
        <v>17</v>
      </c>
      <c r="S38" s="775">
        <f t="shared" si="10"/>
        <v>100</v>
      </c>
      <c r="T38" s="774" t="s">
        <v>17</v>
      </c>
      <c r="U38" s="775">
        <f t="shared" si="11"/>
        <v>100</v>
      </c>
      <c r="V38" s="774" t="s">
        <v>17</v>
      </c>
      <c r="W38" s="775">
        <f t="shared" si="12"/>
        <v>100</v>
      </c>
      <c r="X38" s="1816"/>
      <c r="Y38" s="3198"/>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8"/>
      <c r="Q39" s="1813">
        <f t="shared" si="14"/>
        <v>111</v>
      </c>
      <c r="R39" s="774" t="s">
        <v>17</v>
      </c>
      <c r="S39" s="775">
        <f t="shared" si="10"/>
        <v>100</v>
      </c>
      <c r="T39" s="774" t="s">
        <v>17</v>
      </c>
      <c r="U39" s="775">
        <f t="shared" si="11"/>
        <v>100</v>
      </c>
      <c r="V39" s="774" t="s">
        <v>17</v>
      </c>
      <c r="W39" s="775">
        <f t="shared" si="12"/>
        <v>100</v>
      </c>
      <c r="X39" s="1816"/>
      <c r="Y39" s="3198"/>
      <c r="Z39" s="1817">
        <f t="shared" si="13"/>
        <v>111</v>
      </c>
      <c r="AA39" s="1814">
        <f t="shared" si="3"/>
        <v>1</v>
      </c>
      <c r="AB39" s="1814">
        <f t="shared" si="4"/>
        <v>1</v>
      </c>
      <c r="AC39" s="1814">
        <f t="shared" si="5"/>
        <v>1</v>
      </c>
    </row>
    <row r="40" spans="1:29" s="471" customFormat="1" ht="15.75" hidden="1"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8"/>
      <c r="Q40" s="1813">
        <f t="shared" si="14"/>
        <v>111</v>
      </c>
      <c r="R40" s="777" t="s">
        <v>17</v>
      </c>
      <c r="S40" s="778">
        <f t="shared" si="10"/>
        <v>100</v>
      </c>
      <c r="T40" s="777" t="s">
        <v>17</v>
      </c>
      <c r="U40" s="778">
        <f t="shared" si="11"/>
        <v>100</v>
      </c>
      <c r="V40" s="777" t="s">
        <v>17</v>
      </c>
      <c r="W40" s="778">
        <f t="shared" si="12"/>
        <v>100</v>
      </c>
      <c r="X40" s="779"/>
      <c r="Y40" s="3198"/>
      <c r="Z40" s="780">
        <f t="shared" si="13"/>
        <v>111</v>
      </c>
      <c r="AA40" s="1814">
        <f t="shared" si="3"/>
        <v>1</v>
      </c>
      <c r="AB40" s="1814">
        <f t="shared" si="4"/>
        <v>1</v>
      </c>
      <c r="AC40" s="1814">
        <f t="shared" si="5"/>
        <v>1</v>
      </c>
    </row>
    <row r="41" spans="1:29" ht="15">
      <c r="A41" s="479" t="s">
        <v>2707</v>
      </c>
      <c r="B41" s="2706" t="s">
        <v>3194</v>
      </c>
      <c r="C41" s="682" t="s">
        <v>1</v>
      </c>
      <c r="D41" s="481"/>
      <c r="E41" s="2957">
        <f>土地案例!S12</f>
        <v>1137.7020592594702</v>
      </c>
      <c r="F41" s="483"/>
      <c r="G41" s="2958">
        <f>土地案例!S13</f>
        <v>1189.4656239237893</v>
      </c>
      <c r="H41" s="485"/>
      <c r="I41" s="2957">
        <f>土地案例!S15</f>
        <v>1404.3556498473247</v>
      </c>
      <c r="J41" s="485"/>
      <c r="K41" s="783"/>
      <c r="L41" s="1146"/>
      <c r="M41" s="1134"/>
      <c r="N41" s="1134"/>
      <c r="O41" s="1147"/>
      <c r="P41" s="3178" t="str">
        <f>A41</f>
        <v>成交单价</v>
      </c>
      <c r="Q41" s="3178"/>
      <c r="R41" s="3195">
        <f>E41</f>
        <v>1137.7020592594702</v>
      </c>
      <c r="S41" s="3195"/>
      <c r="T41" s="3195">
        <f>G41</f>
        <v>1189.4656239237893</v>
      </c>
      <c r="U41" s="3195"/>
      <c r="V41" s="3195">
        <f>I41</f>
        <v>1404.3556498473247</v>
      </c>
      <c r="W41" s="3195"/>
      <c r="X41" s="759"/>
      <c r="Y41" s="781"/>
      <c r="Z41" s="759"/>
      <c r="AA41" s="759"/>
      <c r="AB41" s="759"/>
      <c r="AC41" s="759"/>
    </row>
    <row r="42" spans="1:29" ht="15.75" thickBot="1">
      <c r="A42" s="486" t="s">
        <v>2656</v>
      </c>
      <c r="B42" s="683"/>
      <c r="C42" s="490" t="e">
        <f>R43</f>
        <v>#DIV/0!</v>
      </c>
      <c r="D42" s="489"/>
      <c r="E42" s="490" t="e">
        <f>R42</f>
        <v>#DIV/0!</v>
      </c>
      <c r="F42" s="491"/>
      <c r="G42" s="488" t="e">
        <f>T42</f>
        <v>#DIV/0!</v>
      </c>
      <c r="H42" s="489"/>
      <c r="I42" s="490" t="e">
        <f>V42</f>
        <v>#DIV/0!</v>
      </c>
      <c r="J42" s="489"/>
      <c r="K42" s="784"/>
      <c r="L42" s="1146"/>
      <c r="M42" s="1134"/>
      <c r="N42" s="1134"/>
      <c r="O42" s="1147"/>
      <c r="P42" s="3178" t="str">
        <f>A42</f>
        <v>比较价值（元/平方米）</v>
      </c>
      <c r="Q42" s="3178"/>
      <c r="R42" s="3217" t="e">
        <f>ROUND(PRODUCT(R41,AA7:AA40),0)</f>
        <v>#DIV/0!</v>
      </c>
      <c r="S42" s="3217"/>
      <c r="T42" s="3217" t="e">
        <f>ROUND(PRODUCT(T41,AB7:AB40),0)</f>
        <v>#DIV/0!</v>
      </c>
      <c r="U42" s="3217"/>
      <c r="V42" s="3217" t="e">
        <f>ROUND(PRODUCT(V41,AC7:AC40),0)</f>
        <v>#DIV/0!</v>
      </c>
      <c r="W42" s="3217"/>
      <c r="X42" s="759"/>
      <c r="Y42" s="759"/>
      <c r="Z42" s="759"/>
      <c r="AA42" s="759"/>
      <c r="AB42" s="759"/>
      <c r="AC42" s="759"/>
    </row>
    <row r="43" spans="1:29" ht="15.75" thickBot="1">
      <c r="A43" s="492" t="s">
        <v>3197</v>
      </c>
      <c r="B43" s="493"/>
      <c r="C43" s="494" t="e">
        <f>R43</f>
        <v>#DIV/0!</v>
      </c>
      <c r="D43" s="494"/>
      <c r="E43" s="494"/>
      <c r="F43" s="494"/>
      <c r="G43" s="494"/>
      <c r="H43" s="494"/>
      <c r="I43" s="494"/>
      <c r="J43" s="494"/>
      <c r="K43" s="785"/>
      <c r="L43" s="1146"/>
      <c r="M43" s="1134"/>
      <c r="N43" s="1134"/>
      <c r="O43" s="1147"/>
      <c r="P43" s="3214" t="str">
        <f>A43</f>
        <v>估价对象工业用房的比较价值（楼面单价，元/平方米）</v>
      </c>
      <c r="Q43" s="3215"/>
      <c r="R43" s="3216" t="e">
        <f>ROUND(AVERAGE(R42:V42),0)</f>
        <v>#DIV/0!</v>
      </c>
      <c r="S43" s="3216"/>
      <c r="T43" s="3216"/>
      <c r="U43" s="3216"/>
      <c r="V43" s="3216"/>
      <c r="W43" s="321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2660</v>
      </c>
      <c r="D48" s="501"/>
      <c r="E48" s="499">
        <f>IF(E41&lt;G41,G41/E41-1,E41/G41-1)</f>
        <v>4.5498348397129629E-2</v>
      </c>
      <c r="F48" s="500" t="str">
        <f>IF(OR(E48&gt;=0.3,E48&lt;=-0.3),"超过30%","")</f>
        <v/>
      </c>
      <c r="G48" s="499">
        <f>IF(G41&lt;I41,I41/G41-1,G41/I41-1)</f>
        <v>0.18066098052893675</v>
      </c>
      <c r="H48" s="500" t="str">
        <f>IF(OR(G48&gt;=0.3,G48&lt;=-0.3),"超过30%","")</f>
        <v/>
      </c>
      <c r="I48" s="499">
        <f>IF(I41&lt;E41,E41/I41-1,I41/E41-1)</f>
        <v>0.23437910515993909</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2745</v>
      </c>
      <c r="B50" s="685" t="s">
        <v>2746</v>
      </c>
      <c r="C50" s="2707" t="s">
        <v>2747</v>
      </c>
      <c r="D50" s="2708" t="s">
        <v>2748</v>
      </c>
      <c r="E50" s="686" t="s">
        <v>2749</v>
      </c>
      <c r="F50" s="687" t="s">
        <v>2750</v>
      </c>
      <c r="G50" s="3175" t="s">
        <v>2751</v>
      </c>
      <c r="H50" s="3176"/>
      <c r="I50" s="1817" t="s">
        <v>2786</v>
      </c>
      <c r="J50" s="1817">
        <f>项目基本情况!F35</f>
        <v>0</v>
      </c>
      <c r="K50" s="2710" t="s">
        <v>2753</v>
      </c>
      <c r="L50" s="1109"/>
      <c r="M50" s="1147"/>
      <c r="N50" s="1147"/>
      <c r="O50" s="1147"/>
    </row>
    <row r="51" spans="1:17" s="692" customFormat="1">
      <c r="A51" s="688" t="s">
        <v>2754</v>
      </c>
      <c r="B51" s="689" t="e">
        <f>C43</f>
        <v>#DIV/0!</v>
      </c>
      <c r="C51" s="690">
        <v>1</v>
      </c>
      <c r="D51" s="1166">
        <v>1</v>
      </c>
      <c r="E51" s="690">
        <f>'数据-汇总表'!E8+'数据-汇总表'!E9</f>
        <v>34832.270000000004</v>
      </c>
      <c r="F51" s="691" t="e">
        <f t="shared" ref="F51:F60" si="15">ROUND(B51*E51/10000,0)</f>
        <v>#DIV/0!</v>
      </c>
      <c r="G51" s="3177"/>
      <c r="H51" s="3178"/>
      <c r="I51" s="945">
        <v>1</v>
      </c>
      <c r="J51" s="945">
        <v>1</v>
      </c>
      <c r="K51" s="1148"/>
      <c r="L51" s="944"/>
      <c r="M51" s="944"/>
      <c r="N51" s="944"/>
      <c r="O51" s="944"/>
    </row>
    <row r="52" spans="1:17" s="692" customFormat="1">
      <c r="A52" s="693" t="s">
        <v>2755</v>
      </c>
      <c r="B52" s="262" t="e">
        <f>ROUND($C$43*C52*D52,0)</f>
        <v>#DIV/0!</v>
      </c>
      <c r="C52" s="200">
        <f t="shared" ref="C52:C60" si="16">IF($C$50="北京市系数",I52,J52)</f>
        <v>0</v>
      </c>
      <c r="D52" s="1167">
        <v>0.25</v>
      </c>
      <c r="E52" s="694"/>
      <c r="F52" s="691" t="e">
        <f t="shared" si="15"/>
        <v>#DIV/0!</v>
      </c>
      <c r="G52" s="3179" t="s">
        <v>2756</v>
      </c>
      <c r="H52" s="1107">
        <f>项目基本情况!B37</f>
        <v>0</v>
      </c>
      <c r="I52" s="945">
        <f>SUMIF(修正!A45:A56,H52,修正!B45:B56)</f>
        <v>0</v>
      </c>
      <c r="J52" s="946"/>
      <c r="K52" s="1147"/>
      <c r="L52" s="944"/>
      <c r="M52" s="944"/>
      <c r="N52" s="944"/>
      <c r="O52" s="944"/>
    </row>
    <row r="53" spans="1:17" s="692" customFormat="1">
      <c r="A53" s="693" t="s">
        <v>2757</v>
      </c>
      <c r="B53" s="262" t="e">
        <f t="shared" ref="B53:B60" si="17">ROUND($C$43*C53*D53,0)</f>
        <v>#DIV/0!</v>
      </c>
      <c r="C53" s="200">
        <f t="shared" si="16"/>
        <v>0</v>
      </c>
      <c r="D53" s="1167">
        <v>0.25</v>
      </c>
      <c r="E53" s="694"/>
      <c r="F53" s="691" t="e">
        <f t="shared" si="15"/>
        <v>#DIV/0!</v>
      </c>
      <c r="G53" s="3179"/>
      <c r="H53" s="1107">
        <f>项目基本情况!B37</f>
        <v>0</v>
      </c>
      <c r="I53" s="945">
        <f>SUMIF(修正!A45:A56,H53,修正!C45:C56)</f>
        <v>0</v>
      </c>
      <c r="J53" s="946"/>
      <c r="K53" s="1148"/>
      <c r="L53" s="944"/>
      <c r="M53" s="944"/>
      <c r="N53" s="944"/>
      <c r="O53" s="944"/>
    </row>
    <row r="54" spans="1:17" s="692" customFormat="1">
      <c r="A54" s="693" t="s">
        <v>2758</v>
      </c>
      <c r="B54" s="262" t="e">
        <f t="shared" si="17"/>
        <v>#DIV/0!</v>
      </c>
      <c r="C54" s="200">
        <f t="shared" si="16"/>
        <v>0</v>
      </c>
      <c r="D54" s="1167">
        <v>0.25</v>
      </c>
      <c r="E54" s="694"/>
      <c r="F54" s="691" t="e">
        <f t="shared" si="15"/>
        <v>#DIV/0!</v>
      </c>
      <c r="G54" s="3179"/>
      <c r="H54" s="1107">
        <f>项目基本情况!B37</f>
        <v>0</v>
      </c>
      <c r="I54" s="945">
        <f>SUMIF(修正!A45:A56,H54,修正!D45:D56)</f>
        <v>0</v>
      </c>
      <c r="J54" s="946"/>
      <c r="K54" s="1147"/>
      <c r="L54" s="944"/>
      <c r="M54" s="944"/>
      <c r="N54" s="944"/>
      <c r="O54" s="944"/>
    </row>
    <row r="55" spans="1:17" s="692" customFormat="1">
      <c r="A55" s="693" t="s">
        <v>2759</v>
      </c>
      <c r="B55" s="262" t="e">
        <f t="shared" si="17"/>
        <v>#DIV/0!</v>
      </c>
      <c r="C55" s="200">
        <f t="shared" si="16"/>
        <v>0</v>
      </c>
      <c r="D55" s="1167">
        <v>0.25</v>
      </c>
      <c r="E55" s="694"/>
      <c r="F55" s="691" t="e">
        <f t="shared" si="15"/>
        <v>#DIV/0!</v>
      </c>
      <c r="G55" s="3179"/>
      <c r="H55" s="1107">
        <f>项目基本情况!B37</f>
        <v>0</v>
      </c>
      <c r="I55" s="945">
        <f>SUMIF(修正!A45:A56,H55,修正!E45:E56)</f>
        <v>0</v>
      </c>
      <c r="J55" s="946"/>
      <c r="K55" s="1148"/>
      <c r="L55" s="944"/>
      <c r="M55" s="944"/>
      <c r="N55" s="944"/>
      <c r="O55" s="944"/>
    </row>
    <row r="56" spans="1:17" s="692" customFormat="1">
      <c r="A56" s="693" t="s">
        <v>2760</v>
      </c>
      <c r="B56" s="262" t="e">
        <f t="shared" si="17"/>
        <v>#DIV/0!</v>
      </c>
      <c r="C56" s="200">
        <f t="shared" si="16"/>
        <v>0</v>
      </c>
      <c r="D56" s="1167">
        <v>0.25</v>
      </c>
      <c r="E56" s="261">
        <f>'数据-汇总表'!E11</f>
        <v>0</v>
      </c>
      <c r="F56" s="691" t="e">
        <f t="shared" si="15"/>
        <v>#DIV/0!</v>
      </c>
      <c r="G56" s="2711" t="s">
        <v>2761</v>
      </c>
      <c r="H56" s="1107">
        <f>项目基本情况!C37</f>
        <v>0</v>
      </c>
      <c r="I56" s="945">
        <f>SUMIF(修正!A45:A56,H56,修正!F45:F56)</f>
        <v>0</v>
      </c>
      <c r="J56" s="946"/>
      <c r="K56" s="1147"/>
      <c r="L56" s="944"/>
      <c r="M56" s="944"/>
      <c r="N56" s="944"/>
      <c r="O56" s="944"/>
    </row>
    <row r="57" spans="1:17" s="692" customFormat="1">
      <c r="A57" s="693" t="s">
        <v>2762</v>
      </c>
      <c r="B57" s="262" t="e">
        <f t="shared" si="17"/>
        <v>#DIV/0!</v>
      </c>
      <c r="C57" s="200">
        <f t="shared" si="16"/>
        <v>0</v>
      </c>
      <c r="D57" s="1167">
        <v>0.25</v>
      </c>
      <c r="E57" s="261">
        <f>'数据-汇总表'!E12</f>
        <v>0</v>
      </c>
      <c r="F57" s="691" t="e">
        <f t="shared" si="15"/>
        <v>#DIV/0!</v>
      </c>
      <c r="G57" s="1112" t="s">
        <v>2763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2764</v>
      </c>
      <c r="B58" s="262" t="e">
        <f t="shared" si="17"/>
        <v>#DIV/0!</v>
      </c>
      <c r="C58" s="200">
        <f t="shared" si="16"/>
        <v>0</v>
      </c>
      <c r="D58" s="1167">
        <v>0.25</v>
      </c>
      <c r="E58" s="261">
        <f>'数据-汇总表'!E13</f>
        <v>0</v>
      </c>
      <c r="F58" s="691" t="e">
        <f t="shared" si="15"/>
        <v>#DIV/0!</v>
      </c>
      <c r="G58" s="1112" t="s">
        <v>2765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2766</v>
      </c>
      <c r="B59" s="262" t="e">
        <f t="shared" si="17"/>
        <v>#DIV/0!</v>
      </c>
      <c r="C59" s="200">
        <f t="shared" si="16"/>
        <v>0</v>
      </c>
      <c r="D59" s="1167">
        <v>0.25</v>
      </c>
      <c r="E59" s="261">
        <f>'数据-汇总表'!E14</f>
        <v>0</v>
      </c>
      <c r="F59" s="691" t="e">
        <f t="shared" si="15"/>
        <v>#DIV/0!</v>
      </c>
      <c r="G59" s="2711" t="s">
        <v>2756</v>
      </c>
      <c r="H59" s="1107">
        <f>项目基本情况!B37</f>
        <v>0</v>
      </c>
      <c r="I59" s="945">
        <f>SUMIF(修正!A45:A56,H59,修正!H45:H56)</f>
        <v>0</v>
      </c>
      <c r="J59" s="946"/>
      <c r="K59" s="1148"/>
      <c r="L59" s="944"/>
      <c r="M59" s="944"/>
      <c r="N59" s="944"/>
      <c r="O59" s="944"/>
    </row>
    <row r="60" spans="1:17" s="692" customFormat="1" ht="15" thickBot="1">
      <c r="A60" s="693" t="s">
        <v>2767</v>
      </c>
      <c r="B60" s="262" t="e">
        <f t="shared" si="17"/>
        <v>#DIV/0!</v>
      </c>
      <c r="C60" s="200">
        <f t="shared" si="16"/>
        <v>0</v>
      </c>
      <c r="D60" s="1167">
        <v>0.25</v>
      </c>
      <c r="E60" s="261">
        <f>'数据-汇总表'!E15</f>
        <v>0</v>
      </c>
      <c r="F60" s="691" t="e">
        <f t="shared" si="15"/>
        <v>#DIV/0!</v>
      </c>
      <c r="G60" s="2712" t="s">
        <v>2761</v>
      </c>
      <c r="H60" s="1117">
        <f>项目基本情况!C37</f>
        <v>0</v>
      </c>
      <c r="I60" s="945">
        <f>SUMIF(修正!A45:A56,H60,修正!H45:H56)</f>
        <v>0</v>
      </c>
      <c r="J60" s="946"/>
      <c r="K60" s="1147"/>
      <c r="L60" s="944"/>
      <c r="M60" s="944"/>
      <c r="N60" s="944"/>
      <c r="O60" s="944"/>
    </row>
    <row r="61" spans="1:17" s="692" customFormat="1" ht="15" thickBot="1">
      <c r="A61" s="695" t="s">
        <v>2768</v>
      </c>
      <c r="B61" s="696" t="s">
        <v>28</v>
      </c>
      <c r="C61" s="696" t="s">
        <v>29</v>
      </c>
      <c r="D61" s="696" t="s">
        <v>1029</v>
      </c>
      <c r="E61" s="696">
        <f>IF(B41="楼面地价",SUM(E51:E60),'数据-汇总表'!D3)</f>
        <v>23303.32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2661</v>
      </c>
      <c r="B64" s="759"/>
      <c r="C64" s="764"/>
      <c r="D64" s="764"/>
      <c r="E64" s="764"/>
      <c r="F64" s="765"/>
      <c r="G64" s="765"/>
      <c r="H64" s="764"/>
      <c r="I64" s="764"/>
      <c r="J64" s="764"/>
      <c r="K64" s="766"/>
      <c r="L64" s="767"/>
      <c r="M64" s="764"/>
      <c r="N64" s="764"/>
      <c r="O64" s="1162"/>
      <c r="P64" s="503"/>
      <c r="Q64" s="504"/>
    </row>
    <row r="65" spans="1:17" s="508" customFormat="1" ht="15">
      <c r="A65" s="2713" t="s">
        <v>2769</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8" t="s">
        <v>2787</v>
      </c>
      <c r="B66" s="332" t="str">
        <f>"北京市平均增长率"&amp;TEXT('基准地价修正-一期'!P24,"0.00%")</f>
        <v>北京市平均增长率1.42%</v>
      </c>
      <c r="C66" s="603">
        <v>100</v>
      </c>
      <c r="D66" s="595">
        <v>99</v>
      </c>
      <c r="E66" s="595">
        <v>98</v>
      </c>
      <c r="F66" s="595">
        <v>97</v>
      </c>
      <c r="G66" s="595">
        <v>96</v>
      </c>
      <c r="H66" s="595">
        <v>95</v>
      </c>
      <c r="I66" s="595">
        <v>94</v>
      </c>
      <c r="J66" s="595">
        <v>93</v>
      </c>
      <c r="K66" s="595">
        <v>92</v>
      </c>
      <c r="L66" s="595">
        <v>91</v>
      </c>
      <c r="M66" s="1570">
        <v>90</v>
      </c>
      <c r="N66" s="1570">
        <v>89</v>
      </c>
      <c r="O66" s="1572">
        <v>88</v>
      </c>
      <c r="P66" s="504"/>
    </row>
    <row r="67" spans="1:17" s="117" customFormat="1" ht="15.75" thickBot="1">
      <c r="A67" s="515" t="s">
        <v>2572</v>
      </c>
      <c r="B67" s="516"/>
      <c r="C67" s="517"/>
      <c r="D67" s="518"/>
      <c r="E67" s="518"/>
      <c r="F67" s="518"/>
      <c r="G67" s="518"/>
      <c r="H67" s="518"/>
      <c r="I67" s="518"/>
      <c r="J67" s="518"/>
      <c r="K67" s="518"/>
      <c r="L67" s="518"/>
      <c r="M67" s="519"/>
      <c r="N67" s="519"/>
      <c r="O67" s="520"/>
      <c r="P67" s="504"/>
      <c r="Q67" s="504"/>
    </row>
    <row r="68" spans="1:17" s="117" customFormat="1" ht="15">
      <c r="A68" s="521" t="s">
        <v>2537</v>
      </c>
      <c r="B68" s="510"/>
      <c r="C68" s="522" t="s">
        <v>2639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2575</v>
      </c>
      <c r="B70" s="528" t="s">
        <v>2541</v>
      </c>
      <c r="C70" s="2948" t="s">
        <v>3090</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2544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2545</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v>3</v>
      </c>
      <c r="G75" s="549">
        <v>4</v>
      </c>
      <c r="H75" s="549">
        <v>5</v>
      </c>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2546</v>
      </c>
      <c r="B83" s="528" t="s">
        <v>2692</v>
      </c>
      <c r="C83" s="573" t="s">
        <v>2584</v>
      </c>
      <c r="D83" s="573" t="s">
        <v>2585</v>
      </c>
      <c r="E83" s="573" t="s">
        <v>2586</v>
      </c>
      <c r="F83" s="573" t="s">
        <v>2587</v>
      </c>
      <c r="G83" s="573" t="s">
        <v>2588</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2589</v>
      </c>
      <c r="C85" s="578" t="s">
        <v>2584</v>
      </c>
      <c r="D85" s="578" t="s">
        <v>2585</v>
      </c>
      <c r="E85" s="578" t="s">
        <v>2586</v>
      </c>
      <c r="F85" s="578" t="s">
        <v>2587</v>
      </c>
      <c r="G85" s="578" t="s">
        <v>2588</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2772</v>
      </c>
      <c r="C87" s="573" t="s">
        <v>2584</v>
      </c>
      <c r="D87" s="573" t="s">
        <v>2585</v>
      </c>
      <c r="E87" s="573" t="s">
        <v>2586</v>
      </c>
      <c r="F87" s="573" t="s">
        <v>2587</v>
      </c>
      <c r="G87" s="573" t="s">
        <v>2588</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2773</v>
      </c>
      <c r="C89" s="573" t="s">
        <v>2584</v>
      </c>
      <c r="D89" s="573" t="s">
        <v>2585</v>
      </c>
      <c r="E89" s="573" t="s">
        <v>2586</v>
      </c>
      <c r="F89" s="573" t="s">
        <v>2587</v>
      </c>
      <c r="G89" s="573" t="s">
        <v>2588</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2641</v>
      </c>
      <c r="C91" s="573" t="s">
        <v>2584</v>
      </c>
      <c r="D91" s="573" t="s">
        <v>2585</v>
      </c>
      <c r="E91" s="573" t="s">
        <v>2586</v>
      </c>
      <c r="F91" s="573" t="s">
        <v>2587</v>
      </c>
      <c r="G91" s="573" t="s">
        <v>2588</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2788</v>
      </c>
      <c r="C93" s="660" t="s">
        <v>2662</v>
      </c>
      <c r="D93" s="660" t="s">
        <v>2663</v>
      </c>
      <c r="E93" s="660" t="s">
        <v>2664</v>
      </c>
      <c r="F93" s="660" t="s">
        <v>2665</v>
      </c>
      <c r="G93" s="660" t="s">
        <v>2666</v>
      </c>
      <c r="H93" s="600"/>
      <c r="I93" s="600"/>
      <c r="J93" s="600"/>
      <c r="K93" s="600"/>
      <c r="L93" s="600"/>
      <c r="M93" s="602"/>
      <c r="N93" s="1157"/>
      <c r="O93" s="1157"/>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8"/>
      <c r="N94" s="1157"/>
      <c r="O94" s="1157"/>
      <c r="P94" s="558"/>
      <c r="Q94" s="559"/>
    </row>
    <row r="95" spans="1:17" ht="15.75" thickTop="1">
      <c r="A95" s="534"/>
      <c r="B95" s="538" t="str">
        <f>B27</f>
        <v>临街状况</v>
      </c>
      <c r="C95" s="539" t="s">
        <v>2774</v>
      </c>
      <c r="D95" s="539" t="s">
        <v>2775</v>
      </c>
      <c r="E95" s="539" t="s">
        <v>2776</v>
      </c>
      <c r="F95" s="539" t="s">
        <v>2777</v>
      </c>
      <c r="G95" s="539"/>
      <c r="H95" s="539"/>
      <c r="I95" s="539"/>
      <c r="J95" s="539"/>
      <c r="K95" s="540"/>
      <c r="L95" s="541"/>
      <c r="M95" s="542"/>
      <c r="N95" s="1155"/>
      <c r="O95" s="1155"/>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9.25" thickTop="1">
      <c r="A97" s="534"/>
      <c r="B97" s="538" t="s">
        <v>2678</v>
      </c>
      <c r="C97" s="554" t="s">
        <v>3096</v>
      </c>
      <c r="D97" s="554" t="s">
        <v>3097</v>
      </c>
      <c r="E97" s="554" t="s">
        <v>3098</v>
      </c>
      <c r="F97" s="554" t="s">
        <v>3099</v>
      </c>
      <c r="G97" s="554" t="s">
        <v>3100</v>
      </c>
      <c r="H97" s="583" t="s">
        <v>3101</v>
      </c>
      <c r="I97" s="583"/>
      <c r="J97" s="583"/>
      <c r="K97" s="584"/>
      <c r="L97" s="585"/>
      <c r="M97" s="586"/>
      <c r="N97" s="1155"/>
      <c r="O97" s="1155"/>
      <c r="P97" s="45"/>
      <c r="Q97" s="504"/>
    </row>
    <row r="98" spans="1:17" ht="15.75"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6"/>
      <c r="O98" s="1156"/>
      <c r="P98" s="45"/>
      <c r="Q98" s="504"/>
    </row>
    <row r="99" spans="1:17" ht="15.75" thickTop="1">
      <c r="A99" s="534"/>
      <c r="B99" s="538" t="s">
        <v>2737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2550</v>
      </c>
      <c r="B107" s="528" t="s">
        <v>2778</v>
      </c>
      <c r="C107" s="529" t="str">
        <f t="shared" ref="C107:L107" si="25">C108&amp;"(含)"&amp;"-"&amp;D108</f>
        <v>0(含)-10000</v>
      </c>
      <c r="D107" s="529" t="str">
        <f t="shared" si="25"/>
        <v>10000(含)-20000</v>
      </c>
      <c r="E107" s="529" t="str">
        <f t="shared" si="25"/>
        <v>20000(含)-50000</v>
      </c>
      <c r="F107" s="529" t="str">
        <f t="shared" si="25"/>
        <v>50000(含)-100000</v>
      </c>
      <c r="G107" s="529" t="str">
        <f t="shared" si="25"/>
        <v>100000(含)-200000</v>
      </c>
      <c r="H107" s="529" t="str">
        <f t="shared" si="25"/>
        <v>200000(含)-500000</v>
      </c>
      <c r="I107" s="529" t="str">
        <f t="shared" si="25"/>
        <v>500000(含)-1000000</v>
      </c>
      <c r="J107" s="529" t="str">
        <f t="shared" si="25"/>
        <v>1000000(含)-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10000</v>
      </c>
      <c r="E108" s="595">
        <v>20000</v>
      </c>
      <c r="F108" s="595">
        <v>50000</v>
      </c>
      <c r="G108" s="595">
        <v>100000</v>
      </c>
      <c r="H108" s="595">
        <v>200000</v>
      </c>
      <c r="I108" s="595">
        <v>500000</v>
      </c>
      <c r="J108" s="596">
        <v>1000000</v>
      </c>
      <c r="K108" s="596"/>
      <c r="L108" s="597"/>
      <c r="M108" s="598"/>
      <c r="N108" s="1155"/>
      <c r="O108" s="1155"/>
      <c r="P108" s="45"/>
      <c r="Q108" s="504"/>
    </row>
    <row r="109" spans="1:17" ht="15.75" thickBot="1">
      <c r="A109" s="534"/>
      <c r="B109" s="543"/>
      <c r="C109" s="570">
        <v>100</v>
      </c>
      <c r="D109" s="591">
        <v>101</v>
      </c>
      <c r="E109" s="591">
        <v>102</v>
      </c>
      <c r="F109" s="591">
        <v>103</v>
      </c>
      <c r="G109" s="591">
        <v>104</v>
      </c>
      <c r="H109" s="591">
        <v>105</v>
      </c>
      <c r="I109" s="591">
        <v>106</v>
      </c>
      <c r="J109" s="591">
        <v>107</v>
      </c>
      <c r="K109" s="591"/>
      <c r="L109" s="591"/>
      <c r="M109" s="592"/>
      <c r="N109" s="1156"/>
      <c r="O109" s="1156"/>
      <c r="P109" s="45"/>
      <c r="Q109" s="504"/>
    </row>
    <row r="110" spans="1:17" ht="15" thickTop="1">
      <c r="A110" s="599"/>
      <c r="B110" s="538" t="s">
        <v>2779</v>
      </c>
      <c r="C110" s="583" t="s">
        <v>3102</v>
      </c>
      <c r="D110" s="583" t="s">
        <v>3103</v>
      </c>
      <c r="E110" s="583" t="s">
        <v>3104</v>
      </c>
      <c r="F110" s="583" t="s">
        <v>3105</v>
      </c>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98</v>
      </c>
      <c r="E111" s="544">
        <f t="shared" si="26"/>
        <v>96</v>
      </c>
      <c r="F111" s="544">
        <f t="shared" si="26"/>
        <v>94</v>
      </c>
      <c r="G111" s="544">
        <f t="shared" si="26"/>
        <v>92</v>
      </c>
      <c r="H111" s="544">
        <f t="shared" si="26"/>
        <v>90</v>
      </c>
      <c r="I111" s="544">
        <f t="shared" si="26"/>
        <v>88</v>
      </c>
      <c r="J111" s="544">
        <f t="shared" si="26"/>
        <v>86</v>
      </c>
      <c r="K111" s="544">
        <f t="shared" si="26"/>
        <v>84</v>
      </c>
      <c r="L111" s="544">
        <f t="shared" si="26"/>
        <v>82</v>
      </c>
      <c r="M111" s="545">
        <f t="shared" si="26"/>
        <v>80</v>
      </c>
      <c r="N111" s="1156"/>
      <c r="O111" s="1156"/>
      <c r="P111" s="45"/>
      <c r="Q111" s="504"/>
    </row>
    <row r="112" spans="1:17" s="471" customFormat="1" ht="15" thickTop="1">
      <c r="A112" s="593"/>
      <c r="B112" s="538" t="s">
        <v>2781</v>
      </c>
      <c r="C112" s="554" t="s">
        <v>3088</v>
      </c>
      <c r="D112" s="554" t="s">
        <v>3106</v>
      </c>
      <c r="E112" s="554" t="s">
        <v>3107</v>
      </c>
      <c r="F112" s="554" t="s">
        <v>3108</v>
      </c>
      <c r="G112" s="554" t="s">
        <v>3109</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2782</v>
      </c>
      <c r="C114" s="554" t="s">
        <v>3110</v>
      </c>
      <c r="D114" s="554" t="s">
        <v>3093</v>
      </c>
      <c r="E114" s="583" t="s">
        <v>3094</v>
      </c>
      <c r="F114" s="583" t="s">
        <v>3092</v>
      </c>
      <c r="G114" s="583" t="s">
        <v>3111</v>
      </c>
      <c r="H114" s="583"/>
      <c r="I114" s="583"/>
      <c r="J114" s="583"/>
      <c r="K114" s="584"/>
      <c r="L114" s="585"/>
      <c r="M114" s="586"/>
      <c r="N114" s="1155"/>
      <c r="O114" s="1155"/>
      <c r="P114" s="45"/>
      <c r="Q114" s="504"/>
    </row>
    <row r="115" spans="1:17" ht="15.75" thickBot="1">
      <c r="A115" s="534"/>
      <c r="B115" s="543"/>
      <c r="C115" s="544">
        <v>100</v>
      </c>
      <c r="D115" s="544">
        <f t="shared" ref="D115:M115" si="28">C115-$K37</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17" priority="14" stopIfTrue="1" operator="containsText" text="超过">
      <formula>NOT(ISERROR(SEARCH("超过",F46)))</formula>
    </cfRule>
  </conditionalFormatting>
  <conditionalFormatting sqref="J48">
    <cfRule type="containsText" dxfId="116" priority="13" stopIfTrue="1" operator="containsText" text="超过">
      <formula>NOT(ISERROR(SEARCH("超过",J48)))</formula>
    </cfRule>
  </conditionalFormatting>
  <conditionalFormatting sqref="H48">
    <cfRule type="containsText" dxfId="115" priority="12" stopIfTrue="1" operator="containsText" text="超过">
      <formula>NOT(ISERROR(SEARCH("超过",H48)))</formula>
    </cfRule>
  </conditionalFormatting>
  <conditionalFormatting sqref="F48">
    <cfRule type="containsText" dxfId="114" priority="11" stopIfTrue="1" operator="containsText" text="超过">
      <formula>NOT(ISERROR(SEARCH("超过",F48)))</formula>
    </cfRule>
  </conditionalFormatting>
  <conditionalFormatting sqref="F47 H47 J47">
    <cfRule type="containsText" dxfId="113" priority="10" stopIfTrue="1" operator="containsText" text="超过">
      <formula>NOT(ISERROR(SEARCH("超过",F47)))</formula>
    </cfRule>
  </conditionalFormatting>
  <conditionalFormatting sqref="E46">
    <cfRule type="expression" dxfId="112" priority="9" stopIfTrue="1">
      <formula>$F$46="超过30%"</formula>
    </cfRule>
  </conditionalFormatting>
  <conditionalFormatting sqref="G48">
    <cfRule type="expression" dxfId="111" priority="8" stopIfTrue="1">
      <formula>$H$48="超过30%"</formula>
    </cfRule>
  </conditionalFormatting>
  <conditionalFormatting sqref="E48">
    <cfRule type="expression" dxfId="110" priority="6" stopIfTrue="1">
      <formula>$F$48="超过30%"</formula>
    </cfRule>
  </conditionalFormatting>
  <conditionalFormatting sqref="G46">
    <cfRule type="expression" dxfId="109" priority="5" stopIfTrue="1">
      <formula>$H$46="超过30%"</formula>
    </cfRule>
  </conditionalFormatting>
  <conditionalFormatting sqref="G47">
    <cfRule type="expression" dxfId="108" priority="4" stopIfTrue="1">
      <formula>$H$47="超过20%"</formula>
    </cfRule>
  </conditionalFormatting>
  <conditionalFormatting sqref="I46">
    <cfRule type="expression" dxfId="107" priority="3" stopIfTrue="1">
      <formula>$J$46="超过30%"</formula>
    </cfRule>
  </conditionalFormatting>
  <conditionalFormatting sqref="I47">
    <cfRule type="expression" dxfId="106" priority="2" stopIfTrue="1">
      <formula>$J$47="超过20%"</formula>
    </cfRule>
  </conditionalFormatting>
  <conditionalFormatting sqref="I48">
    <cfRule type="expression" dxfId="105" priority="1" stopIfTrue="1">
      <formula>$J$48="超过30%"</formula>
    </cfRule>
  </conditionalFormatting>
  <conditionalFormatting sqref="E47">
    <cfRule type="expression" dxfId="10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9" sqref="B49"/>
    </sheetView>
  </sheetViews>
  <sheetFormatPr defaultRowHeight="13.5"/>
  <cols>
    <col min="1" max="1" width="10.5" customWidth="1"/>
    <col min="2" max="2" width="12.875" customWidth="1"/>
    <col min="3" max="3" width="8.75" customWidth="1"/>
  </cols>
  <sheetData>
    <row r="1" spans="1:9" ht="14.25">
      <c r="A1" s="3234" t="s">
        <v>1076</v>
      </c>
      <c r="B1" s="3235"/>
      <c r="C1" s="3236"/>
      <c r="D1" s="3237">
        <f>SUM(I10,I15,I20,I21,I23)</f>
        <v>0</v>
      </c>
      <c r="E1" s="3237"/>
      <c r="F1" s="3237"/>
      <c r="G1" s="3237"/>
      <c r="H1" s="3237"/>
      <c r="I1" s="3238"/>
    </row>
    <row r="2" spans="1:9">
      <c r="A2" s="3224" t="s">
        <v>1077</v>
      </c>
      <c r="B2" s="3225" t="s">
        <v>1078</v>
      </c>
      <c r="C2" s="3225"/>
      <c r="D2" s="1304" t="s">
        <v>1079</v>
      </c>
      <c r="E2" s="1304" t="s">
        <v>1080</v>
      </c>
      <c r="F2" s="1304" t="s">
        <v>1081</v>
      </c>
      <c r="G2" s="1304" t="s">
        <v>1082</v>
      </c>
      <c r="H2" s="1304" t="s">
        <v>1083</v>
      </c>
      <c r="I2" s="1305" t="s">
        <v>1084</v>
      </c>
    </row>
    <row r="3" spans="1:9">
      <c r="A3" s="3224"/>
      <c r="B3" s="3225" t="s">
        <v>1085</v>
      </c>
      <c r="C3" s="3225"/>
      <c r="D3" s="1306"/>
      <c r="E3" s="1304"/>
      <c r="F3" s="1307"/>
      <c r="G3" s="1307"/>
      <c r="H3" s="1308"/>
      <c r="I3" s="1309">
        <f>ROUND(D3*E3*F3*G3*H3/10000,0)</f>
        <v>0</v>
      </c>
    </row>
    <row r="4" spans="1:9">
      <c r="A4" s="3224"/>
      <c r="B4" s="3225" t="s">
        <v>1086</v>
      </c>
      <c r="C4" s="3225"/>
      <c r="D4" s="1306"/>
      <c r="E4" s="1304"/>
      <c r="F4" s="1307"/>
      <c r="G4" s="1307"/>
      <c r="H4" s="1308"/>
      <c r="I4" s="1309">
        <f t="shared" ref="I4:I9" si="0">ROUND(D4*E4*F4*G4*H4/10000,0)</f>
        <v>0</v>
      </c>
    </row>
    <row r="5" spans="1:9">
      <c r="A5" s="3224"/>
      <c r="B5" s="3225" t="s">
        <v>1087</v>
      </c>
      <c r="C5" s="3225"/>
      <c r="D5" s="1306"/>
      <c r="E5" s="1304"/>
      <c r="F5" s="1307"/>
      <c r="G5" s="1307"/>
      <c r="H5" s="1308"/>
      <c r="I5" s="1309">
        <f t="shared" si="0"/>
        <v>0</v>
      </c>
    </row>
    <row r="6" spans="1:9">
      <c r="A6" s="3224"/>
      <c r="B6" s="3225" t="s">
        <v>1088</v>
      </c>
      <c r="C6" s="3225"/>
      <c r="D6" s="1306"/>
      <c r="E6" s="1304"/>
      <c r="F6" s="1307"/>
      <c r="G6" s="1307"/>
      <c r="H6" s="1308"/>
      <c r="I6" s="1309">
        <f t="shared" si="0"/>
        <v>0</v>
      </c>
    </row>
    <row r="7" spans="1:9">
      <c r="A7" s="3224"/>
      <c r="B7" s="3225" t="s">
        <v>1089</v>
      </c>
      <c r="C7" s="3225"/>
      <c r="D7" s="1306"/>
      <c r="E7" s="1304"/>
      <c r="F7" s="1307"/>
      <c r="G7" s="1307"/>
      <c r="H7" s="1308"/>
      <c r="I7" s="1309">
        <f t="shared" si="0"/>
        <v>0</v>
      </c>
    </row>
    <row r="8" spans="1:9">
      <c r="A8" s="3224"/>
      <c r="B8" s="3225" t="s">
        <v>1090</v>
      </c>
      <c r="C8" s="3225"/>
      <c r="D8" s="1306"/>
      <c r="E8" s="1304"/>
      <c r="F8" s="1307"/>
      <c r="G8" s="1307"/>
      <c r="H8" s="1308"/>
      <c r="I8" s="1309">
        <f t="shared" si="0"/>
        <v>0</v>
      </c>
    </row>
    <row r="9" spans="1:9">
      <c r="A9" s="3224"/>
      <c r="B9" s="3225" t="s">
        <v>1091</v>
      </c>
      <c r="C9" s="3225"/>
      <c r="D9" s="1306"/>
      <c r="E9" s="1304"/>
      <c r="F9" s="1307"/>
      <c r="G9" s="1307"/>
      <c r="H9" s="1308"/>
      <c r="I9" s="1309">
        <f t="shared" si="0"/>
        <v>0</v>
      </c>
    </row>
    <row r="10" spans="1:9">
      <c r="A10" s="3224"/>
      <c r="B10" s="3226" t="s">
        <v>1092</v>
      </c>
      <c r="C10" s="3226"/>
      <c r="D10" s="1310"/>
      <c r="E10" s="1310" t="e">
        <f>ROUND(D1*10000/D10/H9,0)</f>
        <v>#DIV/0!</v>
      </c>
      <c r="F10" s="1311"/>
      <c r="G10" s="1311"/>
      <c r="H10" s="1312"/>
      <c r="I10" s="1313">
        <f>SUM(I3:I9)</f>
        <v>0</v>
      </c>
    </row>
    <row r="11" spans="1:9" ht="14.25">
      <c r="A11" s="3224" t="s">
        <v>1093</v>
      </c>
      <c r="B11" s="3225" t="s">
        <v>1094</v>
      </c>
      <c r="C11" s="3225"/>
      <c r="D11" s="1306" t="s">
        <v>1095</v>
      </c>
      <c r="E11" s="1306" t="s">
        <v>1096</v>
      </c>
      <c r="F11" s="1307" t="s">
        <v>1097</v>
      </c>
      <c r="G11" s="1307" t="s">
        <v>1083</v>
      </c>
      <c r="H11" s="1314" t="s">
        <v>1098</v>
      </c>
      <c r="I11" s="1305" t="s">
        <v>1084</v>
      </c>
    </row>
    <row r="12" spans="1:9">
      <c r="A12" s="3224"/>
      <c r="B12" s="3225" t="s">
        <v>1099</v>
      </c>
      <c r="C12" s="3225"/>
      <c r="D12" s="1306"/>
      <c r="E12" s="1306"/>
      <c r="F12" s="1307"/>
      <c r="G12" s="1308"/>
      <c r="H12" s="1315"/>
      <c r="I12" s="1305">
        <f>ROUND(D12*E12*F12*G12/10000,0)</f>
        <v>0</v>
      </c>
    </row>
    <row r="13" spans="1:9">
      <c r="A13" s="3224"/>
      <c r="B13" s="3225" t="s">
        <v>1100</v>
      </c>
      <c r="C13" s="3225"/>
      <c r="D13" s="1306"/>
      <c r="E13" s="1306"/>
      <c r="F13" s="1307"/>
      <c r="G13" s="1308"/>
      <c r="H13" s="1315"/>
      <c r="I13" s="1305">
        <f>ROUND(D13*E13*F13*G13/10000,0)</f>
        <v>0</v>
      </c>
    </row>
    <row r="14" spans="1:9">
      <c r="A14" s="3224"/>
      <c r="B14" s="3225" t="s">
        <v>1101</v>
      </c>
      <c r="C14" s="3225"/>
      <c r="D14" s="1306"/>
      <c r="E14" s="1306"/>
      <c r="F14" s="1307"/>
      <c r="G14" s="1308"/>
      <c r="H14" s="1315"/>
      <c r="I14" s="1305">
        <f>ROUND(D14*E14*F14*G14/10000,0)</f>
        <v>0</v>
      </c>
    </row>
    <row r="15" spans="1:9">
      <c r="A15" s="3224"/>
      <c r="B15" s="3226" t="s">
        <v>1092</v>
      </c>
      <c r="C15" s="3226"/>
      <c r="D15" s="1310"/>
      <c r="E15" s="1310">
        <f>SUM(E12:E14)</f>
        <v>0</v>
      </c>
      <c r="F15" s="1311"/>
      <c r="G15" s="1308"/>
      <c r="H15" s="1315"/>
      <c r="I15" s="1316">
        <f>SUM(I12:I14)</f>
        <v>0</v>
      </c>
    </row>
    <row r="16" spans="1:9" ht="24">
      <c r="A16" s="3224" t="s">
        <v>1102</v>
      </c>
      <c r="B16" s="3225" t="s">
        <v>1103</v>
      </c>
      <c r="C16" s="3225"/>
      <c r="D16" s="1306" t="s">
        <v>1079</v>
      </c>
      <c r="E16" s="1317" t="s">
        <v>1104</v>
      </c>
      <c r="F16" s="1307" t="s">
        <v>1105</v>
      </c>
      <c r="G16" s="1308" t="s">
        <v>1083</v>
      </c>
      <c r="H16" s="1314" t="s">
        <v>1098</v>
      </c>
      <c r="I16" s="1305" t="s">
        <v>1084</v>
      </c>
    </row>
    <row r="17" spans="1:9" ht="14.25">
      <c r="A17" s="3224"/>
      <c r="B17" s="3225" t="s">
        <v>1106</v>
      </c>
      <c r="C17" s="3225"/>
      <c r="D17" s="1306"/>
      <c r="E17" s="1306"/>
      <c r="F17" s="1307"/>
      <c r="G17" s="1308"/>
      <c r="H17" s="1318"/>
      <c r="I17" s="1319">
        <f>ROUND(D17*E17*F17*G17/10000,0)</f>
        <v>0</v>
      </c>
    </row>
    <row r="18" spans="1:9" ht="14.25">
      <c r="A18" s="3224"/>
      <c r="B18" s="3225" t="s">
        <v>1107</v>
      </c>
      <c r="C18" s="3225"/>
      <c r="D18" s="1306"/>
      <c r="E18" s="1306"/>
      <c r="F18" s="1307"/>
      <c r="G18" s="1308"/>
      <c r="H18" s="1318"/>
      <c r="I18" s="1319">
        <f>ROUND(D18*E18*F18*G18/10000,0)</f>
        <v>0</v>
      </c>
    </row>
    <row r="19" spans="1:9" ht="14.25">
      <c r="A19" s="3224"/>
      <c r="B19" s="3225" t="s">
        <v>1108</v>
      </c>
      <c r="C19" s="3225"/>
      <c r="D19" s="1306"/>
      <c r="E19" s="1306"/>
      <c r="F19" s="1307"/>
      <c r="G19" s="1308"/>
      <c r="H19" s="1318"/>
      <c r="I19" s="1319">
        <f>ROUND(D19*E19*F19*G19/10000,0)</f>
        <v>0</v>
      </c>
    </row>
    <row r="20" spans="1:9">
      <c r="A20" s="3224"/>
      <c r="B20" s="3226" t="s">
        <v>1092</v>
      </c>
      <c r="C20" s="3226"/>
      <c r="D20" s="1310">
        <f>SUM(D17:D19)</f>
        <v>0</v>
      </c>
      <c r="E20" s="1310"/>
      <c r="F20" s="1311"/>
      <c r="G20" s="1308"/>
      <c r="H20" s="1315"/>
      <c r="I20" s="1316">
        <f>SUM(I17:I19)</f>
        <v>0</v>
      </c>
    </row>
    <row r="21" spans="1:9">
      <c r="A21" s="3224" t="s">
        <v>1109</v>
      </c>
      <c r="B21" s="3227"/>
      <c r="C21" s="3227"/>
      <c r="D21" s="3227"/>
      <c r="E21" s="3227"/>
      <c r="F21" s="3227"/>
      <c r="G21" s="3227"/>
      <c r="H21" s="1768">
        <v>0.1</v>
      </c>
      <c r="I21" s="1313">
        <f>ROUND(I10*H21,0)</f>
        <v>0</v>
      </c>
    </row>
    <row r="22" spans="1:9" ht="14.25">
      <c r="A22" s="3228" t="s">
        <v>1110</v>
      </c>
      <c r="B22" s="3229"/>
      <c r="C22" s="3230"/>
      <c r="D22" s="1320" t="s">
        <v>1111</v>
      </c>
      <c r="E22" s="1320" t="s">
        <v>1112</v>
      </c>
      <c r="F22" s="1321" t="s">
        <v>1113</v>
      </c>
      <c r="G22" s="1321" t="s">
        <v>1114</v>
      </c>
      <c r="H22" s="1314" t="s">
        <v>1115</v>
      </c>
      <c r="I22" s="1305" t="s">
        <v>1116</v>
      </c>
    </row>
    <row r="23" spans="1:9" ht="14.25" thickBot="1">
      <c r="A23" s="3231"/>
      <c r="B23" s="3232"/>
      <c r="C23" s="3233"/>
      <c r="D23" s="1322"/>
      <c r="E23" s="1322"/>
      <c r="F23" s="1322"/>
      <c r="G23" s="1323"/>
      <c r="H23" s="1324"/>
      <c r="I23" s="1325">
        <f>ROUND(E23*D23*F23*(1-G23)/10000,0)</f>
        <v>0</v>
      </c>
    </row>
    <row r="26" spans="1:9">
      <c r="A26" s="1326" t="s">
        <v>1117</v>
      </c>
      <c r="B26" s="1326"/>
      <c r="C26" s="1326"/>
      <c r="D26" s="1326"/>
      <c r="E26" s="3221">
        <f>C27-C30-C31-C32</f>
        <v>0</v>
      </c>
      <c r="F26" s="3221"/>
      <c r="G26" s="3221"/>
      <c r="H26" s="1740" t="s">
        <v>1340</v>
      </c>
    </row>
    <row r="27" spans="1:9">
      <c r="A27" s="1327">
        <v>1</v>
      </c>
      <c r="B27" s="1328" t="s">
        <v>1118</v>
      </c>
      <c r="C27" s="1328">
        <f>C28+C29</f>
        <v>0</v>
      </c>
      <c r="D27" s="1328"/>
      <c r="E27" s="3222"/>
      <c r="F27" s="3222"/>
      <c r="G27" s="3222"/>
    </row>
    <row r="28" spans="1:9">
      <c r="A28" s="1329" t="s">
        <v>1119</v>
      </c>
      <c r="B28" s="1328" t="s">
        <v>1120</v>
      </c>
      <c r="C28" s="1328"/>
      <c r="D28" s="1328"/>
      <c r="E28" s="3222"/>
      <c r="F28" s="3222"/>
      <c r="G28" s="322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3"/>
      <c r="F32" s="3223"/>
      <c r="G32" s="3223"/>
    </row>
    <row r="33" spans="1:7" hidden="1">
      <c r="A33" s="3218" t="s">
        <v>1129</v>
      </c>
      <c r="B33" s="3219"/>
      <c r="C33" s="3219"/>
      <c r="D33" s="3220"/>
      <c r="E33" s="3221"/>
      <c r="F33" s="3221"/>
      <c r="G33" s="3221"/>
    </row>
    <row r="34" spans="1:7" hidden="1">
      <c r="A34" s="1331">
        <v>1</v>
      </c>
      <c r="B34" s="1328" t="s">
        <v>1130</v>
      </c>
      <c r="C34" s="1328"/>
      <c r="D34" s="1328"/>
      <c r="E34" s="3222"/>
      <c r="F34" s="3222"/>
      <c r="G34" s="3222"/>
    </row>
    <row r="35" spans="1:7" hidden="1">
      <c r="A35" s="1331">
        <v>2</v>
      </c>
      <c r="B35" s="1328" t="s">
        <v>1131</v>
      </c>
      <c r="C35" s="1328"/>
      <c r="D35" s="1328"/>
      <c r="E35" s="3222"/>
      <c r="F35" s="3222"/>
      <c r="G35" s="3222"/>
    </row>
    <row r="36" spans="1:7" hidden="1">
      <c r="A36" s="1331">
        <v>3</v>
      </c>
      <c r="B36" s="1328" t="s">
        <v>1132</v>
      </c>
      <c r="C36" s="1328"/>
      <c r="D36" s="1328"/>
      <c r="E36" s="3222"/>
      <c r="F36" s="3222"/>
      <c r="G36" s="3222"/>
    </row>
    <row r="37" spans="1:7" hidden="1">
      <c r="A37" s="1331">
        <v>4</v>
      </c>
      <c r="B37" s="1328" t="s">
        <v>1133</v>
      </c>
      <c r="C37" s="1328"/>
      <c r="D37" s="1328"/>
      <c r="E37" s="3222"/>
      <c r="F37" s="3222"/>
      <c r="G37" s="3222"/>
    </row>
    <row r="38" spans="1:7" hidden="1">
      <c r="A38" s="3218" t="s">
        <v>1134</v>
      </c>
      <c r="B38" s="3219"/>
      <c r="C38" s="3219"/>
      <c r="D38" s="3220"/>
      <c r="E38" s="3221"/>
      <c r="F38" s="3221"/>
      <c r="G38" s="322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49" sqref="B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584" t="s">
        <v>2516</v>
      </c>
      <c r="C1" s="1637" t="s">
        <v>2517</v>
      </c>
      <c r="D1" s="1624"/>
      <c r="E1" s="2585"/>
      <c r="F1" s="2586" t="s">
        <v>2518</v>
      </c>
      <c r="G1" s="1634" t="s">
        <v>2519</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2520</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2521</v>
      </c>
      <c r="D3" s="399">
        <f>IF(D1="",'数据-汇总表'!E3,SUMIF('数据-汇总表'!$C19:$C33,D1,'数据-汇总表'!$E19:$E33))</f>
        <v>36832.270000000004</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2522</v>
      </c>
      <c r="B4" s="402"/>
      <c r="C4" s="3175" t="s">
        <v>2523</v>
      </c>
      <c r="D4" s="3202"/>
      <c r="E4" s="3203" t="s">
        <v>2524</v>
      </c>
      <c r="F4" s="3204"/>
      <c r="G4" s="3175" t="s">
        <v>2525</v>
      </c>
      <c r="H4" s="3202"/>
      <c r="I4" s="3175" t="s">
        <v>2526</v>
      </c>
      <c r="J4" s="3202"/>
      <c r="K4" s="2598" t="s">
        <v>2527</v>
      </c>
      <c r="L4" s="1133"/>
      <c r="M4" s="1134"/>
      <c r="N4" s="1134"/>
      <c r="O4" s="1134"/>
      <c r="P4" s="3205" t="s">
        <v>2528</v>
      </c>
      <c r="Q4" s="3206"/>
      <c r="R4" s="3182" t="s">
        <v>2524</v>
      </c>
      <c r="S4" s="3183"/>
      <c r="T4" s="3182" t="s">
        <v>2525</v>
      </c>
      <c r="U4" s="3183"/>
      <c r="V4" s="3195" t="s">
        <v>2526</v>
      </c>
      <c r="W4" s="3195"/>
      <c r="X4" s="1816"/>
      <c r="Y4" s="3182" t="s">
        <v>2528</v>
      </c>
      <c r="Z4" s="3183"/>
      <c r="AA4" s="3199" t="s">
        <v>2524</v>
      </c>
      <c r="AB4" s="3199" t="s">
        <v>2525</v>
      </c>
      <c r="AC4" s="3199" t="s">
        <v>2526</v>
      </c>
    </row>
    <row r="5" spans="1:29" ht="15">
      <c r="A5" s="404"/>
      <c r="B5" s="405"/>
      <c r="C5" s="3186" t="s">
        <v>2529</v>
      </c>
      <c r="D5" s="3187"/>
      <c r="E5" s="3211" t="s">
        <v>2530</v>
      </c>
      <c r="F5" s="3212"/>
      <c r="G5" s="3186" t="s">
        <v>2531</v>
      </c>
      <c r="H5" s="3187"/>
      <c r="I5" s="3186" t="s">
        <v>2532</v>
      </c>
      <c r="J5" s="3187"/>
      <c r="K5" s="2599"/>
      <c r="L5" s="1133"/>
      <c r="M5" s="1134"/>
      <c r="N5" s="1134"/>
      <c r="O5" s="1134"/>
      <c r="P5" s="3207"/>
      <c r="Q5" s="3208"/>
      <c r="R5" s="3184"/>
      <c r="S5" s="3185"/>
      <c r="T5" s="3184"/>
      <c r="U5" s="3185"/>
      <c r="V5" s="3195"/>
      <c r="W5" s="3195"/>
      <c r="X5" s="1816"/>
      <c r="Y5" s="3184"/>
      <c r="Z5" s="3185"/>
      <c r="AA5" s="3200"/>
      <c r="AB5" s="3200"/>
      <c r="AC5" s="3200"/>
    </row>
    <row r="6" spans="1:29" ht="15.75" thickBot="1">
      <c r="A6" s="406"/>
      <c r="B6" s="407"/>
      <c r="C6" s="3247" t="s">
        <v>2533</v>
      </c>
      <c r="D6" s="3248"/>
      <c r="E6" s="3249" t="s">
        <v>2533</v>
      </c>
      <c r="F6" s="3250"/>
      <c r="G6" s="3247" t="s">
        <v>2533</v>
      </c>
      <c r="H6" s="3248"/>
      <c r="I6" s="3247" t="s">
        <v>2533</v>
      </c>
      <c r="J6" s="3248"/>
      <c r="K6" s="2599" t="s">
        <v>2534</v>
      </c>
      <c r="L6" s="1133"/>
      <c r="M6" s="1134"/>
      <c r="N6" s="1134"/>
      <c r="O6" s="1134"/>
      <c r="P6" s="3209"/>
      <c r="Q6" s="3210"/>
      <c r="R6" s="3184"/>
      <c r="S6" s="3185"/>
      <c r="T6" s="3193"/>
      <c r="U6" s="3194"/>
      <c r="V6" s="3195"/>
      <c r="W6" s="3195"/>
      <c r="X6" s="1816"/>
      <c r="Y6" s="3193"/>
      <c r="Z6" s="3194"/>
      <c r="AA6" s="3201"/>
      <c r="AB6" s="3201"/>
      <c r="AC6" s="3201"/>
    </row>
    <row r="7" spans="1:29" s="117" customFormat="1" ht="15.75" thickBot="1">
      <c r="A7" s="408" t="s">
        <v>2535</v>
      </c>
      <c r="B7" s="409"/>
      <c r="C7" s="410">
        <f>'数据-取费表'!B2</f>
        <v>43430</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80" t="s">
        <v>2536</v>
      </c>
      <c r="Q7" s="3192"/>
      <c r="R7" s="770" t="s">
        <v>23</v>
      </c>
      <c r="S7" s="771">
        <f t="shared" ref="S7:S15" si="0">F7</f>
        <v>0</v>
      </c>
      <c r="T7" s="770" t="s">
        <v>23</v>
      </c>
      <c r="U7" s="771">
        <f t="shared" ref="U7:U15" si="1">H7</f>
        <v>0</v>
      </c>
      <c r="V7" s="770" t="s">
        <v>23</v>
      </c>
      <c r="W7" s="771">
        <f t="shared" ref="W7:W15" si="2">J7</f>
        <v>0</v>
      </c>
      <c r="X7" s="772"/>
      <c r="Y7" s="3180" t="s">
        <v>2536</v>
      </c>
      <c r="Z7" s="3181"/>
      <c r="AA7" s="773" t="e">
        <f>D7/F7</f>
        <v>#DIV/0!</v>
      </c>
      <c r="AB7" s="773" t="e">
        <f>D7/H7</f>
        <v>#DIV/0!</v>
      </c>
      <c r="AC7" s="773" t="e">
        <f>D7/J7</f>
        <v>#DIV/0!</v>
      </c>
    </row>
    <row r="8" spans="1:29" s="117" customFormat="1" ht="15.75" thickBot="1">
      <c r="A8" s="408" t="s">
        <v>2537</v>
      </c>
      <c r="B8" s="409"/>
      <c r="C8" s="414" t="s">
        <v>2538</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80" t="s">
        <v>2539</v>
      </c>
      <c r="Q8" s="3181"/>
      <c r="R8" s="770" t="s">
        <v>23</v>
      </c>
      <c r="S8" s="771">
        <f t="shared" si="0"/>
        <v>0</v>
      </c>
      <c r="T8" s="770" t="s">
        <v>23</v>
      </c>
      <c r="U8" s="771">
        <f t="shared" si="1"/>
        <v>0</v>
      </c>
      <c r="V8" s="770" t="s">
        <v>23</v>
      </c>
      <c r="W8" s="771">
        <f t="shared" si="2"/>
        <v>0</v>
      </c>
      <c r="X8" s="772"/>
      <c r="Y8" s="3180" t="s">
        <v>2539</v>
      </c>
      <c r="Z8" s="3181"/>
      <c r="AA8" s="773" t="e">
        <f t="shared" ref="AA8:AA19" si="3">D8/F8</f>
        <v>#DIV/0!</v>
      </c>
      <c r="AB8" s="773" t="e">
        <f t="shared" ref="AB8:AB19" si="4">D8/H8</f>
        <v>#DIV/0!</v>
      </c>
      <c r="AC8" s="773" t="e">
        <f t="shared" ref="AC8:AC19" si="5">D8/J8</f>
        <v>#DIV/0!</v>
      </c>
    </row>
    <row r="9" spans="1:29" s="117" customFormat="1">
      <c r="A9" s="415" t="s">
        <v>2540</v>
      </c>
      <c r="B9" s="71" t="s">
        <v>2541</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77" t="s">
        <v>2542</v>
      </c>
      <c r="Q9" s="1798" t="str">
        <f t="shared" ref="Q9:Q15" si="6">B9</f>
        <v>用途</v>
      </c>
      <c r="R9" s="770" t="s">
        <v>17</v>
      </c>
      <c r="S9" s="771">
        <f t="shared" si="0"/>
        <v>100</v>
      </c>
      <c r="T9" s="770" t="s">
        <v>17</v>
      </c>
      <c r="U9" s="771">
        <f t="shared" si="1"/>
        <v>100</v>
      </c>
      <c r="V9" s="770" t="s">
        <v>17</v>
      </c>
      <c r="W9" s="771">
        <f t="shared" si="2"/>
        <v>100</v>
      </c>
      <c r="X9" s="772"/>
      <c r="Y9" s="3004"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7"/>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7"/>
      <c r="Q11" s="1798" t="str">
        <f t="shared" si="6"/>
        <v>容积率</v>
      </c>
      <c r="R11" s="770" t="s">
        <v>21</v>
      </c>
      <c r="S11" s="771" t="e">
        <f t="shared" si="0"/>
        <v>#N/A</v>
      </c>
      <c r="T11" s="770" t="s">
        <v>21</v>
      </c>
      <c r="U11" s="771" t="e">
        <f t="shared" si="1"/>
        <v>#N/A</v>
      </c>
      <c r="V11" s="770" t="s">
        <v>21</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77"/>
      <c r="Q12" s="1798">
        <f t="shared" si="6"/>
        <v>111</v>
      </c>
      <c r="R12" s="770" t="s">
        <v>21</v>
      </c>
      <c r="S12" s="771">
        <f t="shared" si="0"/>
        <v>100</v>
      </c>
      <c r="T12" s="770" t="s">
        <v>21</v>
      </c>
      <c r="U12" s="771">
        <f t="shared" si="1"/>
        <v>100</v>
      </c>
      <c r="V12" s="770" t="s">
        <v>21</v>
      </c>
      <c r="W12" s="771">
        <f t="shared" si="2"/>
        <v>100</v>
      </c>
      <c r="X12" s="772"/>
      <c r="Y12" s="300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77"/>
      <c r="Q13" s="1798">
        <f t="shared" si="6"/>
        <v>111</v>
      </c>
      <c r="R13" s="770" t="s">
        <v>21</v>
      </c>
      <c r="S13" s="771">
        <f t="shared" si="0"/>
        <v>100</v>
      </c>
      <c r="T13" s="770" t="s">
        <v>21</v>
      </c>
      <c r="U13" s="771">
        <f t="shared" si="1"/>
        <v>100</v>
      </c>
      <c r="V13" s="770" t="s">
        <v>21</v>
      </c>
      <c r="W13" s="771">
        <f t="shared" si="2"/>
        <v>100</v>
      </c>
      <c r="X13" s="772"/>
      <c r="Y13" s="3004"/>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77"/>
      <c r="Q14" s="1798">
        <f t="shared" si="6"/>
        <v>111</v>
      </c>
      <c r="R14" s="770" t="s">
        <v>21</v>
      </c>
      <c r="S14" s="771">
        <f t="shared" si="0"/>
        <v>100</v>
      </c>
      <c r="T14" s="770" t="s">
        <v>21</v>
      </c>
      <c r="U14" s="771">
        <f t="shared" si="1"/>
        <v>100</v>
      </c>
      <c r="V14" s="770" t="s">
        <v>21</v>
      </c>
      <c r="W14" s="771">
        <f t="shared" si="2"/>
        <v>100</v>
      </c>
      <c r="X14" s="772"/>
      <c r="Y14" s="3004"/>
      <c r="Z14" s="55">
        <f t="shared" si="7"/>
        <v>111</v>
      </c>
      <c r="AA14" s="773">
        <f t="shared" si="3"/>
        <v>1</v>
      </c>
      <c r="AB14" s="773">
        <f t="shared" si="4"/>
        <v>1</v>
      </c>
      <c r="AC14" s="773">
        <f t="shared" si="5"/>
        <v>1</v>
      </c>
    </row>
    <row r="15" spans="1:29" ht="15">
      <c r="A15" s="440" t="s">
        <v>2546</v>
      </c>
      <c r="B15" s="69" t="s">
        <v>2083</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5" t="s">
        <v>2547</v>
      </c>
      <c r="Q15" s="1813" t="str">
        <f t="shared" si="6"/>
        <v>居住社区成熟度</v>
      </c>
      <c r="R15" s="774" t="s">
        <v>21</v>
      </c>
      <c r="S15" s="775">
        <f t="shared" si="0"/>
        <v>100</v>
      </c>
      <c r="T15" s="774" t="s">
        <v>21</v>
      </c>
      <c r="U15" s="775">
        <f t="shared" si="1"/>
        <v>100</v>
      </c>
      <c r="V15" s="774" t="s">
        <v>21</v>
      </c>
      <c r="W15" s="775">
        <f t="shared" si="2"/>
        <v>100</v>
      </c>
      <c r="X15" s="1816"/>
      <c r="Y15" s="3196" t="s">
        <v>2547</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46"/>
      <c r="Q16" s="1813"/>
      <c r="R16" s="774"/>
      <c r="S16" s="775"/>
      <c r="T16" s="774"/>
      <c r="U16" s="775"/>
      <c r="V16" s="774"/>
      <c r="W16" s="775"/>
      <c r="X16" s="1816"/>
      <c r="Y16" s="3197"/>
      <c r="Z16" s="1817"/>
      <c r="AA16" s="1814">
        <v>1</v>
      </c>
      <c r="AB16" s="1814">
        <v>1</v>
      </c>
      <c r="AC16" s="1814">
        <v>1</v>
      </c>
    </row>
    <row r="17" spans="1:29" ht="15">
      <c r="A17" s="428"/>
      <c r="B17" s="451" t="s">
        <v>2089</v>
      </c>
      <c r="C17" s="2609">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6"/>
      <c r="Q17" s="1813" t="str">
        <f>B17</f>
        <v>交通便捷度</v>
      </c>
      <c r="R17" s="774" t="s">
        <v>21</v>
      </c>
      <c r="S17" s="775">
        <f>F17</f>
        <v>100</v>
      </c>
      <c r="T17" s="774" t="s">
        <v>21</v>
      </c>
      <c r="U17" s="775">
        <f>H17</f>
        <v>100</v>
      </c>
      <c r="V17" s="774" t="s">
        <v>21</v>
      </c>
      <c r="W17" s="775">
        <f>J17</f>
        <v>100</v>
      </c>
      <c r="X17" s="1816"/>
      <c r="Y17" s="3197"/>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46"/>
      <c r="Q18" s="1813"/>
      <c r="R18" s="774"/>
      <c r="S18" s="775"/>
      <c r="T18" s="774"/>
      <c r="U18" s="775"/>
      <c r="V18" s="774"/>
      <c r="W18" s="775"/>
      <c r="X18" s="1816"/>
      <c r="Y18" s="3197"/>
      <c r="Z18" s="1817"/>
      <c r="AA18" s="1814">
        <v>1</v>
      </c>
      <c r="AB18" s="1814">
        <v>1</v>
      </c>
      <c r="AC18" s="1814">
        <v>1</v>
      </c>
    </row>
    <row r="19" spans="1:29" ht="15">
      <c r="A19" s="428"/>
      <c r="B19" s="451" t="s">
        <v>2088</v>
      </c>
      <c r="C19" s="2609">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6"/>
      <c r="Q19" s="1813" t="str">
        <f>B19</f>
        <v>公共配套设施</v>
      </c>
      <c r="R19" s="774" t="s">
        <v>21</v>
      </c>
      <c r="S19" s="775">
        <f>F19</f>
        <v>100</v>
      </c>
      <c r="T19" s="774" t="s">
        <v>21</v>
      </c>
      <c r="U19" s="775">
        <f>H19</f>
        <v>100</v>
      </c>
      <c r="V19" s="774" t="s">
        <v>21</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46"/>
      <c r="Q20" s="1813"/>
      <c r="R20" s="774"/>
      <c r="S20" s="775"/>
      <c r="T20" s="774"/>
      <c r="U20" s="775"/>
      <c r="V20" s="774"/>
      <c r="W20" s="775"/>
      <c r="X20" s="1816"/>
      <c r="Y20" s="3197"/>
      <c r="Z20" s="1817"/>
      <c r="AA20" s="1814">
        <v>1</v>
      </c>
      <c r="AB20" s="1814">
        <v>1</v>
      </c>
      <c r="AC20" s="1814">
        <v>1</v>
      </c>
    </row>
    <row r="21" spans="1:29" ht="15">
      <c r="A21" s="428"/>
      <c r="B21" s="1387" t="s">
        <v>2090</v>
      </c>
      <c r="C21" s="2609">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6"/>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46"/>
      <c r="Q22" s="1813"/>
      <c r="R22" s="774"/>
      <c r="S22" s="775"/>
      <c r="T22" s="774"/>
      <c r="U22" s="775"/>
      <c r="V22" s="774"/>
      <c r="W22" s="775"/>
      <c r="X22" s="1816"/>
      <c r="Y22" s="3197"/>
      <c r="Z22" s="1817"/>
      <c r="AA22" s="1814">
        <v>1</v>
      </c>
      <c r="AB22" s="1814">
        <v>1</v>
      </c>
      <c r="AC22" s="1814">
        <v>1</v>
      </c>
    </row>
    <row r="23" spans="1:29" ht="15">
      <c r="A23" s="428"/>
      <c r="B23" s="451" t="s">
        <v>2092</v>
      </c>
      <c r="C23" s="2609">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6"/>
      <c r="Q23" s="1813" t="str">
        <f>B23</f>
        <v>自然及人文环境</v>
      </c>
      <c r="R23" s="774" t="s">
        <v>21</v>
      </c>
      <c r="S23" s="775">
        <f>F23</f>
        <v>100</v>
      </c>
      <c r="T23" s="774" t="s">
        <v>21</v>
      </c>
      <c r="U23" s="775">
        <f>H23</f>
        <v>100</v>
      </c>
      <c r="V23" s="774" t="s">
        <v>21</v>
      </c>
      <c r="W23" s="775">
        <f>J23</f>
        <v>100</v>
      </c>
      <c r="X23" s="1816"/>
      <c r="Y23" s="3197"/>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46"/>
      <c r="Q24" s="1813"/>
      <c r="R24" s="774"/>
      <c r="S24" s="775"/>
      <c r="T24" s="774"/>
      <c r="U24" s="775"/>
      <c r="V24" s="774"/>
      <c r="W24" s="775"/>
      <c r="X24" s="1816"/>
      <c r="Y24" s="3197"/>
      <c r="Z24" s="1817"/>
      <c r="AA24" s="1814">
        <v>1</v>
      </c>
      <c r="AB24" s="1814">
        <v>1</v>
      </c>
      <c r="AC24" s="1814">
        <v>1</v>
      </c>
    </row>
    <row r="25" spans="1:29" ht="15">
      <c r="A25" s="428"/>
      <c r="B25" s="422" t="s">
        <v>2548</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4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7"/>
      <c r="Z25" s="1817" t="str">
        <f>Q25</f>
        <v>楼层-1</v>
      </c>
      <c r="AA25" s="1814">
        <f t="shared" ref="AA25:AA46" si="15">D25/F25</f>
        <v>1</v>
      </c>
      <c r="AB25" s="1814">
        <f t="shared" ref="AB25:AB46" si="16">D25/H25</f>
        <v>1</v>
      </c>
      <c r="AC25" s="1814">
        <f t="shared" ref="AC25:AC46" si="17">D25/J25</f>
        <v>1</v>
      </c>
    </row>
    <row r="26" spans="1:29" ht="15">
      <c r="A26" s="428"/>
      <c r="B26" s="422" t="s">
        <v>2549</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46"/>
      <c r="Q26" s="1813" t="str">
        <f t="shared" si="11"/>
        <v>朝向</v>
      </c>
      <c r="R26" s="774" t="s">
        <v>21</v>
      </c>
      <c r="S26" s="775">
        <f t="shared" si="12"/>
        <v>100</v>
      </c>
      <c r="T26" s="774" t="s">
        <v>21</v>
      </c>
      <c r="U26" s="775">
        <f t="shared" si="13"/>
        <v>100</v>
      </c>
      <c r="V26" s="774" t="s">
        <v>21</v>
      </c>
      <c r="W26" s="775">
        <f t="shared" si="14"/>
        <v>100</v>
      </c>
      <c r="X26" s="1816"/>
      <c r="Y26" s="319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46"/>
      <c r="Q27" s="1798">
        <f t="shared" si="11"/>
        <v>111</v>
      </c>
      <c r="R27" s="770" t="s">
        <v>21</v>
      </c>
      <c r="S27" s="771">
        <f t="shared" si="12"/>
        <v>100</v>
      </c>
      <c r="T27" s="770" t="s">
        <v>21</v>
      </c>
      <c r="U27" s="771">
        <f t="shared" si="13"/>
        <v>100</v>
      </c>
      <c r="V27" s="770" t="s">
        <v>21</v>
      </c>
      <c r="W27" s="771">
        <f t="shared" si="14"/>
        <v>100</v>
      </c>
      <c r="X27" s="772"/>
      <c r="Y27" s="319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46"/>
      <c r="Q28" s="1813">
        <f t="shared" si="11"/>
        <v>111</v>
      </c>
      <c r="R28" s="774" t="s">
        <v>21</v>
      </c>
      <c r="S28" s="775">
        <f t="shared" si="12"/>
        <v>100</v>
      </c>
      <c r="T28" s="774" t="s">
        <v>21</v>
      </c>
      <c r="U28" s="775">
        <f t="shared" si="13"/>
        <v>100</v>
      </c>
      <c r="V28" s="774" t="s">
        <v>21</v>
      </c>
      <c r="W28" s="775">
        <f t="shared" si="14"/>
        <v>100</v>
      </c>
      <c r="X28" s="1816"/>
      <c r="Y28" s="319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46"/>
      <c r="Q29" s="1813">
        <f t="shared" si="11"/>
        <v>111</v>
      </c>
      <c r="R29" s="774" t="s">
        <v>21</v>
      </c>
      <c r="S29" s="775">
        <f t="shared" si="12"/>
        <v>100</v>
      </c>
      <c r="T29" s="774" t="s">
        <v>21</v>
      </c>
      <c r="U29" s="775">
        <f t="shared" si="13"/>
        <v>100</v>
      </c>
      <c r="V29" s="774" t="s">
        <v>21</v>
      </c>
      <c r="W29" s="775">
        <f t="shared" si="14"/>
        <v>100</v>
      </c>
      <c r="X29" s="1816"/>
      <c r="Y29" s="319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46"/>
      <c r="Q30" s="1813">
        <f t="shared" si="11"/>
        <v>111</v>
      </c>
      <c r="R30" s="774" t="s">
        <v>21</v>
      </c>
      <c r="S30" s="775">
        <f t="shared" si="12"/>
        <v>100</v>
      </c>
      <c r="T30" s="774" t="s">
        <v>21</v>
      </c>
      <c r="U30" s="775">
        <f t="shared" si="13"/>
        <v>100</v>
      </c>
      <c r="V30" s="774" t="s">
        <v>21</v>
      </c>
      <c r="W30" s="775">
        <f t="shared" si="14"/>
        <v>100</v>
      </c>
      <c r="X30" s="1816"/>
      <c r="Y30" s="319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46"/>
      <c r="Q31" s="1813">
        <f t="shared" si="11"/>
        <v>111</v>
      </c>
      <c r="R31" s="774" t="s">
        <v>21</v>
      </c>
      <c r="S31" s="775">
        <f t="shared" si="12"/>
        <v>100</v>
      </c>
      <c r="T31" s="774" t="s">
        <v>21</v>
      </c>
      <c r="U31" s="775">
        <f t="shared" si="13"/>
        <v>100</v>
      </c>
      <c r="V31" s="774" t="s">
        <v>21</v>
      </c>
      <c r="W31" s="775">
        <f t="shared" si="14"/>
        <v>100</v>
      </c>
      <c r="X31" s="1816"/>
      <c r="Y31" s="3197"/>
      <c r="Z31" s="1817">
        <f t="shared" si="18"/>
        <v>111</v>
      </c>
      <c r="AA31" s="1814">
        <f t="shared" si="15"/>
        <v>1</v>
      </c>
      <c r="AB31" s="1814">
        <f t="shared" si="16"/>
        <v>1</v>
      </c>
      <c r="AC31" s="1814">
        <f t="shared" si="17"/>
        <v>1</v>
      </c>
    </row>
    <row r="32" spans="1:29" ht="15">
      <c r="A32" s="440" t="s">
        <v>2550</v>
      </c>
      <c r="B32" s="71" t="s">
        <v>2551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41" t="s">
        <v>2552</v>
      </c>
      <c r="Q32" s="1813" t="str">
        <f t="shared" si="11"/>
        <v>建筑类型</v>
      </c>
      <c r="R32" s="774" t="s">
        <v>21</v>
      </c>
      <c r="S32" s="775">
        <f t="shared" si="12"/>
        <v>100</v>
      </c>
      <c r="T32" s="774" t="s">
        <v>21</v>
      </c>
      <c r="U32" s="775">
        <f t="shared" si="13"/>
        <v>100</v>
      </c>
      <c r="V32" s="774" t="s">
        <v>21</v>
      </c>
      <c r="W32" s="775">
        <f t="shared" si="14"/>
        <v>100</v>
      </c>
      <c r="X32" s="1816"/>
      <c r="Y32" s="3198" t="s">
        <v>2552</v>
      </c>
      <c r="Z32" s="1817" t="str">
        <f t="shared" si="18"/>
        <v>建筑类型</v>
      </c>
      <c r="AA32" s="1814">
        <f t="shared" si="15"/>
        <v>1</v>
      </c>
      <c r="AB32" s="1814">
        <f t="shared" si="16"/>
        <v>1</v>
      </c>
      <c r="AC32" s="1814">
        <f t="shared" si="17"/>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42"/>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1814" t="e">
        <f t="shared" si="15"/>
        <v>#N/A</v>
      </c>
      <c r="AB33" s="1814" t="e">
        <f t="shared" si="16"/>
        <v>#N/A</v>
      </c>
      <c r="AC33" s="1814" t="e">
        <f t="shared" si="17"/>
        <v>#N/A</v>
      </c>
    </row>
    <row r="34" spans="1:29" ht="15">
      <c r="A34" s="472"/>
      <c r="B34" s="422" t="s">
        <v>2554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42"/>
      <c r="Q34" s="1813" t="str">
        <f t="shared" si="11"/>
        <v>建筑结构</v>
      </c>
      <c r="R34" s="774" t="s">
        <v>21</v>
      </c>
      <c r="S34" s="775">
        <f t="shared" si="12"/>
        <v>100</v>
      </c>
      <c r="T34" s="774" t="s">
        <v>21</v>
      </c>
      <c r="U34" s="775">
        <f t="shared" si="13"/>
        <v>100</v>
      </c>
      <c r="V34" s="774" t="s">
        <v>21</v>
      </c>
      <c r="W34" s="775">
        <f t="shared" si="14"/>
        <v>100</v>
      </c>
      <c r="X34" s="1816"/>
      <c r="Y34" s="3198"/>
      <c r="Z34" s="1817" t="str">
        <f t="shared" si="18"/>
        <v>建筑结构</v>
      </c>
      <c r="AA34" s="1814">
        <f t="shared" si="15"/>
        <v>1</v>
      </c>
      <c r="AB34" s="1814">
        <f t="shared" si="16"/>
        <v>1</v>
      </c>
      <c r="AC34" s="1814">
        <f t="shared" si="17"/>
        <v>1</v>
      </c>
    </row>
    <row r="35" spans="1:29" ht="15">
      <c r="A35" s="472"/>
      <c r="B35" s="422" t="s">
        <v>2555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42"/>
      <c r="Q35" s="1813" t="str">
        <f t="shared" si="11"/>
        <v>建筑品质</v>
      </c>
      <c r="R35" s="774" t="s">
        <v>21</v>
      </c>
      <c r="S35" s="775">
        <f t="shared" si="12"/>
        <v>100</v>
      </c>
      <c r="T35" s="774" t="s">
        <v>21</v>
      </c>
      <c r="U35" s="775">
        <f t="shared" si="13"/>
        <v>100</v>
      </c>
      <c r="V35" s="774" t="s">
        <v>21</v>
      </c>
      <c r="W35" s="775">
        <f t="shared" si="14"/>
        <v>100</v>
      </c>
      <c r="X35" s="1816"/>
      <c r="Y35" s="3198"/>
      <c r="Z35" s="1817" t="str">
        <f t="shared" si="18"/>
        <v>建筑品质</v>
      </c>
      <c r="AA35" s="1814">
        <f t="shared" si="15"/>
        <v>1</v>
      </c>
      <c r="AB35" s="1814">
        <f t="shared" si="16"/>
        <v>1</v>
      </c>
      <c r="AC35" s="1814">
        <f t="shared" si="17"/>
        <v>1</v>
      </c>
    </row>
    <row r="36" spans="1:29" ht="15">
      <c r="A36" s="472"/>
      <c r="B36" s="422" t="s">
        <v>2556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42"/>
      <c r="Q36" s="1813" t="str">
        <f t="shared" si="11"/>
        <v>公共部分装修</v>
      </c>
      <c r="R36" s="774" t="s">
        <v>21</v>
      </c>
      <c r="S36" s="775">
        <f t="shared" si="12"/>
        <v>100</v>
      </c>
      <c r="T36" s="774" t="s">
        <v>21</v>
      </c>
      <c r="U36" s="775">
        <f t="shared" si="13"/>
        <v>100</v>
      </c>
      <c r="V36" s="774" t="s">
        <v>21</v>
      </c>
      <c r="W36" s="775">
        <f t="shared" si="14"/>
        <v>100</v>
      </c>
      <c r="X36" s="1816"/>
      <c r="Y36" s="3198"/>
      <c r="Z36" s="1817" t="str">
        <f t="shared" si="18"/>
        <v>公共部分装修</v>
      </c>
      <c r="AA36" s="1814">
        <f t="shared" si="15"/>
        <v>1</v>
      </c>
      <c r="AB36" s="1814">
        <f t="shared" si="16"/>
        <v>1</v>
      </c>
      <c r="AC36" s="1814">
        <f t="shared" si="17"/>
        <v>1</v>
      </c>
    </row>
    <row r="37" spans="1:29" s="117" customFormat="1" ht="15">
      <c r="A37" s="473"/>
      <c r="B37" s="422" t="s">
        <v>2557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2"/>
      <c r="Q37" s="1798"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2558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42" t="s">
        <v>2552</v>
      </c>
      <c r="Q38" s="1813" t="str">
        <f t="shared" si="11"/>
        <v>物业管理</v>
      </c>
      <c r="R38" s="774" t="s">
        <v>21</v>
      </c>
      <c r="S38" s="775">
        <f t="shared" si="12"/>
        <v>100</v>
      </c>
      <c r="T38" s="774" t="s">
        <v>21</v>
      </c>
      <c r="U38" s="775">
        <f t="shared" si="13"/>
        <v>100</v>
      </c>
      <c r="V38" s="774" t="s">
        <v>21</v>
      </c>
      <c r="W38" s="775">
        <f t="shared" si="14"/>
        <v>100</v>
      </c>
      <c r="X38" s="1816"/>
      <c r="Y38" s="3198" t="s">
        <v>2552</v>
      </c>
      <c r="Z38" s="1817" t="str">
        <f t="shared" si="18"/>
        <v>物业管理</v>
      </c>
      <c r="AA38" s="1814">
        <f t="shared" si="15"/>
        <v>1</v>
      </c>
      <c r="AB38" s="1814">
        <f t="shared" si="16"/>
        <v>1</v>
      </c>
      <c r="AC38" s="1814">
        <f t="shared" si="17"/>
        <v>1</v>
      </c>
    </row>
    <row r="39" spans="1:29" ht="15">
      <c r="A39" s="472"/>
      <c r="B39" s="422" t="s">
        <v>2559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42"/>
      <c r="Q39" s="1813" t="str">
        <f t="shared" si="11"/>
        <v>市政基础设施</v>
      </c>
      <c r="R39" s="774" t="s">
        <v>21</v>
      </c>
      <c r="S39" s="775">
        <f t="shared" si="12"/>
        <v>100</v>
      </c>
      <c r="T39" s="774" t="s">
        <v>21</v>
      </c>
      <c r="U39" s="775">
        <f t="shared" si="13"/>
        <v>100</v>
      </c>
      <c r="V39" s="774" t="s">
        <v>21</v>
      </c>
      <c r="W39" s="775">
        <f t="shared" si="14"/>
        <v>100</v>
      </c>
      <c r="X39" s="1816"/>
      <c r="Y39" s="3198"/>
      <c r="Z39" s="1817" t="str">
        <f t="shared" si="18"/>
        <v>市政基础设施</v>
      </c>
      <c r="AA39" s="1814">
        <f t="shared" si="15"/>
        <v>1</v>
      </c>
      <c r="AB39" s="1814">
        <f t="shared" si="16"/>
        <v>1</v>
      </c>
      <c r="AC39" s="1814">
        <f t="shared" si="17"/>
        <v>1</v>
      </c>
    </row>
    <row r="40" spans="1:29" ht="15">
      <c r="A40" s="472"/>
      <c r="B40" s="422" t="s">
        <v>2560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42"/>
      <c r="Q40" s="1813" t="str">
        <f t="shared" si="11"/>
        <v>房型</v>
      </c>
      <c r="R40" s="774" t="s">
        <v>21</v>
      </c>
      <c r="S40" s="775">
        <f t="shared" si="12"/>
        <v>100</v>
      </c>
      <c r="T40" s="774" t="s">
        <v>21</v>
      </c>
      <c r="U40" s="775">
        <f t="shared" si="13"/>
        <v>100</v>
      </c>
      <c r="V40" s="774" t="s">
        <v>21</v>
      </c>
      <c r="W40" s="775">
        <f t="shared" si="14"/>
        <v>100</v>
      </c>
      <c r="X40" s="1816"/>
      <c r="Y40" s="3198"/>
      <c r="Z40" s="1817" t="str">
        <f t="shared" si="18"/>
        <v>房型</v>
      </c>
      <c r="AA40" s="1814">
        <f t="shared" si="15"/>
        <v>1</v>
      </c>
      <c r="AB40" s="1814">
        <f t="shared" si="16"/>
        <v>1</v>
      </c>
      <c r="AC40" s="1814">
        <f t="shared" si="17"/>
        <v>1</v>
      </c>
    </row>
    <row r="41" spans="1:29" s="471" customFormat="1" ht="28.5">
      <c r="A41" s="468"/>
      <c r="B41" s="422" t="s">
        <v>2561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42"/>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4">
        <f t="shared" si="15"/>
        <v>1</v>
      </c>
      <c r="AB41" s="1814">
        <f t="shared" si="16"/>
        <v>1</v>
      </c>
      <c r="AC41" s="1814">
        <f t="shared" si="17"/>
        <v>1</v>
      </c>
    </row>
    <row r="42" spans="1:29" ht="15">
      <c r="A42" s="472"/>
      <c r="B42" s="422" t="s">
        <v>2562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42"/>
      <c r="Q42" s="1813" t="str">
        <f t="shared" si="11"/>
        <v>内部装修</v>
      </c>
      <c r="R42" s="774" t="s">
        <v>21</v>
      </c>
      <c r="S42" s="775">
        <f t="shared" si="12"/>
        <v>100</v>
      </c>
      <c r="T42" s="774" t="s">
        <v>21</v>
      </c>
      <c r="U42" s="775">
        <f t="shared" si="13"/>
        <v>100</v>
      </c>
      <c r="V42" s="774" t="s">
        <v>21</v>
      </c>
      <c r="W42" s="775">
        <f t="shared" si="14"/>
        <v>100</v>
      </c>
      <c r="X42" s="1816"/>
      <c r="Y42" s="3198"/>
      <c r="Z42" s="1817" t="str">
        <f t="shared" si="18"/>
        <v>内部装修</v>
      </c>
      <c r="AA42" s="1814">
        <f t="shared" si="15"/>
        <v>1</v>
      </c>
      <c r="AB42" s="1814">
        <f t="shared" si="16"/>
        <v>1</v>
      </c>
      <c r="AC42" s="1814">
        <f t="shared" si="17"/>
        <v>1</v>
      </c>
    </row>
    <row r="43" spans="1:29" ht="15">
      <c r="A43" s="472"/>
      <c r="B43" s="422" t="s">
        <v>2563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42"/>
      <c r="Q43" s="1813" t="str">
        <f t="shared" si="11"/>
        <v>内部装修维护情况</v>
      </c>
      <c r="R43" s="774" t="s">
        <v>21</v>
      </c>
      <c r="S43" s="775">
        <f t="shared" si="12"/>
        <v>100</v>
      </c>
      <c r="T43" s="774" t="s">
        <v>21</v>
      </c>
      <c r="U43" s="775">
        <f t="shared" si="13"/>
        <v>100</v>
      </c>
      <c r="V43" s="774" t="s">
        <v>21</v>
      </c>
      <c r="W43" s="775">
        <f t="shared" si="14"/>
        <v>100</v>
      </c>
      <c r="X43" s="1816"/>
      <c r="Y43" s="319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42"/>
      <c r="Q44" s="1798">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42"/>
      <c r="Q45" s="1813">
        <f t="shared" si="11"/>
        <v>111</v>
      </c>
      <c r="R45" s="774" t="s">
        <v>21</v>
      </c>
      <c r="S45" s="775">
        <f t="shared" si="12"/>
        <v>100</v>
      </c>
      <c r="T45" s="774" t="s">
        <v>21</v>
      </c>
      <c r="U45" s="775">
        <f t="shared" si="13"/>
        <v>100</v>
      </c>
      <c r="V45" s="774" t="s">
        <v>21</v>
      </c>
      <c r="W45" s="775">
        <f t="shared" si="14"/>
        <v>100</v>
      </c>
      <c r="X45" s="1816"/>
      <c r="Y45" s="3198"/>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43"/>
      <c r="Q46" s="1813">
        <f t="shared" si="11"/>
        <v>111</v>
      </c>
      <c r="R46" s="774" t="s">
        <v>20</v>
      </c>
      <c r="S46" s="775">
        <f t="shared" si="12"/>
        <v>100</v>
      </c>
      <c r="T46" s="774" t="s">
        <v>20</v>
      </c>
      <c r="U46" s="775">
        <f t="shared" si="13"/>
        <v>100</v>
      </c>
      <c r="V46" s="774" t="s">
        <v>20</v>
      </c>
      <c r="W46" s="775">
        <f t="shared" si="14"/>
        <v>100</v>
      </c>
      <c r="X46" s="1816"/>
      <c r="Y46" s="3244"/>
      <c r="Z46" s="1817">
        <f t="shared" si="18"/>
        <v>111</v>
      </c>
      <c r="AA46" s="1814">
        <f t="shared" si="15"/>
        <v>1</v>
      </c>
      <c r="AB46" s="1814">
        <f t="shared" si="16"/>
        <v>1</v>
      </c>
      <c r="AC46" s="1814">
        <f t="shared" si="17"/>
        <v>1</v>
      </c>
    </row>
    <row r="47" spans="1:29" ht="15">
      <c r="A47" s="479" t="s">
        <v>2564</v>
      </c>
      <c r="B47" s="480"/>
      <c r="C47" s="1410" t="s">
        <v>19</v>
      </c>
      <c r="D47" s="1411"/>
      <c r="E47" s="1412"/>
      <c r="F47" s="1413"/>
      <c r="G47" s="1414"/>
      <c r="H47" s="1415"/>
      <c r="I47" s="1412"/>
      <c r="J47" s="1415"/>
      <c r="K47" s="2623"/>
      <c r="L47" s="1146"/>
      <c r="M47" s="1147"/>
      <c r="N47" s="1134"/>
      <c r="O47" s="1147"/>
      <c r="P47" s="3178" t="str">
        <f>A47</f>
        <v>成交单价（元/平方米）</v>
      </c>
      <c r="Q47" s="3178"/>
      <c r="R47" s="3240">
        <f>E47</f>
        <v>0</v>
      </c>
      <c r="S47" s="3240"/>
      <c r="T47" s="3240">
        <f>G47</f>
        <v>0</v>
      </c>
      <c r="U47" s="3240"/>
      <c r="V47" s="3240">
        <f>I47</f>
        <v>0</v>
      </c>
      <c r="W47" s="3240"/>
      <c r="X47" s="759"/>
      <c r="Y47" s="781"/>
      <c r="Z47" s="759"/>
      <c r="AA47" s="759"/>
      <c r="AB47" s="759"/>
      <c r="AC47" s="759"/>
    </row>
    <row r="48" spans="1:29" ht="15.75" thickBot="1">
      <c r="A48" s="486" t="s">
        <v>2565</v>
      </c>
      <c r="B48" s="487"/>
      <c r="C48" s="1416" t="e">
        <f>R49</f>
        <v>#DIV/0!</v>
      </c>
      <c r="D48" s="1417"/>
      <c r="E48" s="1418" t="e">
        <f>R48</f>
        <v>#DIV/0!</v>
      </c>
      <c r="F48" s="1418"/>
      <c r="G48" s="1416" t="e">
        <f>T48</f>
        <v>#DIV/0!</v>
      </c>
      <c r="H48" s="1417"/>
      <c r="I48" s="1418" t="e">
        <f>V48</f>
        <v>#DIV/0!</v>
      </c>
      <c r="J48" s="1417"/>
      <c r="K48" s="2624"/>
      <c r="L48" s="1146"/>
      <c r="M48" s="1147"/>
      <c r="N48" s="1147"/>
      <c r="O48" s="1147"/>
      <c r="P48" s="3178" t="str">
        <f>A48</f>
        <v>比较价值（元/平方米）</v>
      </c>
      <c r="Q48" s="3178"/>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2566</v>
      </c>
      <c r="B49" s="493"/>
      <c r="C49" s="1419" t="e">
        <f>R49</f>
        <v>#DIV/0!</v>
      </c>
      <c r="D49" s="1420"/>
      <c r="E49" s="1420"/>
      <c r="F49" s="1420"/>
      <c r="G49" s="1420"/>
      <c r="H49" s="1420"/>
      <c r="I49" s="1420"/>
      <c r="J49" s="1420"/>
      <c r="K49" s="2625"/>
      <c r="L49" s="1146"/>
      <c r="M49" s="1147"/>
      <c r="N49" s="1147"/>
      <c r="O49" s="1147"/>
      <c r="P49" s="3214" t="str">
        <f>A49</f>
        <v>估价对象XX用房的比较价值（楼面单价，元/平方米）</v>
      </c>
      <c r="Q49" s="3215"/>
      <c r="R49" s="3239" t="e">
        <f>IF(F1="售价",ROUND(AVERAGE(R48:V48),0),ROUND(AVERAGE(R48:V48),1))</f>
        <v>#DIV/0!</v>
      </c>
      <c r="S49" s="3239"/>
      <c r="T49" s="3239"/>
      <c r="U49" s="3239"/>
      <c r="V49" s="3239"/>
      <c r="W49" s="323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2570</v>
      </c>
      <c r="B57" s="759"/>
      <c r="C57" s="764"/>
      <c r="D57" s="764"/>
      <c r="E57" s="764"/>
      <c r="F57" s="765"/>
      <c r="G57" s="765"/>
      <c r="H57" s="764"/>
      <c r="I57" s="764"/>
      <c r="J57" s="764"/>
      <c r="K57" s="1163"/>
      <c r="L57" s="1164"/>
      <c r="M57" s="1162"/>
      <c r="N57" s="1162"/>
      <c r="O57" s="1162"/>
      <c r="P57" s="2628"/>
      <c r="Q57" s="504"/>
    </row>
    <row r="58" spans="1:29" s="508" customFormat="1" ht="15">
      <c r="A58" s="505" t="s">
        <v>2571</v>
      </c>
      <c r="B58" s="506"/>
      <c r="C58" s="1579" t="str">
        <f>YEAR(C7)&amp;"-"&amp;MONTH(C7)</f>
        <v>2018-11</v>
      </c>
      <c r="D58" s="1578">
        <f>EDATE(C58,-1)</f>
        <v>43374</v>
      </c>
      <c r="E58" s="1578">
        <f>EDATE(D58,-1)</f>
        <v>43344</v>
      </c>
      <c r="F58" s="1578">
        <f t="shared" ref="F58:O58" si="19">EDATE(E58,-1)</f>
        <v>43313</v>
      </c>
      <c r="G58" s="1578">
        <f t="shared" si="19"/>
        <v>43282</v>
      </c>
      <c r="H58" s="1578">
        <f t="shared" si="19"/>
        <v>43252</v>
      </c>
      <c r="I58" s="1578">
        <f t="shared" si="19"/>
        <v>43221</v>
      </c>
      <c r="J58" s="1578">
        <f t="shared" si="19"/>
        <v>43191</v>
      </c>
      <c r="K58" s="1578">
        <f t="shared" si="19"/>
        <v>43160</v>
      </c>
      <c r="L58" s="1578">
        <f t="shared" si="19"/>
        <v>43132</v>
      </c>
      <c r="M58" s="1578">
        <f t="shared" si="19"/>
        <v>43101</v>
      </c>
      <c r="N58" s="1578">
        <f t="shared" si="19"/>
        <v>43070</v>
      </c>
      <c r="O58" s="1578">
        <f t="shared" si="19"/>
        <v>43040</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2572</v>
      </c>
      <c r="B60" s="516"/>
      <c r="C60" s="517"/>
      <c r="D60" s="518"/>
      <c r="E60" s="518"/>
      <c r="F60" s="518"/>
      <c r="G60" s="518"/>
      <c r="H60" s="518"/>
      <c r="I60" s="518"/>
      <c r="J60" s="518"/>
      <c r="K60" s="518"/>
      <c r="L60" s="518"/>
      <c r="M60" s="519"/>
      <c r="N60" s="518"/>
      <c r="O60" s="519"/>
      <c r="P60" s="2630"/>
      <c r="Q60" s="504"/>
    </row>
    <row r="61" spans="1:29" s="117" customFormat="1" ht="15">
      <c r="A61" s="521" t="s">
        <v>2573</v>
      </c>
      <c r="B61" s="510"/>
      <c r="C61" s="522" t="s">
        <v>2574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2575</v>
      </c>
      <c r="B63" s="528" t="s">
        <v>2541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2545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2090</v>
      </c>
      <c r="C82" s="539" t="s">
        <v>2591</v>
      </c>
      <c r="D82" s="539" t="s">
        <v>2592</v>
      </c>
      <c r="E82" s="539" t="s">
        <v>2593</v>
      </c>
      <c r="F82" s="539" t="s">
        <v>2594</v>
      </c>
      <c r="G82" s="539" t="s">
        <v>2595</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2597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2598</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2550</v>
      </c>
      <c r="B100" s="528" t="s">
        <v>2599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2602</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2603</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2604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2605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2606</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2561</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2607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2609</v>
      </c>
    </row>
    <row r="137" spans="1:17" ht="15">
      <c r="B137" s="2640" t="s">
        <v>2610</v>
      </c>
      <c r="C137" s="2641"/>
      <c r="D137" s="2641"/>
      <c r="E137" s="2641"/>
      <c r="F137" s="2641"/>
      <c r="G137" s="2642"/>
      <c r="H137" s="2643"/>
      <c r="I137" s="2644" t="s">
        <v>2611</v>
      </c>
      <c r="J137" s="2641"/>
      <c r="K137" s="2645"/>
    </row>
    <row r="138" spans="1:17" ht="15">
      <c r="B138" s="2646"/>
      <c r="C138" s="146" t="s">
        <v>2612</v>
      </c>
      <c r="D138" s="146" t="s">
        <v>2613</v>
      </c>
      <c r="E138" s="2647" t="s">
        <v>2614</v>
      </c>
      <c r="F138" s="2648" t="s">
        <v>2615</v>
      </c>
      <c r="G138" s="146" t="s">
        <v>2613</v>
      </c>
      <c r="H138" s="147" t="s">
        <v>2614</v>
      </c>
      <c r="I138" s="2649"/>
      <c r="J138" s="146" t="s">
        <v>2616</v>
      </c>
      <c r="K138" s="147" t="s">
        <v>2617</v>
      </c>
    </row>
    <row r="139" spans="1:17" ht="15">
      <c r="B139" s="1087">
        <v>6</v>
      </c>
      <c r="C139" s="1088">
        <v>96</v>
      </c>
      <c r="D139" s="2650" t="s">
        <v>2618</v>
      </c>
      <c r="E139" s="1089">
        <v>100</v>
      </c>
      <c r="F139" s="1090">
        <v>102.5</v>
      </c>
      <c r="G139" s="2650" t="s">
        <v>2618</v>
      </c>
      <c r="H139" s="1091">
        <v>105</v>
      </c>
      <c r="I139" s="2651" t="s">
        <v>2619</v>
      </c>
      <c r="J139" s="1088">
        <v>20</v>
      </c>
      <c r="K139" s="1092">
        <f>C145/(J139-2)</f>
        <v>4.0555555555555553E-3</v>
      </c>
    </row>
    <row r="140" spans="1:17" ht="15">
      <c r="B140" s="1093">
        <v>5</v>
      </c>
      <c r="C140" s="1094">
        <v>100</v>
      </c>
      <c r="D140" s="1094"/>
      <c r="E140" s="1095"/>
      <c r="F140" s="1096">
        <v>102</v>
      </c>
      <c r="G140" s="1094"/>
      <c r="H140" s="1097"/>
      <c r="I140" s="2652" t="s">
        <v>2620</v>
      </c>
      <c r="J140" s="315">
        <f>ROUNDUP((J139-1)/2,0)</f>
        <v>10</v>
      </c>
      <c r="K140" s="1098">
        <v>100</v>
      </c>
    </row>
    <row r="141" spans="1:17" ht="15">
      <c r="B141" s="1093">
        <v>4</v>
      </c>
      <c r="C141" s="1094">
        <v>102</v>
      </c>
      <c r="D141" s="1094"/>
      <c r="E141" s="1095"/>
      <c r="F141" s="1096">
        <v>101.5</v>
      </c>
      <c r="G141" s="1094"/>
      <c r="H141" s="1097"/>
      <c r="I141" s="2652" t="s">
        <v>2621</v>
      </c>
      <c r="J141" s="315">
        <v>1</v>
      </c>
      <c r="K141" s="1099">
        <f>ROUND(100+(J141-J140)*K139*100,1)</f>
        <v>96.4</v>
      </c>
    </row>
    <row r="142" spans="1:17" ht="15">
      <c r="B142" s="1093">
        <v>3</v>
      </c>
      <c r="C142" s="1094">
        <v>103</v>
      </c>
      <c r="D142" s="1094"/>
      <c r="E142" s="1095"/>
      <c r="F142" s="1096">
        <v>101</v>
      </c>
      <c r="G142" s="1094"/>
      <c r="H142" s="1097"/>
      <c r="I142" s="2652" t="s">
        <v>2622</v>
      </c>
      <c r="J142" s="315">
        <f>J139</f>
        <v>20</v>
      </c>
      <c r="K142" s="1100">
        <v>95</v>
      </c>
    </row>
    <row r="143" spans="1:17" ht="15">
      <c r="B143" s="1093">
        <v>2</v>
      </c>
      <c r="C143" s="1094">
        <v>100</v>
      </c>
      <c r="D143" s="1094"/>
      <c r="E143" s="1095"/>
      <c r="F143" s="1096">
        <v>100.5</v>
      </c>
      <c r="G143" s="1094"/>
      <c r="H143" s="1097"/>
      <c r="I143" s="2652" t="s">
        <v>2623</v>
      </c>
      <c r="J143" s="1094">
        <v>15</v>
      </c>
      <c r="K143" s="1099">
        <f>ROUND(100+(J143-J140)*K139*100,1)</f>
        <v>102</v>
      </c>
    </row>
    <row r="144" spans="1:17" ht="15">
      <c r="B144" s="1093">
        <v>1</v>
      </c>
      <c r="C144" s="1094">
        <v>98</v>
      </c>
      <c r="D144" s="2653" t="s">
        <v>2624</v>
      </c>
      <c r="E144" s="1095">
        <v>102</v>
      </c>
      <c r="F144" s="1101">
        <v>100</v>
      </c>
      <c r="G144" s="2653" t="s">
        <v>2624</v>
      </c>
      <c r="H144" s="1097">
        <v>105</v>
      </c>
      <c r="I144" s="2652" t="s">
        <v>2623</v>
      </c>
      <c r="J144" s="1094">
        <v>18</v>
      </c>
      <c r="K144" s="1099">
        <f>ROUND(100+(J144-J140)*K139*100,1)</f>
        <v>103.2</v>
      </c>
    </row>
    <row r="145" spans="2:11" ht="15.75" thickBot="1">
      <c r="B145" s="2654" t="s">
        <v>2625</v>
      </c>
      <c r="C145" s="1102">
        <f>ROUND(MAX(C139:C144)/MIN(C139:C144)-1,3)</f>
        <v>7.2999999999999995E-2</v>
      </c>
      <c r="D145" s="1103"/>
      <c r="E145" s="1103"/>
      <c r="F145" s="2655" t="s">
        <v>2626</v>
      </c>
      <c r="G145" s="2656"/>
      <c r="H145" s="2657"/>
      <c r="I145" s="2658" t="s">
        <v>2623</v>
      </c>
      <c r="J145" s="1104">
        <v>8</v>
      </c>
      <c r="K145" s="1105">
        <f>ROUND(100+(J145-J140)*K139*100,1)</f>
        <v>99.2</v>
      </c>
    </row>
    <row r="147" spans="2:11">
      <c r="B147" s="2639" t="s">
        <v>2627</v>
      </c>
    </row>
    <row r="148" spans="2:11">
      <c r="B148" s="2639"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北京恒星意达科技有限公司：</v>
      </c>
    </row>
    <row r="4" spans="1:1" ht="54">
      <c r="A4" s="1951" t="str">
        <f>"受贵公司委托，我公司对"&amp;项目基本情况!S1&amp;"进行了预评估。"</f>
        <v>受贵公司委托，我公司对北京市大兴区中关村科技园区大兴生物医药基地北京生物医药企业港项目工业用房出让国有建设用地使用权及在建建筑物房地产抵押价值进行了预评估。</v>
      </c>
    </row>
    <row r="5" spans="1:1" ht="18.75">
      <c r="A5" s="1952" t="s">
        <v>1612</v>
      </c>
    </row>
    <row r="6" spans="1:1" ht="18.75">
      <c r="A6" s="1953" t="s">
        <v>1613</v>
      </c>
    </row>
    <row r="7" spans="1:1" ht="10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中关村科技园区大兴生物医药基地北京生物医药企业港项目工业用房出让国有建设用地使用权及在建建筑物房地产，为所有。根据《不动产权证书》[京（2015）大兴区不动产权第0000019号]及《关于北京恒星意达科技有限公司北京生物医药企业港项目抵押用地面积分摊计算说明》，估价对象（分摊）出让国有建设用地使用权面积为23303.32平方米，建筑面积为36832.27平方米。</v>
      </c>
    </row>
    <row r="8" spans="1:1" ht="57.75">
      <c r="A8" s="1954" t="s">
        <v>1614</v>
      </c>
    </row>
    <row r="9" spans="1:1" ht="18.75">
      <c r="A9" s="1953" t="s">
        <v>1615</v>
      </c>
    </row>
    <row r="10" spans="1:1" ht="10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中关村科技园区大兴生物医药基地北京生物医药企业港项目工业用房出让国有建设用地使用权及在建建筑物房地产,为开发建设的工业项目，该项目尚在开发建设中。根据《不动产权证书》[京（2015）大兴区不动产权第0000019号]及《关于北京恒星意达科技有限公司北京生物医药企业港项目抵押用地面积分摊计算说明》，估价对象（分摊）出让国有建设用地使用权面积为23303.32平方米，规划建筑面积为36832.27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为估价委托人在向北京交通银行通州支行办理贷款手续过程中，确定房地产抵押贷款额度提供参考依据而评估房地产抵押价值。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2018年11月26日（评估专业人员实地查勘之日）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26日，估价对象规划用途为工业用地，土地取得方式为出让，出让国有建设用地使用权剩余土地使用年限为45.24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用地，实际开发程度为宗地红线外“六通”（即通路、通电、通讯、通上水、通下水、通热）、红线内场地平整条件下，剩余土地使用年限为45.24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49" sqref="B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584" t="s">
        <v>2629</v>
      </c>
      <c r="C1" s="1637" t="s">
        <v>2517</v>
      </c>
      <c r="D1" s="1624"/>
      <c r="E1" s="2659"/>
      <c r="F1" s="2586"/>
      <c r="G1" s="1634" t="s">
        <v>2630</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2315</v>
      </c>
      <c r="B2" s="1421" t="e">
        <f ca="1">IF(C2="——",ROUND(C49*D3/10000,0),ROUND(C49*D3/10000,0)-D2)</f>
        <v>#DIV/0!</v>
      </c>
      <c r="C2" s="2588"/>
      <c r="D2" s="1368" t="e">
        <f ca="1">SUMIF(INDIRECT("'"&amp;F2&amp;"'"&amp;"!A:A"),"承租人权益价值",INDIRECT("'"&amp;F2&amp;"'"&amp;"!c:c"))</f>
        <v>#REF!</v>
      </c>
      <c r="E2" s="2589" t="s">
        <v>2316</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2317</v>
      </c>
      <c r="B3" s="609" t="e">
        <f ca="1">IF(C2="——",C49,ROUND(B2*10000/D3,0))</f>
        <v>#DIV/0!</v>
      </c>
      <c r="C3" s="400" t="s">
        <v>2631</v>
      </c>
      <c r="D3" s="399">
        <f>IF(D1="",'数据-汇总表'!E3,SUMIF('数据-汇总表'!$C19:$C33,D1,'数据-汇总表'!$E19:$E33))</f>
        <v>36832.270000000004</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2632</v>
      </c>
      <c r="B4" s="402"/>
      <c r="C4" s="3175" t="s">
        <v>2633</v>
      </c>
      <c r="D4" s="3202"/>
      <c r="E4" s="3203" t="s">
        <v>2634</v>
      </c>
      <c r="F4" s="3204"/>
      <c r="G4" s="3175" t="s">
        <v>2635</v>
      </c>
      <c r="H4" s="3202"/>
      <c r="I4" s="3175" t="s">
        <v>2636</v>
      </c>
      <c r="J4" s="3202"/>
      <c r="K4" s="610" t="s">
        <v>2637</v>
      </c>
      <c r="L4" s="1133"/>
      <c r="M4" s="1134"/>
      <c r="N4" s="1134"/>
      <c r="O4" s="1134"/>
      <c r="P4" s="3205" t="s">
        <v>2638</v>
      </c>
      <c r="Q4" s="3206"/>
      <c r="R4" s="3182" t="s">
        <v>2634</v>
      </c>
      <c r="S4" s="3183"/>
      <c r="T4" s="3182" t="s">
        <v>2635</v>
      </c>
      <c r="U4" s="3183"/>
      <c r="V4" s="3195" t="s">
        <v>2636</v>
      </c>
      <c r="W4" s="3195"/>
      <c r="X4" s="1816"/>
      <c r="Y4" s="3182" t="s">
        <v>2638</v>
      </c>
      <c r="Z4" s="3183"/>
      <c r="AA4" s="3199" t="s">
        <v>2634</v>
      </c>
      <c r="AB4" s="3195" t="s">
        <v>2635</v>
      </c>
      <c r="AC4" s="3199" t="s">
        <v>2636</v>
      </c>
    </row>
    <row r="5" spans="1:29" ht="15">
      <c r="A5" s="404"/>
      <c r="B5" s="405"/>
      <c r="C5" s="3186" t="s">
        <v>2529</v>
      </c>
      <c r="D5" s="3187"/>
      <c r="E5" s="3211" t="s">
        <v>2530</v>
      </c>
      <c r="F5" s="3212"/>
      <c r="G5" s="3186" t="s">
        <v>2531</v>
      </c>
      <c r="H5" s="3187"/>
      <c r="I5" s="3186" t="s">
        <v>2532</v>
      </c>
      <c r="J5" s="3187"/>
      <c r="K5" s="610"/>
      <c r="L5" s="1133"/>
      <c r="M5" s="1134"/>
      <c r="N5" s="1134"/>
      <c r="O5" s="1134"/>
      <c r="P5" s="3207"/>
      <c r="Q5" s="3208"/>
      <c r="R5" s="3184"/>
      <c r="S5" s="3185"/>
      <c r="T5" s="3184"/>
      <c r="U5" s="3185"/>
      <c r="V5" s="3195"/>
      <c r="W5" s="3195"/>
      <c r="X5" s="1816"/>
      <c r="Y5" s="3184"/>
      <c r="Z5" s="3185"/>
      <c r="AA5" s="3200"/>
      <c r="AB5" s="3195"/>
      <c r="AC5" s="3200"/>
    </row>
    <row r="6" spans="1:29" ht="15.75" thickBot="1">
      <c r="A6" s="406"/>
      <c r="B6" s="407"/>
      <c r="C6" s="3247" t="s">
        <v>2533</v>
      </c>
      <c r="D6" s="3248"/>
      <c r="E6" s="3249" t="s">
        <v>2533</v>
      </c>
      <c r="F6" s="3250"/>
      <c r="G6" s="3247" t="s">
        <v>2533</v>
      </c>
      <c r="H6" s="3248"/>
      <c r="I6" s="3247" t="s">
        <v>2533</v>
      </c>
      <c r="J6" s="3248"/>
      <c r="K6" s="610" t="s">
        <v>2534</v>
      </c>
      <c r="L6" s="1133"/>
      <c r="M6" s="1134"/>
      <c r="N6" s="1134"/>
      <c r="O6" s="1134"/>
      <c r="P6" s="3209"/>
      <c r="Q6" s="3210"/>
      <c r="R6" s="3184"/>
      <c r="S6" s="3185"/>
      <c r="T6" s="3193"/>
      <c r="U6" s="3194"/>
      <c r="V6" s="3195"/>
      <c r="W6" s="3195"/>
      <c r="X6" s="1816"/>
      <c r="Y6" s="3193"/>
      <c r="Z6" s="3194"/>
      <c r="AA6" s="3201"/>
      <c r="AB6" s="3195"/>
      <c r="AC6" s="3201"/>
    </row>
    <row r="7" spans="1:29" s="117" customFormat="1" ht="15.75" thickBot="1">
      <c r="A7" s="408" t="s">
        <v>2535</v>
      </c>
      <c r="B7" s="409"/>
      <c r="C7" s="410">
        <f>'数据-取费表'!B2</f>
        <v>43430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0" t="s">
        <v>2536</v>
      </c>
      <c r="Q7" s="3192"/>
      <c r="R7" s="770" t="s">
        <v>17</v>
      </c>
      <c r="S7" s="771">
        <f t="shared" ref="S7:S15" si="0">F7</f>
        <v>0</v>
      </c>
      <c r="T7" s="770" t="s">
        <v>17</v>
      </c>
      <c r="U7" s="771">
        <f t="shared" ref="U7:U15" si="1">H7</f>
        <v>0</v>
      </c>
      <c r="V7" s="770" t="s">
        <v>17</v>
      </c>
      <c r="W7" s="771">
        <f t="shared" ref="W7:W15" si="2">J7</f>
        <v>0</v>
      </c>
      <c r="X7" s="772"/>
      <c r="Y7" s="3180" t="s">
        <v>2536</v>
      </c>
      <c r="Z7" s="3181"/>
      <c r="AA7" s="773" t="e">
        <f>D7/F7</f>
        <v>#DIV/0!</v>
      </c>
      <c r="AB7" s="773" t="e">
        <f>D7/H7</f>
        <v>#DIV/0!</v>
      </c>
      <c r="AC7" s="773" t="e">
        <f>D7/J7</f>
        <v>#DIV/0!</v>
      </c>
    </row>
    <row r="8" spans="1:29" s="117" customFormat="1" ht="15.75" thickBot="1">
      <c r="A8" s="408" t="s">
        <v>2537</v>
      </c>
      <c r="B8" s="409"/>
      <c r="C8" s="414" t="s">
        <v>2639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0" t="s">
        <v>2539</v>
      </c>
      <c r="Q8" s="3181"/>
      <c r="R8" s="770" t="s">
        <v>17</v>
      </c>
      <c r="S8" s="771">
        <f t="shared" si="0"/>
        <v>0</v>
      </c>
      <c r="T8" s="770" t="s">
        <v>17</v>
      </c>
      <c r="U8" s="771">
        <f t="shared" si="1"/>
        <v>0</v>
      </c>
      <c r="V8" s="770" t="s">
        <v>17</v>
      </c>
      <c r="W8" s="771">
        <f t="shared" si="2"/>
        <v>0</v>
      </c>
      <c r="X8" s="772"/>
      <c r="Y8" s="3180" t="s">
        <v>2539</v>
      </c>
      <c r="Z8" s="3181"/>
      <c r="AA8" s="773" t="e">
        <f t="shared" ref="AA8:AA46" si="3">D8/F8</f>
        <v>#DIV/0!</v>
      </c>
      <c r="AB8" s="773" t="e">
        <f t="shared" ref="AB8:AB46" si="4">D8/H8</f>
        <v>#DIV/0!</v>
      </c>
      <c r="AC8" s="773" t="e">
        <f t="shared" ref="AC8:AC46" si="5">D8/J8</f>
        <v>#DIV/0!</v>
      </c>
    </row>
    <row r="9" spans="1:29" s="117" customFormat="1">
      <c r="A9" s="415" t="s">
        <v>2540</v>
      </c>
      <c r="B9" s="71" t="s">
        <v>2541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7" t="s">
        <v>2542</v>
      </c>
      <c r="Q9" s="1798" t="str">
        <f t="shared" ref="Q9:Q15" si="6">B9</f>
        <v>用途</v>
      </c>
      <c r="R9" s="770" t="s">
        <v>17</v>
      </c>
      <c r="S9" s="771">
        <f t="shared" si="0"/>
        <v>100</v>
      </c>
      <c r="T9" s="770" t="s">
        <v>17</v>
      </c>
      <c r="U9" s="771">
        <f t="shared" si="1"/>
        <v>100</v>
      </c>
      <c r="V9" s="770" t="s">
        <v>17</v>
      </c>
      <c r="W9" s="771">
        <f t="shared" si="2"/>
        <v>100</v>
      </c>
      <c r="X9" s="772"/>
      <c r="Y9" s="3004"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7"/>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7"/>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7"/>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7"/>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7"/>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15">
      <c r="A15" s="440" t="s">
        <v>2546</v>
      </c>
      <c r="B15" s="69" t="s">
        <v>2640</v>
      </c>
      <c r="C15" s="2605">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5" t="s">
        <v>2547</v>
      </c>
      <c r="Q15" s="1813" t="str">
        <f t="shared" si="6"/>
        <v>商业繁华度</v>
      </c>
      <c r="R15" s="774" t="s">
        <v>17</v>
      </c>
      <c r="S15" s="775">
        <f t="shared" si="0"/>
        <v>100</v>
      </c>
      <c r="T15" s="774" t="s">
        <v>17</v>
      </c>
      <c r="U15" s="775">
        <f t="shared" si="1"/>
        <v>100</v>
      </c>
      <c r="V15" s="774" t="s">
        <v>17</v>
      </c>
      <c r="W15" s="775">
        <f t="shared" si="2"/>
        <v>100</v>
      </c>
      <c r="X15" s="1816"/>
      <c r="Y15" s="3196" t="s">
        <v>2547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6"/>
      <c r="Q16" s="1813"/>
      <c r="R16" s="774"/>
      <c r="S16" s="775"/>
      <c r="T16" s="774"/>
      <c r="U16" s="775"/>
      <c r="V16" s="774"/>
      <c r="W16" s="775"/>
      <c r="X16" s="1816"/>
      <c r="Y16" s="3197"/>
      <c r="Z16" s="1817"/>
      <c r="AA16" s="1814">
        <v>1</v>
      </c>
      <c r="AB16" s="1814">
        <v>1</v>
      </c>
      <c r="AC16" s="1814">
        <v>1</v>
      </c>
    </row>
    <row r="17" spans="1:29" ht="15">
      <c r="A17" s="428"/>
      <c r="B17" s="451" t="s">
        <v>2089</v>
      </c>
      <c r="C17" s="2609">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6"/>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46"/>
      <c r="Q18" s="1813"/>
      <c r="R18" s="774"/>
      <c r="S18" s="775"/>
      <c r="T18" s="774"/>
      <c r="U18" s="775"/>
      <c r="V18" s="774"/>
      <c r="W18" s="775"/>
      <c r="X18" s="1816"/>
      <c r="Y18" s="3197"/>
      <c r="Z18" s="1817"/>
      <c r="AA18" s="1814">
        <v>1</v>
      </c>
      <c r="AB18" s="1814">
        <v>1</v>
      </c>
      <c r="AC18" s="1814">
        <v>1</v>
      </c>
    </row>
    <row r="19" spans="1:29" ht="15">
      <c r="A19" s="428"/>
      <c r="B19" s="451" t="s">
        <v>2641</v>
      </c>
      <c r="C19" s="2609">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6"/>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46"/>
      <c r="Q20" s="1813"/>
      <c r="R20" s="774"/>
      <c r="S20" s="775"/>
      <c r="T20" s="774"/>
      <c r="U20" s="775"/>
      <c r="V20" s="774"/>
      <c r="W20" s="775"/>
      <c r="X20" s="1816"/>
      <c r="Y20" s="3197"/>
      <c r="Z20" s="1817"/>
      <c r="AA20" s="1814">
        <v>1</v>
      </c>
      <c r="AB20" s="1814">
        <v>1</v>
      </c>
      <c r="AC20" s="1814">
        <v>1</v>
      </c>
    </row>
    <row r="21" spans="1:29" ht="15">
      <c r="A21" s="428"/>
      <c r="B21" s="1387" t="s">
        <v>2642</v>
      </c>
      <c r="C21" s="2609">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6"/>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46"/>
      <c r="Q22" s="1813"/>
      <c r="R22" s="774"/>
      <c r="S22" s="775"/>
      <c r="T22" s="774"/>
      <c r="U22" s="775"/>
      <c r="V22" s="774"/>
      <c r="W22" s="775"/>
      <c r="X22" s="1816"/>
      <c r="Y22" s="3197"/>
      <c r="Z22" s="1817"/>
      <c r="AA22" s="1814">
        <v>1</v>
      </c>
      <c r="AB22" s="1814">
        <v>1</v>
      </c>
      <c r="AC22" s="1814">
        <v>1</v>
      </c>
    </row>
    <row r="23" spans="1:29" ht="15">
      <c r="A23" s="428"/>
      <c r="B23" s="451" t="s">
        <v>2092</v>
      </c>
      <c r="C23" s="2666">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6"/>
      <c r="Q23" s="1813" t="str">
        <f>B23</f>
        <v>自然及人文环境</v>
      </c>
      <c r="R23" s="774" t="s">
        <v>17</v>
      </c>
      <c r="S23" s="775">
        <f>F23</f>
        <v>100</v>
      </c>
      <c r="T23" s="774" t="s">
        <v>17</v>
      </c>
      <c r="U23" s="775">
        <f>H23</f>
        <v>100</v>
      </c>
      <c r="V23" s="774" t="s">
        <v>17</v>
      </c>
      <c r="W23" s="775">
        <f>J23</f>
        <v>100</v>
      </c>
      <c r="X23" s="1816"/>
      <c r="Y23" s="3197"/>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46"/>
      <c r="Q24" s="1813"/>
      <c r="R24" s="774"/>
      <c r="S24" s="775"/>
      <c r="T24" s="774"/>
      <c r="U24" s="775"/>
      <c r="V24" s="774"/>
      <c r="W24" s="775"/>
      <c r="X24" s="1816"/>
      <c r="Y24" s="3197"/>
      <c r="Z24" s="1817"/>
      <c r="AA24" s="1814">
        <v>1</v>
      </c>
      <c r="AB24" s="1814">
        <v>1</v>
      </c>
      <c r="AC24" s="1814">
        <v>1</v>
      </c>
    </row>
    <row r="25" spans="1:29" ht="15">
      <c r="A25" s="428"/>
      <c r="B25" s="422" t="s">
        <v>2643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6"/>
      <c r="Q25" s="1813" t="str">
        <f t="shared" ref="Q25:Q46" si="11">B25</f>
        <v>临街状况</v>
      </c>
      <c r="R25" s="774" t="s">
        <v>17</v>
      </c>
      <c r="S25" s="775">
        <f>F25</f>
        <v>100</v>
      </c>
      <c r="T25" s="774" t="s">
        <v>17</v>
      </c>
      <c r="U25" s="775">
        <f>H25</f>
        <v>100</v>
      </c>
      <c r="V25" s="774" t="s">
        <v>17</v>
      </c>
      <c r="W25" s="775">
        <f>J25</f>
        <v>100</v>
      </c>
      <c r="X25" s="1816"/>
      <c r="Y25" s="3197"/>
      <c r="Z25" s="1817" t="str">
        <f>Q25</f>
        <v>临街状况</v>
      </c>
      <c r="AA25" s="1814">
        <f t="shared" si="3"/>
        <v>1</v>
      </c>
      <c r="AB25" s="1814">
        <f t="shared" si="4"/>
        <v>1</v>
      </c>
      <c r="AC25" s="1814">
        <f t="shared" si="5"/>
        <v>1</v>
      </c>
    </row>
    <row r="26" spans="1:29" ht="15">
      <c r="A26" s="428"/>
      <c r="B26" s="1389" t="s">
        <v>2644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6"/>
      <c r="Q26" s="1813" t="str">
        <f t="shared" si="11"/>
        <v>平面位置/可视性</v>
      </c>
      <c r="R26" s="774" t="s">
        <v>17</v>
      </c>
      <c r="S26" s="775">
        <f>F26</f>
        <v>100</v>
      </c>
      <c r="T26" s="774" t="s">
        <v>17</v>
      </c>
      <c r="U26" s="775">
        <f>H26</f>
        <v>100</v>
      </c>
      <c r="V26" s="774" t="s">
        <v>17</v>
      </c>
      <c r="W26" s="775">
        <f>J26</f>
        <v>100</v>
      </c>
      <c r="X26" s="1816"/>
      <c r="Y26" s="3197"/>
      <c r="Z26" s="1817" t="str">
        <f>Q26</f>
        <v>平面位置/可视性</v>
      </c>
      <c r="AA26" s="1814">
        <f t="shared" si="3"/>
        <v>1</v>
      </c>
      <c r="AB26" s="1814">
        <f t="shared" si="4"/>
        <v>1</v>
      </c>
      <c r="AC26" s="1814">
        <f t="shared" si="5"/>
        <v>1</v>
      </c>
    </row>
    <row r="27" spans="1:29" s="117" customFormat="1" ht="15">
      <c r="A27" s="431"/>
      <c r="B27" s="451" t="s">
        <v>2645</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46"/>
      <c r="Q27" s="1798" t="str">
        <f t="shared" si="11"/>
        <v>人流量</v>
      </c>
      <c r="R27" s="770" t="s">
        <v>17</v>
      </c>
      <c r="S27" s="771">
        <f>F27</f>
        <v>100</v>
      </c>
      <c r="T27" s="770" t="s">
        <v>17</v>
      </c>
      <c r="U27" s="771">
        <f>H27</f>
        <v>100</v>
      </c>
      <c r="V27" s="770" t="s">
        <v>17</v>
      </c>
      <c r="W27" s="771">
        <f>J27</f>
        <v>100</v>
      </c>
      <c r="X27" s="772"/>
      <c r="Y27" s="3197"/>
      <c r="Z27" s="55" t="str">
        <f>Q27</f>
        <v>人流量</v>
      </c>
      <c r="AA27" s="1814">
        <f>D27/F27</f>
        <v>1</v>
      </c>
      <c r="AB27" s="1814">
        <f>D27/H27</f>
        <v>1</v>
      </c>
      <c r="AC27" s="1814">
        <f>D27/J27</f>
        <v>1</v>
      </c>
    </row>
    <row r="28" spans="1:29" ht="15">
      <c r="A28" s="428"/>
      <c r="B28" s="422" t="s">
        <v>2646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6"/>
      <c r="Q29" s="1813">
        <f t="shared" si="11"/>
        <v>111</v>
      </c>
      <c r="R29" s="774" t="s">
        <v>17</v>
      </c>
      <c r="S29" s="775">
        <f t="shared" si="12"/>
        <v>100</v>
      </c>
      <c r="T29" s="774" t="s">
        <v>17</v>
      </c>
      <c r="U29" s="775">
        <f t="shared" si="13"/>
        <v>100</v>
      </c>
      <c r="V29" s="774" t="s">
        <v>17</v>
      </c>
      <c r="W29" s="775">
        <f t="shared" si="14"/>
        <v>100</v>
      </c>
      <c r="X29" s="1816"/>
      <c r="Y29" s="319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6"/>
      <c r="Q30" s="1813">
        <f t="shared" si="11"/>
        <v>111</v>
      </c>
      <c r="R30" s="774" t="s">
        <v>17</v>
      </c>
      <c r="S30" s="775">
        <f t="shared" si="12"/>
        <v>100</v>
      </c>
      <c r="T30" s="774" t="s">
        <v>17</v>
      </c>
      <c r="U30" s="775">
        <f t="shared" si="13"/>
        <v>100</v>
      </c>
      <c r="V30" s="774" t="s">
        <v>17</v>
      </c>
      <c r="W30" s="775">
        <f t="shared" si="14"/>
        <v>100</v>
      </c>
      <c r="X30" s="1816"/>
      <c r="Y30" s="319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6"/>
      <c r="Q31" s="1813">
        <f t="shared" si="11"/>
        <v>111</v>
      </c>
      <c r="R31" s="774" t="s">
        <v>17</v>
      </c>
      <c r="S31" s="775">
        <f t="shared" si="12"/>
        <v>100</v>
      </c>
      <c r="T31" s="774" t="s">
        <v>17</v>
      </c>
      <c r="U31" s="775">
        <f t="shared" si="13"/>
        <v>100</v>
      </c>
      <c r="V31" s="774" t="s">
        <v>17</v>
      </c>
      <c r="W31" s="775">
        <f t="shared" si="14"/>
        <v>100</v>
      </c>
      <c r="X31" s="1816"/>
      <c r="Y31" s="3197"/>
      <c r="Z31" s="1817">
        <f t="shared" si="15"/>
        <v>111</v>
      </c>
      <c r="AA31" s="1814">
        <f t="shared" si="3"/>
        <v>1</v>
      </c>
      <c r="AB31" s="1814">
        <f t="shared" si="4"/>
        <v>1</v>
      </c>
      <c r="AC31" s="1814">
        <f t="shared" si="5"/>
        <v>1</v>
      </c>
    </row>
    <row r="32" spans="1:29" ht="15">
      <c r="A32" s="440" t="s">
        <v>2550</v>
      </c>
      <c r="B32" s="71" t="s">
        <v>2647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41" t="s">
        <v>2552</v>
      </c>
      <c r="Q32" s="1813" t="str">
        <f t="shared" si="11"/>
        <v>商业类型</v>
      </c>
      <c r="R32" s="774" t="s">
        <v>17</v>
      </c>
      <c r="S32" s="775">
        <f t="shared" si="12"/>
        <v>100</v>
      </c>
      <c r="T32" s="774" t="s">
        <v>17</v>
      </c>
      <c r="U32" s="775">
        <f t="shared" si="13"/>
        <v>100</v>
      </c>
      <c r="V32" s="774" t="s">
        <v>17</v>
      </c>
      <c r="W32" s="775">
        <f t="shared" si="14"/>
        <v>100</v>
      </c>
      <c r="X32" s="1816"/>
      <c r="Y32" s="3198" t="s">
        <v>2552</v>
      </c>
      <c r="Z32" s="1817" t="str">
        <f t="shared" si="15"/>
        <v>商业类型</v>
      </c>
      <c r="AA32" s="1814">
        <f t="shared" si="3"/>
        <v>1</v>
      </c>
      <c r="AB32" s="1814">
        <f t="shared" si="4"/>
        <v>1</v>
      </c>
      <c r="AC32" s="1814">
        <f t="shared" si="5"/>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2"/>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4" t="e">
        <f t="shared" si="3"/>
        <v>#N/A</v>
      </c>
      <c r="AB33" s="1814" t="e">
        <f t="shared" si="4"/>
        <v>#N/A</v>
      </c>
      <c r="AC33" s="1814" t="e">
        <f t="shared" si="5"/>
        <v>#N/A</v>
      </c>
    </row>
    <row r="34" spans="1:29" ht="15">
      <c r="A34" s="472"/>
      <c r="B34" s="422" t="s">
        <v>2554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42"/>
      <c r="Q34" s="1813" t="str">
        <f t="shared" si="11"/>
        <v>建筑结构</v>
      </c>
      <c r="R34" s="774" t="s">
        <v>17</v>
      </c>
      <c r="S34" s="775">
        <f t="shared" si="12"/>
        <v>100</v>
      </c>
      <c r="T34" s="774" t="s">
        <v>17</v>
      </c>
      <c r="U34" s="775">
        <f t="shared" si="13"/>
        <v>100</v>
      </c>
      <c r="V34" s="774" t="s">
        <v>17</v>
      </c>
      <c r="W34" s="775">
        <f t="shared" si="14"/>
        <v>100</v>
      </c>
      <c r="X34" s="1816"/>
      <c r="Y34" s="3198"/>
      <c r="Z34" s="1817" t="str">
        <f t="shared" si="15"/>
        <v>建筑结构</v>
      </c>
      <c r="AA34" s="1814">
        <f t="shared" si="3"/>
        <v>1</v>
      </c>
      <c r="AB34" s="1814">
        <f t="shared" si="4"/>
        <v>1</v>
      </c>
      <c r="AC34" s="1814">
        <f t="shared" si="5"/>
        <v>1</v>
      </c>
    </row>
    <row r="35" spans="1:29" ht="15">
      <c r="A35" s="472"/>
      <c r="B35" s="422" t="s">
        <v>2648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42"/>
      <c r="Q35" s="1813" t="str">
        <f t="shared" si="11"/>
        <v>公共部分装修</v>
      </c>
      <c r="R35" s="774" t="s">
        <v>17</v>
      </c>
      <c r="S35" s="775">
        <f t="shared" si="12"/>
        <v>100</v>
      </c>
      <c r="T35" s="774" t="s">
        <v>17</v>
      </c>
      <c r="U35" s="775">
        <f t="shared" si="13"/>
        <v>100</v>
      </c>
      <c r="V35" s="774" t="s">
        <v>17</v>
      </c>
      <c r="W35" s="775">
        <f t="shared" si="14"/>
        <v>100</v>
      </c>
      <c r="X35" s="1816"/>
      <c r="Y35" s="3198"/>
      <c r="Z35" s="1817" t="str">
        <f t="shared" si="15"/>
        <v>公共部分装修</v>
      </c>
      <c r="AA35" s="1814">
        <f t="shared" si="3"/>
        <v>1</v>
      </c>
      <c r="AB35" s="1814">
        <f t="shared" si="4"/>
        <v>1</v>
      </c>
      <c r="AC35" s="1814">
        <f t="shared" si="5"/>
        <v>1</v>
      </c>
    </row>
    <row r="36" spans="1:29" ht="15">
      <c r="A36" s="472"/>
      <c r="B36" s="422" t="s">
        <v>2649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2"/>
      <c r="Q36" s="1813" t="str">
        <f t="shared" si="11"/>
        <v>成新度</v>
      </c>
      <c r="R36" s="774" t="s">
        <v>17</v>
      </c>
      <c r="S36" s="775" t="e">
        <f t="shared" si="12"/>
        <v>#N/A</v>
      </c>
      <c r="T36" s="774" t="s">
        <v>17</v>
      </c>
      <c r="U36" s="775" t="e">
        <f t="shared" si="13"/>
        <v>#N/A</v>
      </c>
      <c r="V36" s="774" t="s">
        <v>17</v>
      </c>
      <c r="W36" s="775" t="e">
        <f t="shared" si="14"/>
        <v>#N/A</v>
      </c>
      <c r="X36" s="1816"/>
      <c r="Y36" s="3198"/>
      <c r="Z36" s="1817" t="str">
        <f t="shared" si="15"/>
        <v>成新度</v>
      </c>
      <c r="AA36" s="1814" t="e">
        <f t="shared" si="3"/>
        <v>#N/A</v>
      </c>
      <c r="AB36" s="1814" t="e">
        <f t="shared" si="4"/>
        <v>#N/A</v>
      </c>
      <c r="AC36" s="1814" t="e">
        <f t="shared" si="5"/>
        <v>#N/A</v>
      </c>
    </row>
    <row r="37" spans="1:29" s="117" customFormat="1" ht="15">
      <c r="A37" s="473"/>
      <c r="B37" s="422" t="s">
        <v>2650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42"/>
      <c r="Q37" s="1798"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2651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42" t="s">
        <v>2552</v>
      </c>
      <c r="Q38" s="1813" t="str">
        <f t="shared" si="11"/>
        <v>业态</v>
      </c>
      <c r="R38" s="774" t="s">
        <v>17</v>
      </c>
      <c r="S38" s="775">
        <f t="shared" si="12"/>
        <v>100</v>
      </c>
      <c r="T38" s="774" t="s">
        <v>17</v>
      </c>
      <c r="U38" s="775">
        <f t="shared" si="13"/>
        <v>100</v>
      </c>
      <c r="V38" s="774" t="s">
        <v>17</v>
      </c>
      <c r="W38" s="775">
        <f t="shared" si="14"/>
        <v>100</v>
      </c>
      <c r="X38" s="1816"/>
      <c r="Y38" s="3198" t="s">
        <v>2552</v>
      </c>
      <c r="Z38" s="1817" t="str">
        <f t="shared" si="15"/>
        <v>业态</v>
      </c>
      <c r="AA38" s="1814">
        <f t="shared" si="3"/>
        <v>1</v>
      </c>
      <c r="AB38" s="1814">
        <f t="shared" si="4"/>
        <v>1</v>
      </c>
      <c r="AC38" s="1814">
        <f t="shared" si="5"/>
        <v>1</v>
      </c>
    </row>
    <row r="39" spans="1:29" ht="15">
      <c r="A39" s="472"/>
      <c r="B39" s="422" t="s">
        <v>2652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42"/>
      <c r="Q39" s="1813" t="str">
        <f t="shared" si="11"/>
        <v>层高</v>
      </c>
      <c r="R39" s="774" t="s">
        <v>17</v>
      </c>
      <c r="S39" s="775">
        <f t="shared" si="12"/>
        <v>100</v>
      </c>
      <c r="T39" s="774" t="s">
        <v>17</v>
      </c>
      <c r="U39" s="775">
        <f t="shared" si="13"/>
        <v>100</v>
      </c>
      <c r="V39" s="774" t="s">
        <v>17</v>
      </c>
      <c r="W39" s="775">
        <f t="shared" si="14"/>
        <v>100</v>
      </c>
      <c r="X39" s="1816"/>
      <c r="Y39" s="3198"/>
      <c r="Z39" s="1817" t="str">
        <f t="shared" si="15"/>
        <v>层高</v>
      </c>
      <c r="AA39" s="1814">
        <f t="shared" si="3"/>
        <v>1</v>
      </c>
      <c r="AB39" s="1814">
        <f t="shared" si="4"/>
        <v>1</v>
      </c>
      <c r="AC39" s="1814">
        <f t="shared" si="5"/>
        <v>1</v>
      </c>
    </row>
    <row r="40" spans="1:29" ht="15">
      <c r="A40" s="472"/>
      <c r="B40" s="422" t="s">
        <v>2653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2"/>
      <c r="Q40" s="1813" t="str">
        <f t="shared" si="11"/>
        <v>单套建筑面积</v>
      </c>
      <c r="R40" s="774" t="s">
        <v>17</v>
      </c>
      <c r="S40" s="775">
        <f t="shared" si="12"/>
        <v>100</v>
      </c>
      <c r="T40" s="774" t="s">
        <v>17</v>
      </c>
      <c r="U40" s="775">
        <f t="shared" si="13"/>
        <v>100</v>
      </c>
      <c r="V40" s="774" t="s">
        <v>17</v>
      </c>
      <c r="W40" s="775">
        <f t="shared" si="14"/>
        <v>100</v>
      </c>
      <c r="X40" s="1816"/>
      <c r="Y40" s="3198"/>
      <c r="Z40" s="1817" t="str">
        <f t="shared" si="15"/>
        <v>单套建筑面积</v>
      </c>
      <c r="AA40" s="1814">
        <f t="shared" si="3"/>
        <v>1</v>
      </c>
      <c r="AB40" s="1814">
        <f t="shared" si="4"/>
        <v>1</v>
      </c>
      <c r="AC40" s="1814">
        <f t="shared" si="5"/>
        <v>1</v>
      </c>
    </row>
    <row r="41" spans="1:29" s="471" customFormat="1" ht="15">
      <c r="A41" s="468"/>
      <c r="B41" s="1815"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2"/>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4">
        <f t="shared" si="3"/>
        <v>1</v>
      </c>
      <c r="AB41" s="1814">
        <f t="shared" si="4"/>
        <v>1</v>
      </c>
      <c r="AC41" s="1814">
        <f t="shared" si="5"/>
        <v>1</v>
      </c>
    </row>
    <row r="42" spans="1:29" ht="15">
      <c r="A42" s="472"/>
      <c r="B42" s="422" t="s">
        <v>2655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42"/>
      <c r="Q42" s="1813" t="str">
        <f t="shared" si="11"/>
        <v>内部装修</v>
      </c>
      <c r="R42" s="774" t="s">
        <v>17</v>
      </c>
      <c r="S42" s="775">
        <f t="shared" si="12"/>
        <v>100</v>
      </c>
      <c r="T42" s="774" t="s">
        <v>17</v>
      </c>
      <c r="U42" s="775">
        <f t="shared" si="13"/>
        <v>100</v>
      </c>
      <c r="V42" s="774" t="s">
        <v>17</v>
      </c>
      <c r="W42" s="775">
        <f t="shared" si="14"/>
        <v>100</v>
      </c>
      <c r="X42" s="1816"/>
      <c r="Y42" s="3198"/>
      <c r="Z42" s="1817" t="str">
        <f t="shared" si="15"/>
        <v>内部装修</v>
      </c>
      <c r="AA42" s="1814">
        <f t="shared" si="3"/>
        <v>1</v>
      </c>
      <c r="AB42" s="1814">
        <f t="shared" si="4"/>
        <v>1</v>
      </c>
      <c r="AC42" s="1814">
        <f t="shared" si="5"/>
        <v>1</v>
      </c>
    </row>
    <row r="43" spans="1:29" ht="15">
      <c r="A43" s="472"/>
      <c r="B43" s="422" t="s">
        <v>2563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42"/>
      <c r="Q43" s="1813" t="str">
        <f t="shared" si="11"/>
        <v>内部装修维护情况</v>
      </c>
      <c r="R43" s="774" t="s">
        <v>17</v>
      </c>
      <c r="S43" s="775">
        <f t="shared" si="12"/>
        <v>100</v>
      </c>
      <c r="T43" s="774" t="s">
        <v>17</v>
      </c>
      <c r="U43" s="775">
        <f t="shared" si="13"/>
        <v>100</v>
      </c>
      <c r="V43" s="774" t="s">
        <v>17</v>
      </c>
      <c r="W43" s="775">
        <f t="shared" si="14"/>
        <v>100</v>
      </c>
      <c r="X43" s="1816"/>
      <c r="Y43" s="319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2"/>
      <c r="Q44" s="1798">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2"/>
      <c r="Q45" s="1813">
        <f t="shared" si="11"/>
        <v>111</v>
      </c>
      <c r="R45" s="774" t="s">
        <v>17</v>
      </c>
      <c r="S45" s="775">
        <f t="shared" si="12"/>
        <v>100</v>
      </c>
      <c r="T45" s="774" t="s">
        <v>17</v>
      </c>
      <c r="U45" s="775">
        <f t="shared" si="13"/>
        <v>100</v>
      </c>
      <c r="V45" s="774" t="s">
        <v>17</v>
      </c>
      <c r="W45" s="775">
        <f t="shared" si="14"/>
        <v>100</v>
      </c>
      <c r="X45" s="1816"/>
      <c r="Y45" s="3198"/>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3"/>
      <c r="Q46" s="1813">
        <f t="shared" si="11"/>
        <v>111</v>
      </c>
      <c r="R46" s="774" t="s">
        <v>17</v>
      </c>
      <c r="S46" s="775">
        <f t="shared" si="12"/>
        <v>100</v>
      </c>
      <c r="T46" s="774" t="s">
        <v>17</v>
      </c>
      <c r="U46" s="775">
        <f t="shared" si="13"/>
        <v>100</v>
      </c>
      <c r="V46" s="774" t="s">
        <v>17</v>
      </c>
      <c r="W46" s="775">
        <f t="shared" si="14"/>
        <v>100</v>
      </c>
      <c r="X46" s="1816"/>
      <c r="Y46" s="3244"/>
      <c r="Z46" s="1817">
        <f t="shared" si="15"/>
        <v>111</v>
      </c>
      <c r="AA46" s="1814">
        <f t="shared" si="3"/>
        <v>1</v>
      </c>
      <c r="AB46" s="1814">
        <f t="shared" si="4"/>
        <v>1</v>
      </c>
      <c r="AC46" s="1814">
        <f t="shared" si="5"/>
        <v>1</v>
      </c>
    </row>
    <row r="47" spans="1:29" ht="15">
      <c r="A47" s="479" t="s">
        <v>2564</v>
      </c>
      <c r="B47" s="480"/>
      <c r="C47" s="1410" t="s">
        <v>1</v>
      </c>
      <c r="D47" s="1411"/>
      <c r="E47" s="1412"/>
      <c r="F47" s="1413"/>
      <c r="G47" s="1414"/>
      <c r="H47" s="1415"/>
      <c r="I47" s="1412"/>
      <c r="J47" s="1415"/>
      <c r="K47" s="783"/>
      <c r="L47" s="1146"/>
      <c r="M47" s="1147"/>
      <c r="N47" s="1134"/>
      <c r="O47" s="1147"/>
      <c r="P47" s="3178" t="str">
        <f>A47</f>
        <v>成交单价（元/平方米）</v>
      </c>
      <c r="Q47" s="3178"/>
      <c r="R47" s="3195">
        <f>E47</f>
        <v>0</v>
      </c>
      <c r="S47" s="3195"/>
      <c r="T47" s="3195">
        <f>G47</f>
        <v>0</v>
      </c>
      <c r="U47" s="3195"/>
      <c r="V47" s="3195">
        <f>I47</f>
        <v>0</v>
      </c>
      <c r="W47" s="3195"/>
      <c r="X47" s="759"/>
      <c r="Y47" s="781"/>
      <c r="Z47" s="759"/>
      <c r="AA47" s="759"/>
      <c r="AB47" s="759"/>
      <c r="AC47" s="759"/>
    </row>
    <row r="48" spans="1:29" ht="15.75" thickBot="1">
      <c r="A48" s="486" t="s">
        <v>2656</v>
      </c>
      <c r="B48" s="487"/>
      <c r="C48" s="1416" t="e">
        <f>R49</f>
        <v>#DIV/0!</v>
      </c>
      <c r="D48" s="1417"/>
      <c r="E48" s="1418" t="e">
        <f>R48</f>
        <v>#DIV/0!</v>
      </c>
      <c r="F48" s="1418"/>
      <c r="G48" s="1416" t="e">
        <f>T48</f>
        <v>#DIV/0!</v>
      </c>
      <c r="H48" s="1417"/>
      <c r="I48" s="1418" t="e">
        <f>V48</f>
        <v>#DIV/0!</v>
      </c>
      <c r="J48" s="1417"/>
      <c r="K48" s="784"/>
      <c r="L48" s="1146"/>
      <c r="M48" s="1147"/>
      <c r="N48" s="1134"/>
      <c r="O48" s="1147"/>
      <c r="P48" s="3178" t="str">
        <f>A48</f>
        <v>比较价值（元/平方米）</v>
      </c>
      <c r="Q48" s="3178"/>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2657</v>
      </c>
      <c r="B49" s="493"/>
      <c r="C49" s="1420" t="e">
        <f>R49</f>
        <v>#DIV/0!</v>
      </c>
      <c r="D49" s="1420"/>
      <c r="E49" s="1420"/>
      <c r="F49" s="1420"/>
      <c r="G49" s="1420"/>
      <c r="H49" s="1420"/>
      <c r="I49" s="1420"/>
      <c r="J49" s="1420"/>
      <c r="K49" s="785"/>
      <c r="L49" s="1146"/>
      <c r="M49" s="1147"/>
      <c r="N49" s="1134"/>
      <c r="O49" s="1147"/>
      <c r="P49" s="3214" t="str">
        <f>A49</f>
        <v>估价对象XX用房的比较价值（楼面单价，元/平方米）</v>
      </c>
      <c r="Q49" s="3215"/>
      <c r="R49" s="3239" t="e">
        <f>IF(F1="售价",ROUND(AVERAGE(R48:V48),0),ROUND(AVERAGE(R48:V48),1))</f>
        <v>#DIV/0!</v>
      </c>
      <c r="S49" s="3239"/>
      <c r="T49" s="3239"/>
      <c r="U49" s="3239"/>
      <c r="V49" s="3239"/>
      <c r="W49" s="323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2659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2661</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2535</v>
      </c>
      <c r="B58" s="506"/>
      <c r="C58" s="1577" t="str">
        <f>YEAR(C7)&amp;"-"&amp;MONTH(C7)</f>
        <v>2018-11</v>
      </c>
      <c r="D58" s="1578">
        <f>EDATE(C58,-1)</f>
        <v>43374</v>
      </c>
      <c r="E58" s="1578">
        <f t="shared" ref="E58:N58" si="16">EDATE(D58,-1)</f>
        <v>43344</v>
      </c>
      <c r="F58" s="1578">
        <f t="shared" si="16"/>
        <v>43313</v>
      </c>
      <c r="G58" s="1578">
        <f t="shared" si="16"/>
        <v>43282</v>
      </c>
      <c r="H58" s="1578">
        <f t="shared" si="16"/>
        <v>43252</v>
      </c>
      <c r="I58" s="1578">
        <f t="shared" si="16"/>
        <v>43221</v>
      </c>
      <c r="J58" s="1578">
        <f t="shared" si="16"/>
        <v>43191</v>
      </c>
      <c r="K58" s="1578">
        <f t="shared" si="16"/>
        <v>43160</v>
      </c>
      <c r="L58" s="1578">
        <f t="shared" si="16"/>
        <v>43132</v>
      </c>
      <c r="M58" s="1578">
        <f t="shared" si="16"/>
        <v>43101</v>
      </c>
      <c r="N58" s="1578">
        <f t="shared" si="16"/>
        <v>43070</v>
      </c>
      <c r="O58" s="1578">
        <f>EDATE(N58,-1)</f>
        <v>43040</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2572</v>
      </c>
      <c r="B60" s="516"/>
      <c r="C60" s="517"/>
      <c r="D60" s="518"/>
      <c r="E60" s="518"/>
      <c r="F60" s="518"/>
      <c r="G60" s="518"/>
      <c r="H60" s="518"/>
      <c r="I60" s="518"/>
      <c r="J60" s="518"/>
      <c r="K60" s="518"/>
      <c r="L60" s="518"/>
      <c r="M60" s="519"/>
      <c r="N60" s="518"/>
      <c r="O60" s="519"/>
      <c r="P60" s="2630"/>
      <c r="Q60" s="504"/>
    </row>
    <row r="61" spans="1:29" s="117" customFormat="1" ht="15">
      <c r="A61" s="521" t="s">
        <v>2537</v>
      </c>
      <c r="B61" s="510"/>
      <c r="C61" s="522" t="s">
        <v>2639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2575</v>
      </c>
      <c r="B63" s="528" t="s">
        <v>2541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2545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2642</v>
      </c>
      <c r="C82" s="660" t="s">
        <v>2662</v>
      </c>
      <c r="D82" s="660" t="s">
        <v>2663</v>
      </c>
      <c r="E82" s="660" t="s">
        <v>2664</v>
      </c>
      <c r="F82" s="660" t="s">
        <v>2665</v>
      </c>
      <c r="G82" s="660" t="s">
        <v>2666</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2667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2550</v>
      </c>
      <c r="B100" s="528" t="s">
        <v>2668</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2603</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2605</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2669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2671</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2672</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2607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49" sqref="B49"/>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671" t="s">
        <v>2673</v>
      </c>
      <c r="C1" s="1623" t="s">
        <v>2517</v>
      </c>
      <c r="D1" s="1624"/>
      <c r="E1" s="1633"/>
      <c r="F1" s="2586"/>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IF(C2="——",ROUND(C50*D3/10000,0),ROUND(C50*D3/10000,0)-D2)</f>
        <v>#DIV/0!</v>
      </c>
      <c r="C2" s="2588"/>
      <c r="D2" s="1368" t="e">
        <f ca="1">SUMIF(INDIRECT("'"&amp;F2&amp;"'"&amp;"!A:A"),"承租人权益价值",INDIRECT("'"&amp;F2&amp;"'"&amp;"!c:c"))</f>
        <v>#REF!</v>
      </c>
      <c r="E2" s="2589" t="s">
        <v>2316</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2631</v>
      </c>
      <c r="D3" s="399">
        <f>IF(D1="",'数据-汇总表'!E3,SUMIF('数据-汇总表'!$C19:$C33,D1,'数据-汇总表'!$E19:$E33))</f>
        <v>36832.270000000004</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2632</v>
      </c>
      <c r="B4" s="402"/>
      <c r="C4" s="3175" t="s">
        <v>2633</v>
      </c>
      <c r="D4" s="3202"/>
      <c r="E4" s="3203" t="s">
        <v>2634</v>
      </c>
      <c r="F4" s="3204"/>
      <c r="G4" s="3175" t="s">
        <v>2635</v>
      </c>
      <c r="H4" s="3202"/>
      <c r="I4" s="3175" t="s">
        <v>2636</v>
      </c>
      <c r="J4" s="3202"/>
      <c r="K4" s="610" t="s">
        <v>2637</v>
      </c>
      <c r="L4" s="1133"/>
      <c r="M4" s="1134"/>
      <c r="N4" s="1134"/>
      <c r="O4" s="1134"/>
      <c r="P4" s="3257" t="s">
        <v>2638</v>
      </c>
      <c r="Q4" s="3258"/>
      <c r="R4" s="3261" t="s">
        <v>2634</v>
      </c>
      <c r="S4" s="3262"/>
      <c r="T4" s="3261" t="s">
        <v>2635</v>
      </c>
      <c r="U4" s="3262"/>
      <c r="V4" s="3263" t="s">
        <v>2636</v>
      </c>
      <c r="W4" s="3263"/>
      <c r="X4" s="2672"/>
      <c r="Y4" s="3261" t="s">
        <v>2638</v>
      </c>
      <c r="Z4" s="3262"/>
      <c r="AA4" s="3265" t="s">
        <v>2634</v>
      </c>
      <c r="AB4" s="3265" t="s">
        <v>2635</v>
      </c>
      <c r="AC4" s="3254" t="s">
        <v>2636</v>
      </c>
    </row>
    <row r="5" spans="1:29" ht="15">
      <c r="A5" s="404"/>
      <c r="B5" s="405"/>
      <c r="C5" s="3186" t="s">
        <v>2529</v>
      </c>
      <c r="D5" s="3187"/>
      <c r="E5" s="3211" t="s">
        <v>2530</v>
      </c>
      <c r="F5" s="3212"/>
      <c r="G5" s="3186" t="s">
        <v>2531</v>
      </c>
      <c r="H5" s="3187"/>
      <c r="I5" s="3186" t="s">
        <v>2532</v>
      </c>
      <c r="J5" s="3187"/>
      <c r="K5" s="610"/>
      <c r="L5" s="1133"/>
      <c r="M5" s="1134"/>
      <c r="N5" s="1134"/>
      <c r="O5" s="1134"/>
      <c r="P5" s="3259"/>
      <c r="Q5" s="3208"/>
      <c r="R5" s="3184"/>
      <c r="S5" s="3185"/>
      <c r="T5" s="3184"/>
      <c r="U5" s="3185"/>
      <c r="V5" s="3195"/>
      <c r="W5" s="3195"/>
      <c r="X5" s="1816"/>
      <c r="Y5" s="3184"/>
      <c r="Z5" s="3185"/>
      <c r="AA5" s="3200"/>
      <c r="AB5" s="3200"/>
      <c r="AC5" s="3255"/>
    </row>
    <row r="6" spans="1:29" ht="15.75" thickBot="1">
      <c r="A6" s="406"/>
      <c r="B6" s="407"/>
      <c r="C6" s="3247" t="s">
        <v>2533</v>
      </c>
      <c r="D6" s="3248"/>
      <c r="E6" s="3249" t="s">
        <v>2533</v>
      </c>
      <c r="F6" s="3250"/>
      <c r="G6" s="3247" t="s">
        <v>2533</v>
      </c>
      <c r="H6" s="3248"/>
      <c r="I6" s="3247" t="s">
        <v>2533</v>
      </c>
      <c r="J6" s="3248"/>
      <c r="K6" s="610" t="s">
        <v>2534</v>
      </c>
      <c r="L6" s="1133"/>
      <c r="M6" s="1134"/>
      <c r="N6" s="1134"/>
      <c r="O6" s="1134"/>
      <c r="P6" s="3260"/>
      <c r="Q6" s="3210"/>
      <c r="R6" s="3184"/>
      <c r="S6" s="3185"/>
      <c r="T6" s="3193"/>
      <c r="U6" s="3194"/>
      <c r="V6" s="3195"/>
      <c r="W6" s="3195"/>
      <c r="X6" s="1816"/>
      <c r="Y6" s="3193"/>
      <c r="Z6" s="3194"/>
      <c r="AA6" s="3201"/>
      <c r="AB6" s="3201"/>
      <c r="AC6" s="3256"/>
    </row>
    <row r="7" spans="1:29" s="117" customFormat="1" ht="15.75" thickBot="1">
      <c r="A7" s="408" t="s">
        <v>2535</v>
      </c>
      <c r="B7" s="409"/>
      <c r="C7" s="410">
        <f>'数据-取费表'!B2</f>
        <v>43430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4" t="s">
        <v>2536</v>
      </c>
      <c r="Q7" s="3192"/>
      <c r="R7" s="770" t="s">
        <v>17</v>
      </c>
      <c r="S7" s="771">
        <f t="shared" ref="S7:S15" si="0">F7</f>
        <v>0</v>
      </c>
      <c r="T7" s="770" t="s">
        <v>17</v>
      </c>
      <c r="U7" s="771">
        <f t="shared" ref="U7:U15" si="1">H7</f>
        <v>0</v>
      </c>
      <c r="V7" s="770" t="s">
        <v>17</v>
      </c>
      <c r="W7" s="771">
        <f t="shared" ref="W7:W15" si="2">J7</f>
        <v>0</v>
      </c>
      <c r="X7" s="772"/>
      <c r="Y7" s="3180" t="s">
        <v>2536</v>
      </c>
      <c r="Z7" s="3181"/>
      <c r="AA7" s="773" t="e">
        <f>D7/F7</f>
        <v>#DIV/0!</v>
      </c>
      <c r="AB7" s="773" t="e">
        <f>D7/H7</f>
        <v>#DIV/0!</v>
      </c>
      <c r="AC7" s="2673" t="e">
        <f>D7/J7</f>
        <v>#DIV/0!</v>
      </c>
    </row>
    <row r="8" spans="1:29" s="117" customFormat="1" ht="15.75" thickBot="1">
      <c r="A8" s="408" t="s">
        <v>2537</v>
      </c>
      <c r="B8" s="409"/>
      <c r="C8" s="414" t="s">
        <v>2639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4" t="s">
        <v>2539</v>
      </c>
      <c r="Q8" s="3181"/>
      <c r="R8" s="770" t="s">
        <v>17</v>
      </c>
      <c r="S8" s="771">
        <f t="shared" si="0"/>
        <v>0</v>
      </c>
      <c r="T8" s="770" t="s">
        <v>17</v>
      </c>
      <c r="U8" s="771">
        <f t="shared" si="1"/>
        <v>0</v>
      </c>
      <c r="V8" s="770" t="s">
        <v>17</v>
      </c>
      <c r="W8" s="771">
        <f t="shared" si="2"/>
        <v>0</v>
      </c>
      <c r="X8" s="772"/>
      <c r="Y8" s="3180" t="s">
        <v>2539</v>
      </c>
      <c r="Z8" s="3181"/>
      <c r="AA8" s="773" t="e">
        <f t="shared" ref="AA8:AA47" si="3">D8/F8</f>
        <v>#DIV/0!</v>
      </c>
      <c r="AB8" s="773" t="e">
        <f t="shared" ref="AB8:AB47" si="4">D8/H8</f>
        <v>#DIV/0!</v>
      </c>
      <c r="AC8" s="2673" t="e">
        <f t="shared" ref="AC8:AC47" si="5">D8/J8</f>
        <v>#DIV/0!</v>
      </c>
    </row>
    <row r="9" spans="1:29" s="117" customFormat="1">
      <c r="A9" s="415" t="s">
        <v>2540</v>
      </c>
      <c r="B9" s="71" t="s">
        <v>2541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7" t="s">
        <v>2542</v>
      </c>
      <c r="Q9" s="1798" t="str">
        <f t="shared" ref="Q9:Q15" si="6">B9</f>
        <v>用途</v>
      </c>
      <c r="R9" s="770" t="s">
        <v>17</v>
      </c>
      <c r="S9" s="771">
        <f t="shared" si="0"/>
        <v>100</v>
      </c>
      <c r="T9" s="770" t="s">
        <v>17</v>
      </c>
      <c r="U9" s="771">
        <f t="shared" si="1"/>
        <v>100</v>
      </c>
      <c r="V9" s="770" t="s">
        <v>17</v>
      </c>
      <c r="W9" s="771">
        <f t="shared" si="2"/>
        <v>100</v>
      </c>
      <c r="X9" s="772"/>
      <c r="Y9" s="3004" t="s">
        <v>2543</v>
      </c>
      <c r="Z9" s="55" t="str">
        <f t="shared" ref="Z9:Z15" si="7">Q9</f>
        <v>用途</v>
      </c>
      <c r="AA9" s="773">
        <f t="shared" si="3"/>
        <v>1</v>
      </c>
      <c r="AB9" s="773">
        <f t="shared" si="4"/>
        <v>1</v>
      </c>
      <c r="AC9" s="2673">
        <f t="shared" si="5"/>
        <v>1</v>
      </c>
    </row>
    <row r="10" spans="1:29" s="427" customFormat="1" ht="27">
      <c r="A10" s="421"/>
      <c r="B10" s="422" t="s">
        <v>2544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7"/>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2673">
        <f t="shared" si="5"/>
        <v>1</v>
      </c>
    </row>
    <row r="11" spans="1:29" ht="15">
      <c r="A11" s="428"/>
      <c r="B11" s="422" t="s">
        <v>2545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7"/>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77"/>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77"/>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77"/>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2673">
        <f t="shared" si="5"/>
        <v>1</v>
      </c>
    </row>
    <row r="15" spans="1:29" ht="15">
      <c r="A15" s="440" t="s">
        <v>2546</v>
      </c>
      <c r="B15" s="629" t="s">
        <v>2674</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5" t="s">
        <v>2547</v>
      </c>
      <c r="Q15" s="1813" t="str">
        <f t="shared" si="6"/>
        <v>办公集聚程度</v>
      </c>
      <c r="R15" s="774" t="s">
        <v>17</v>
      </c>
      <c r="S15" s="775">
        <f t="shared" si="0"/>
        <v>100</v>
      </c>
      <c r="T15" s="774" t="s">
        <v>17</v>
      </c>
      <c r="U15" s="775">
        <f t="shared" si="1"/>
        <v>100</v>
      </c>
      <c r="V15" s="774" t="s">
        <v>17</v>
      </c>
      <c r="W15" s="775">
        <f t="shared" si="2"/>
        <v>100</v>
      </c>
      <c r="X15" s="1816"/>
      <c r="Y15" s="3196" t="s">
        <v>2547</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46"/>
      <c r="Q16" s="1813"/>
      <c r="R16" s="774"/>
      <c r="S16" s="775"/>
      <c r="T16" s="774"/>
      <c r="U16" s="775"/>
      <c r="V16" s="774"/>
      <c r="W16" s="775"/>
      <c r="X16" s="1816"/>
      <c r="Y16" s="3197"/>
      <c r="Z16" s="1817"/>
      <c r="AA16" s="1814">
        <v>1</v>
      </c>
      <c r="AB16" s="1814">
        <v>1</v>
      </c>
      <c r="AC16" s="2676">
        <v>1</v>
      </c>
    </row>
    <row r="17" spans="1:29" ht="15">
      <c r="A17" s="428"/>
      <c r="B17" s="631" t="s">
        <v>2089</v>
      </c>
      <c r="C17" s="2677">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6"/>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46"/>
      <c r="Q18" s="1813"/>
      <c r="R18" s="774"/>
      <c r="S18" s="775"/>
      <c r="T18" s="774"/>
      <c r="U18" s="775"/>
      <c r="V18" s="774"/>
      <c r="W18" s="775"/>
      <c r="X18" s="1816"/>
      <c r="Y18" s="3197"/>
      <c r="Z18" s="1817"/>
      <c r="AA18" s="1814">
        <v>1</v>
      </c>
      <c r="AB18" s="1814">
        <v>1</v>
      </c>
      <c r="AC18" s="2676">
        <v>1</v>
      </c>
    </row>
    <row r="19" spans="1:29" ht="15">
      <c r="A19" s="428"/>
      <c r="B19" s="631" t="s">
        <v>2675</v>
      </c>
      <c r="C19" s="2677">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6"/>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46"/>
      <c r="Q20" s="1813"/>
      <c r="R20" s="774"/>
      <c r="S20" s="775"/>
      <c r="T20" s="774"/>
      <c r="U20" s="775"/>
      <c r="V20" s="774"/>
      <c r="W20" s="775"/>
      <c r="X20" s="1816"/>
      <c r="Y20" s="3197"/>
      <c r="Z20" s="1817"/>
      <c r="AA20" s="1814">
        <v>1</v>
      </c>
      <c r="AB20" s="1814">
        <v>1</v>
      </c>
      <c r="AC20" s="2676">
        <v>1</v>
      </c>
    </row>
    <row r="21" spans="1:29" ht="15">
      <c r="A21" s="428"/>
      <c r="B21" s="633" t="s">
        <v>2676</v>
      </c>
      <c r="C21" s="2677">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6"/>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46"/>
      <c r="Q22" s="1813"/>
      <c r="R22" s="774"/>
      <c r="S22" s="775"/>
      <c r="T22" s="774"/>
      <c r="U22" s="775"/>
      <c r="V22" s="774"/>
      <c r="W22" s="775"/>
      <c r="X22" s="1816"/>
      <c r="Y22" s="3197"/>
      <c r="Z22" s="1817"/>
      <c r="AA22" s="1814">
        <v>1</v>
      </c>
      <c r="AB22" s="1814">
        <v>1</v>
      </c>
      <c r="AC22" s="2676">
        <v>1</v>
      </c>
    </row>
    <row r="23" spans="1:29" ht="15">
      <c r="A23" s="428"/>
      <c r="B23" s="631" t="s">
        <v>2677</v>
      </c>
      <c r="C23" s="2677">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6"/>
      <c r="Q23" s="1813" t="str">
        <f>B23</f>
        <v>环境质量</v>
      </c>
      <c r="R23" s="774" t="s">
        <v>17</v>
      </c>
      <c r="S23" s="775">
        <f>F23</f>
        <v>100</v>
      </c>
      <c r="T23" s="774" t="s">
        <v>17</v>
      </c>
      <c r="U23" s="775">
        <f>H23</f>
        <v>100</v>
      </c>
      <c r="V23" s="774" t="s">
        <v>17</v>
      </c>
      <c r="W23" s="775">
        <f>J23</f>
        <v>100</v>
      </c>
      <c r="X23" s="1816"/>
      <c r="Y23" s="3197"/>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46"/>
      <c r="Q24" s="1813"/>
      <c r="R24" s="774"/>
      <c r="S24" s="775"/>
      <c r="T24" s="774"/>
      <c r="U24" s="775"/>
      <c r="V24" s="774"/>
      <c r="W24" s="775"/>
      <c r="X24" s="1816"/>
      <c r="Y24" s="3197"/>
      <c r="Z24" s="1817"/>
      <c r="AA24" s="1814">
        <v>1</v>
      </c>
      <c r="AB24" s="1814">
        <v>1</v>
      </c>
      <c r="AC24" s="2676">
        <v>1</v>
      </c>
    </row>
    <row r="25" spans="1:29" ht="27">
      <c r="A25" s="404"/>
      <c r="B25" s="631" t="s">
        <v>2678</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46"/>
      <c r="Q25" s="1813" t="str">
        <f>B25</f>
        <v>毗邻道路的类型与等级</v>
      </c>
      <c r="R25" s="774" t="s">
        <v>17</v>
      </c>
      <c r="S25" s="775">
        <f>F25</f>
        <v>100</v>
      </c>
      <c r="T25" s="774" t="s">
        <v>17</v>
      </c>
      <c r="U25" s="775">
        <f>H25</f>
        <v>100</v>
      </c>
      <c r="V25" s="774" t="s">
        <v>17</v>
      </c>
      <c r="W25" s="775">
        <f>J25</f>
        <v>100</v>
      </c>
      <c r="X25" s="1816"/>
      <c r="Y25" s="3197"/>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46"/>
      <c r="Q26" s="1813"/>
      <c r="R26" s="774"/>
      <c r="S26" s="775"/>
      <c r="T26" s="774"/>
      <c r="U26" s="775"/>
      <c r="V26" s="774"/>
      <c r="W26" s="775"/>
      <c r="X26" s="1816"/>
      <c r="Y26" s="3197"/>
      <c r="Z26" s="1817"/>
      <c r="AA26" s="1814">
        <v>1</v>
      </c>
      <c r="AB26" s="1814">
        <v>1</v>
      </c>
      <c r="AC26" s="2676">
        <v>1</v>
      </c>
    </row>
    <row r="27" spans="1:29" ht="15">
      <c r="A27" s="428"/>
      <c r="B27" s="632" t="s">
        <v>2646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6"/>
      <c r="Q27" s="1813" t="str">
        <f t="shared" ref="Q27:Q47" si="11">B27</f>
        <v>楼层</v>
      </c>
      <c r="R27" s="774" t="s">
        <v>17</v>
      </c>
      <c r="S27" s="775">
        <f>F27</f>
        <v>100</v>
      </c>
      <c r="T27" s="774" t="s">
        <v>17</v>
      </c>
      <c r="U27" s="775">
        <f>H27</f>
        <v>100</v>
      </c>
      <c r="V27" s="774" t="s">
        <v>17</v>
      </c>
      <c r="W27" s="775">
        <f>J27</f>
        <v>100</v>
      </c>
      <c r="X27" s="1816"/>
      <c r="Y27" s="3197"/>
      <c r="Z27" s="1817" t="str">
        <f>Q27</f>
        <v>楼层</v>
      </c>
      <c r="AA27" s="1814">
        <f t="shared" si="3"/>
        <v>1</v>
      </c>
      <c r="AB27" s="1814">
        <f t="shared" si="4"/>
        <v>1</v>
      </c>
      <c r="AC27" s="2676">
        <f t="shared" si="5"/>
        <v>1</v>
      </c>
    </row>
    <row r="28" spans="1:29" s="117" customFormat="1" ht="15">
      <c r="A28" s="431"/>
      <c r="B28" s="631" t="s">
        <v>2679</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46"/>
      <c r="Q28" s="1798" t="str">
        <f t="shared" si="11"/>
        <v>朝向</v>
      </c>
      <c r="R28" s="770" t="s">
        <v>17</v>
      </c>
      <c r="S28" s="771">
        <f>F28</f>
        <v>100</v>
      </c>
      <c r="T28" s="770" t="s">
        <v>17</v>
      </c>
      <c r="U28" s="771">
        <f>H28</f>
        <v>100</v>
      </c>
      <c r="V28" s="770" t="s">
        <v>17</v>
      </c>
      <c r="W28" s="771">
        <f>J28</f>
        <v>100</v>
      </c>
      <c r="X28" s="772"/>
      <c r="Y28" s="3197"/>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46"/>
      <c r="Q29" s="1813">
        <f t="shared" si="11"/>
        <v>111</v>
      </c>
      <c r="R29" s="774" t="s">
        <v>17</v>
      </c>
      <c r="S29" s="775">
        <f t="shared" ref="S29:S47" si="12">F29</f>
        <v>100</v>
      </c>
      <c r="T29" s="774" t="s">
        <v>17</v>
      </c>
      <c r="U29" s="775">
        <f t="shared" ref="U29:U47" si="13">H29</f>
        <v>100</v>
      </c>
      <c r="V29" s="774" t="s">
        <v>17</v>
      </c>
      <c r="W29" s="775">
        <f t="shared" ref="W29:W47" si="14">J29</f>
        <v>100</v>
      </c>
      <c r="X29" s="1816"/>
      <c r="Y29" s="3197"/>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46"/>
      <c r="Q30" s="1813">
        <f t="shared" si="11"/>
        <v>111</v>
      </c>
      <c r="R30" s="774" t="s">
        <v>17</v>
      </c>
      <c r="S30" s="775">
        <f t="shared" si="12"/>
        <v>100</v>
      </c>
      <c r="T30" s="774" t="s">
        <v>17</v>
      </c>
      <c r="U30" s="775">
        <f t="shared" si="13"/>
        <v>100</v>
      </c>
      <c r="V30" s="774" t="s">
        <v>17</v>
      </c>
      <c r="W30" s="775">
        <f t="shared" si="14"/>
        <v>100</v>
      </c>
      <c r="X30" s="1816"/>
      <c r="Y30" s="3197"/>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46"/>
      <c r="Q31" s="1813">
        <f t="shared" si="11"/>
        <v>111</v>
      </c>
      <c r="R31" s="774" t="s">
        <v>17</v>
      </c>
      <c r="S31" s="775">
        <f t="shared" si="12"/>
        <v>100</v>
      </c>
      <c r="T31" s="774" t="s">
        <v>17</v>
      </c>
      <c r="U31" s="775">
        <f t="shared" si="13"/>
        <v>100</v>
      </c>
      <c r="V31" s="774" t="s">
        <v>17</v>
      </c>
      <c r="W31" s="775">
        <f t="shared" si="14"/>
        <v>100</v>
      </c>
      <c r="X31" s="1816"/>
      <c r="Y31" s="3197"/>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46"/>
      <c r="Q32" s="1813">
        <f t="shared" si="11"/>
        <v>111</v>
      </c>
      <c r="R32" s="774" t="s">
        <v>17</v>
      </c>
      <c r="S32" s="775">
        <f t="shared" si="12"/>
        <v>100</v>
      </c>
      <c r="T32" s="774" t="s">
        <v>17</v>
      </c>
      <c r="U32" s="775">
        <f t="shared" si="13"/>
        <v>100</v>
      </c>
      <c r="V32" s="774" t="s">
        <v>17</v>
      </c>
      <c r="W32" s="775">
        <f t="shared" si="14"/>
        <v>100</v>
      </c>
      <c r="X32" s="1816"/>
      <c r="Y32" s="3197"/>
      <c r="Z32" s="1817">
        <f t="shared" si="15"/>
        <v>111</v>
      </c>
      <c r="AA32" s="1814">
        <f t="shared" si="3"/>
        <v>1</v>
      </c>
      <c r="AB32" s="1814">
        <f t="shared" si="4"/>
        <v>1</v>
      </c>
      <c r="AC32" s="2676">
        <f t="shared" si="5"/>
        <v>1</v>
      </c>
    </row>
    <row r="33" spans="1:29" ht="15">
      <c r="A33" s="440" t="s">
        <v>2550</v>
      </c>
      <c r="B33" s="71" t="s">
        <v>2680</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41" t="s">
        <v>2552</v>
      </c>
      <c r="Q33" s="1813" t="str">
        <f t="shared" si="11"/>
        <v>建筑类型</v>
      </c>
      <c r="R33" s="774" t="s">
        <v>17</v>
      </c>
      <c r="S33" s="775">
        <f t="shared" si="12"/>
        <v>100</v>
      </c>
      <c r="T33" s="774" t="s">
        <v>17</v>
      </c>
      <c r="U33" s="775">
        <f t="shared" si="13"/>
        <v>100</v>
      </c>
      <c r="V33" s="774" t="s">
        <v>17</v>
      </c>
      <c r="W33" s="775">
        <f t="shared" si="14"/>
        <v>100</v>
      </c>
      <c r="X33" s="1816"/>
      <c r="Y33" s="3198" t="s">
        <v>2552</v>
      </c>
      <c r="Z33" s="1817" t="str">
        <f t="shared" si="15"/>
        <v>建筑类型</v>
      </c>
      <c r="AA33" s="1814">
        <f t="shared" si="3"/>
        <v>1</v>
      </c>
      <c r="AB33" s="1814">
        <f t="shared" si="4"/>
        <v>1</v>
      </c>
      <c r="AC33" s="2676">
        <f t="shared" si="5"/>
        <v>1</v>
      </c>
    </row>
    <row r="34" spans="1:29" s="471" customFormat="1" ht="15">
      <c r="A34" s="468"/>
      <c r="B34" s="422" t="s">
        <v>2553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2"/>
      <c r="Q34" s="776" t="str">
        <f t="shared" si="11"/>
        <v>项目建筑规模</v>
      </c>
      <c r="R34" s="777" t="s">
        <v>17</v>
      </c>
      <c r="S34" s="778" t="e">
        <f t="shared" si="12"/>
        <v>#N/A</v>
      </c>
      <c r="T34" s="777" t="s">
        <v>17</v>
      </c>
      <c r="U34" s="778" t="e">
        <f t="shared" si="13"/>
        <v>#N/A</v>
      </c>
      <c r="V34" s="777" t="s">
        <v>17</v>
      </c>
      <c r="W34" s="778" t="e">
        <f t="shared" si="14"/>
        <v>#N/A</v>
      </c>
      <c r="X34" s="779"/>
      <c r="Y34" s="3198"/>
      <c r="Z34" s="780" t="str">
        <f t="shared" si="15"/>
        <v>项目建筑规模</v>
      </c>
      <c r="AA34" s="1814" t="e">
        <f t="shared" si="3"/>
        <v>#N/A</v>
      </c>
      <c r="AB34" s="1814" t="e">
        <f t="shared" si="4"/>
        <v>#N/A</v>
      </c>
      <c r="AC34" s="2676" t="e">
        <f t="shared" si="5"/>
        <v>#N/A</v>
      </c>
    </row>
    <row r="35" spans="1:29" ht="15">
      <c r="A35" s="472"/>
      <c r="B35" s="422" t="s">
        <v>2554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2"/>
      <c r="Q35" s="1813" t="str">
        <f t="shared" si="11"/>
        <v>建筑结构</v>
      </c>
      <c r="R35" s="774" t="s">
        <v>17</v>
      </c>
      <c r="S35" s="775">
        <f t="shared" si="12"/>
        <v>100</v>
      </c>
      <c r="T35" s="774" t="s">
        <v>17</v>
      </c>
      <c r="U35" s="775">
        <f t="shared" si="13"/>
        <v>100</v>
      </c>
      <c r="V35" s="774" t="s">
        <v>17</v>
      </c>
      <c r="W35" s="775">
        <f t="shared" si="14"/>
        <v>100</v>
      </c>
      <c r="X35" s="1816"/>
      <c r="Y35" s="3198"/>
      <c r="Z35" s="1817" t="str">
        <f t="shared" si="15"/>
        <v>建筑结构</v>
      </c>
      <c r="AA35" s="1814">
        <f t="shared" si="3"/>
        <v>1</v>
      </c>
      <c r="AB35" s="1814">
        <f t="shared" si="4"/>
        <v>1</v>
      </c>
      <c r="AC35" s="2676">
        <f t="shared" si="5"/>
        <v>1</v>
      </c>
    </row>
    <row r="36" spans="1:29" ht="15">
      <c r="A36" s="472"/>
      <c r="B36" s="422" t="s">
        <v>2648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2"/>
      <c r="Q36" s="1813" t="str">
        <f t="shared" si="11"/>
        <v>公共部分装修</v>
      </c>
      <c r="R36" s="774" t="s">
        <v>17</v>
      </c>
      <c r="S36" s="775">
        <f t="shared" si="12"/>
        <v>100</v>
      </c>
      <c r="T36" s="774" t="s">
        <v>17</v>
      </c>
      <c r="U36" s="775">
        <f t="shared" si="13"/>
        <v>100</v>
      </c>
      <c r="V36" s="774" t="s">
        <v>17</v>
      </c>
      <c r="W36" s="775">
        <f t="shared" si="14"/>
        <v>100</v>
      </c>
      <c r="X36" s="1816"/>
      <c r="Y36" s="3198"/>
      <c r="Z36" s="1817" t="str">
        <f t="shared" si="15"/>
        <v>公共部分装修</v>
      </c>
      <c r="AA36" s="1814">
        <f t="shared" si="3"/>
        <v>1</v>
      </c>
      <c r="AB36" s="1814">
        <f t="shared" si="4"/>
        <v>1</v>
      </c>
      <c r="AC36" s="2676">
        <f t="shared" si="5"/>
        <v>1</v>
      </c>
    </row>
    <row r="37" spans="1:29" ht="15">
      <c r="A37" s="472"/>
      <c r="B37" s="422" t="s">
        <v>2649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2"/>
      <c r="Q37" s="1813" t="str">
        <f t="shared" si="11"/>
        <v>成新度</v>
      </c>
      <c r="R37" s="774" t="s">
        <v>17</v>
      </c>
      <c r="S37" s="775" t="e">
        <f t="shared" si="12"/>
        <v>#N/A</v>
      </c>
      <c r="T37" s="774" t="s">
        <v>17</v>
      </c>
      <c r="U37" s="775" t="e">
        <f t="shared" si="13"/>
        <v>#N/A</v>
      </c>
      <c r="V37" s="774" t="s">
        <v>17</v>
      </c>
      <c r="W37" s="775" t="e">
        <f t="shared" si="14"/>
        <v>#N/A</v>
      </c>
      <c r="X37" s="1816"/>
      <c r="Y37" s="3198"/>
      <c r="Z37" s="1817" t="str">
        <f t="shared" si="15"/>
        <v>成新度</v>
      </c>
      <c r="AA37" s="1814" t="e">
        <f t="shared" si="3"/>
        <v>#N/A</v>
      </c>
      <c r="AB37" s="1814" t="e">
        <f t="shared" si="4"/>
        <v>#N/A</v>
      </c>
      <c r="AC37" s="2676" t="e">
        <f t="shared" si="5"/>
        <v>#N/A</v>
      </c>
    </row>
    <row r="38" spans="1:29" s="117" customFormat="1" ht="15">
      <c r="A38" s="473"/>
      <c r="B38" s="422" t="s">
        <v>2681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2"/>
      <c r="Q38" s="1798"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3">
        <f t="shared" si="5"/>
        <v>1</v>
      </c>
    </row>
    <row r="39" spans="1:29" ht="15">
      <c r="A39" s="472"/>
      <c r="B39" s="422" t="s">
        <v>2682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2" t="s">
        <v>2552</v>
      </c>
      <c r="Q39" s="1813" t="str">
        <f t="shared" si="11"/>
        <v>物业管理</v>
      </c>
      <c r="R39" s="774" t="s">
        <v>17</v>
      </c>
      <c r="S39" s="775">
        <f t="shared" si="12"/>
        <v>100</v>
      </c>
      <c r="T39" s="774" t="s">
        <v>17</v>
      </c>
      <c r="U39" s="775">
        <f t="shared" si="13"/>
        <v>100</v>
      </c>
      <c r="V39" s="774" t="s">
        <v>17</v>
      </c>
      <c r="W39" s="775">
        <f t="shared" si="14"/>
        <v>100</v>
      </c>
      <c r="X39" s="1816"/>
      <c r="Y39" s="3198" t="s">
        <v>2552</v>
      </c>
      <c r="Z39" s="1817" t="str">
        <f t="shared" si="15"/>
        <v>物业管理</v>
      </c>
      <c r="AA39" s="1814">
        <f t="shared" si="3"/>
        <v>1</v>
      </c>
      <c r="AB39" s="1814">
        <f t="shared" si="4"/>
        <v>1</v>
      </c>
      <c r="AC39" s="2676">
        <f t="shared" si="5"/>
        <v>1</v>
      </c>
    </row>
    <row r="40" spans="1:29" ht="15">
      <c r="A40" s="472"/>
      <c r="B40" s="422" t="s">
        <v>2650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2"/>
      <c r="Q40" s="1813" t="str">
        <f t="shared" si="11"/>
        <v>市政基础设施</v>
      </c>
      <c r="R40" s="774" t="s">
        <v>17</v>
      </c>
      <c r="S40" s="775">
        <f t="shared" si="12"/>
        <v>100</v>
      </c>
      <c r="T40" s="774" t="s">
        <v>17</v>
      </c>
      <c r="U40" s="775">
        <f t="shared" si="13"/>
        <v>100</v>
      </c>
      <c r="V40" s="774" t="s">
        <v>17</v>
      </c>
      <c r="W40" s="775">
        <f t="shared" si="14"/>
        <v>100</v>
      </c>
      <c r="X40" s="1816"/>
      <c r="Y40" s="3198"/>
      <c r="Z40" s="1817" t="str">
        <f t="shared" si="15"/>
        <v>市政基础设施</v>
      </c>
      <c r="AA40" s="1814">
        <f t="shared" si="3"/>
        <v>1</v>
      </c>
      <c r="AB40" s="1814">
        <f t="shared" si="4"/>
        <v>1</v>
      </c>
      <c r="AC40" s="2676">
        <f t="shared" si="5"/>
        <v>1</v>
      </c>
    </row>
    <row r="41" spans="1:29" ht="15">
      <c r="A41" s="472"/>
      <c r="B41" s="422" t="s">
        <v>2652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2"/>
      <c r="Q41" s="1813" t="str">
        <f t="shared" si="11"/>
        <v>层高</v>
      </c>
      <c r="R41" s="774" t="s">
        <v>17</v>
      </c>
      <c r="S41" s="775">
        <f t="shared" si="12"/>
        <v>100</v>
      </c>
      <c r="T41" s="774" t="s">
        <v>17</v>
      </c>
      <c r="U41" s="775">
        <f t="shared" si="13"/>
        <v>100</v>
      </c>
      <c r="V41" s="774" t="s">
        <v>17</v>
      </c>
      <c r="W41" s="775">
        <f t="shared" si="14"/>
        <v>100</v>
      </c>
      <c r="X41" s="1816"/>
      <c r="Y41" s="3198"/>
      <c r="Z41" s="1817" t="str">
        <f t="shared" si="15"/>
        <v>层高</v>
      </c>
      <c r="AA41" s="1814">
        <f t="shared" si="3"/>
        <v>1</v>
      </c>
      <c r="AB41" s="1814">
        <f t="shared" si="4"/>
        <v>1</v>
      </c>
      <c r="AC41" s="2676">
        <f t="shared" si="5"/>
        <v>1</v>
      </c>
    </row>
    <row r="42" spans="1:29" s="471" customFormat="1" ht="15">
      <c r="A42" s="468"/>
      <c r="B42" s="1815" t="s">
        <v>2683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2"/>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4">
        <f t="shared" si="3"/>
        <v>1</v>
      </c>
      <c r="AB42" s="1814">
        <f t="shared" si="4"/>
        <v>1</v>
      </c>
      <c r="AC42" s="2676">
        <f t="shared" si="5"/>
        <v>1</v>
      </c>
    </row>
    <row r="43" spans="1:29" ht="15">
      <c r="A43" s="472"/>
      <c r="B43" s="422" t="s">
        <v>2655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2"/>
      <c r="Q43" s="1813" t="str">
        <f t="shared" si="11"/>
        <v>内部装修</v>
      </c>
      <c r="R43" s="774" t="s">
        <v>17</v>
      </c>
      <c r="S43" s="775">
        <f t="shared" si="12"/>
        <v>100</v>
      </c>
      <c r="T43" s="774" t="s">
        <v>17</v>
      </c>
      <c r="U43" s="775">
        <f t="shared" si="13"/>
        <v>100</v>
      </c>
      <c r="V43" s="774" t="s">
        <v>17</v>
      </c>
      <c r="W43" s="775">
        <f t="shared" si="14"/>
        <v>100</v>
      </c>
      <c r="X43" s="1816"/>
      <c r="Y43" s="3198"/>
      <c r="Z43" s="1817" t="str">
        <f t="shared" si="15"/>
        <v>内部装修</v>
      </c>
      <c r="AA43" s="1814">
        <f t="shared" si="3"/>
        <v>1</v>
      </c>
      <c r="AB43" s="1814">
        <f t="shared" si="4"/>
        <v>1</v>
      </c>
      <c r="AC43" s="2676">
        <f t="shared" si="5"/>
        <v>1</v>
      </c>
    </row>
    <row r="44" spans="1:29" ht="15">
      <c r="A44" s="472"/>
      <c r="B44" s="422" t="s">
        <v>2563</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42"/>
      <c r="Q44" s="1813" t="str">
        <f t="shared" si="11"/>
        <v>内部装修维护情况</v>
      </c>
      <c r="R44" s="774" t="s">
        <v>17</v>
      </c>
      <c r="S44" s="775">
        <f t="shared" si="12"/>
        <v>100</v>
      </c>
      <c r="T44" s="774" t="s">
        <v>17</v>
      </c>
      <c r="U44" s="775">
        <f t="shared" si="13"/>
        <v>100</v>
      </c>
      <c r="V44" s="774" t="s">
        <v>17</v>
      </c>
      <c r="W44" s="775">
        <f t="shared" si="14"/>
        <v>100</v>
      </c>
      <c r="X44" s="1816"/>
      <c r="Y44" s="3198"/>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2"/>
      <c r="Q45" s="1798">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2"/>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3"/>
      <c r="Q47" s="1813">
        <f t="shared" si="11"/>
        <v>111</v>
      </c>
      <c r="R47" s="774" t="s">
        <v>17</v>
      </c>
      <c r="S47" s="775">
        <f t="shared" si="12"/>
        <v>100</v>
      </c>
      <c r="T47" s="774" t="s">
        <v>17</v>
      </c>
      <c r="U47" s="775">
        <f t="shared" si="13"/>
        <v>100</v>
      </c>
      <c r="V47" s="774" t="s">
        <v>17</v>
      </c>
      <c r="W47" s="775">
        <f t="shared" si="14"/>
        <v>100</v>
      </c>
      <c r="X47" s="1816"/>
      <c r="Y47" s="3244"/>
      <c r="Z47" s="1817">
        <f t="shared" si="15"/>
        <v>111</v>
      </c>
      <c r="AA47" s="1814">
        <f t="shared" si="3"/>
        <v>1</v>
      </c>
      <c r="AB47" s="1814">
        <f t="shared" si="4"/>
        <v>1</v>
      </c>
      <c r="AC47" s="2676">
        <f t="shared" si="5"/>
        <v>1</v>
      </c>
    </row>
    <row r="48" spans="1:29" ht="15">
      <c r="A48" s="479" t="s">
        <v>2564</v>
      </c>
      <c r="B48" s="480"/>
      <c r="C48" s="1410" t="s">
        <v>1</v>
      </c>
      <c r="D48" s="1411"/>
      <c r="E48" s="1412"/>
      <c r="F48" s="1413"/>
      <c r="G48" s="1414"/>
      <c r="H48" s="1415"/>
      <c r="I48" s="1412"/>
      <c r="J48" s="485"/>
      <c r="K48" s="783"/>
      <c r="L48" s="1146"/>
      <c r="M48" s="1134"/>
      <c r="N48" s="1134"/>
      <c r="O48" s="1134"/>
      <c r="P48" s="3177" t="str">
        <f>A48</f>
        <v>成交单价（元/平方米）</v>
      </c>
      <c r="Q48" s="3178"/>
      <c r="R48" s="3240">
        <f>E48</f>
        <v>0</v>
      </c>
      <c r="S48" s="3240"/>
      <c r="T48" s="3240">
        <f>G48</f>
        <v>0</v>
      </c>
      <c r="U48" s="3240"/>
      <c r="V48" s="3240">
        <f>I48</f>
        <v>0</v>
      </c>
      <c r="W48" s="3240"/>
      <c r="X48" s="446"/>
      <c r="Y48" s="781"/>
      <c r="Z48" s="446"/>
      <c r="AA48" s="446"/>
      <c r="AB48" s="446"/>
      <c r="AC48" s="630"/>
    </row>
    <row r="49" spans="1:29" ht="15.75" thickBot="1">
      <c r="A49" s="486" t="s">
        <v>2656</v>
      </c>
      <c r="B49" s="487"/>
      <c r="C49" s="1416" t="e">
        <f>R50</f>
        <v>#DIV/0!</v>
      </c>
      <c r="D49" s="1417"/>
      <c r="E49" s="1418" t="e">
        <f>R49</f>
        <v>#DIV/0!</v>
      </c>
      <c r="F49" s="1418"/>
      <c r="G49" s="1416" t="e">
        <f>T49</f>
        <v>#DIV/0!</v>
      </c>
      <c r="H49" s="1417"/>
      <c r="I49" s="1418" t="e">
        <f>V49</f>
        <v>#DIV/0!</v>
      </c>
      <c r="J49" s="489"/>
      <c r="K49" s="784"/>
      <c r="L49" s="1146"/>
      <c r="M49" s="1134"/>
      <c r="N49" s="1134"/>
      <c r="O49" s="1134"/>
      <c r="P49" s="3177" t="str">
        <f>A49</f>
        <v>比较价值（元/平方米）</v>
      </c>
      <c r="Q49" s="3178"/>
      <c r="R49" s="3240" t="e">
        <f>IF(F1="售价",ROUND(PRODUCT(R48,AA7:AA47),0),ROUND(PRODUCT(R48,AA7:AA47),1))</f>
        <v>#DIV/0!</v>
      </c>
      <c r="S49" s="3240"/>
      <c r="T49" s="3240" t="e">
        <f>IF(F1="售价",ROUND(PRODUCT(T48,AB7:AB47),0),ROUND(PRODUCT(T48,AB7:AB47),1))</f>
        <v>#DIV/0!</v>
      </c>
      <c r="U49" s="3240"/>
      <c r="V49" s="3240" t="e">
        <f>IF(F1="售价",ROUND(PRODUCT(V48,AC7:AC47),0),ROUND(PRODUCT(V48,AC7:AC47),1))</f>
        <v>#DIV/0!</v>
      </c>
      <c r="W49" s="3240"/>
      <c r="X49" s="446"/>
      <c r="Y49" s="446"/>
      <c r="Z49" s="446"/>
      <c r="AA49" s="446"/>
      <c r="AB49" s="446"/>
      <c r="AC49" s="630"/>
    </row>
    <row r="50" spans="1:29" ht="15.75" thickBot="1">
      <c r="A50" s="492" t="s">
        <v>2657</v>
      </c>
      <c r="B50" s="493"/>
      <c r="C50" s="1420" t="e">
        <f>R50</f>
        <v>#DIV/0!</v>
      </c>
      <c r="D50" s="1420"/>
      <c r="E50" s="1420"/>
      <c r="F50" s="1420"/>
      <c r="G50" s="1420"/>
      <c r="H50" s="1420"/>
      <c r="I50" s="1420"/>
      <c r="J50" s="494"/>
      <c r="K50" s="785"/>
      <c r="L50" s="1146"/>
      <c r="M50" s="1134"/>
      <c r="N50" s="1134"/>
      <c r="O50" s="1134"/>
      <c r="P50" s="3251" t="str">
        <f>A50</f>
        <v>估价对象XX用房的比较价值（楼面单价，元/平方米）</v>
      </c>
      <c r="Q50" s="3252"/>
      <c r="R50" s="3253" t="e">
        <f>IF(F1="售价",ROUND(AVERAGE(R49:V49),0),ROUND(AVERAGE(R49:V49),1))</f>
        <v>#DIV/0!</v>
      </c>
      <c r="S50" s="3253"/>
      <c r="T50" s="3253"/>
      <c r="U50" s="3253"/>
      <c r="V50" s="3253"/>
      <c r="W50" s="3253"/>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2659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2661</v>
      </c>
      <c r="B58" s="759"/>
      <c r="C58" s="764"/>
      <c r="D58" s="764"/>
      <c r="E58" s="764"/>
      <c r="F58" s="765"/>
      <c r="G58" s="765"/>
      <c r="H58" s="764"/>
      <c r="I58" s="764"/>
      <c r="J58" s="764"/>
      <c r="K58" s="766"/>
      <c r="L58" s="1164"/>
      <c r="M58" s="1162"/>
      <c r="N58" s="1162"/>
      <c r="O58" s="1162"/>
      <c r="P58" s="2683"/>
      <c r="Q58" s="504"/>
    </row>
    <row r="59" spans="1:29" s="508" customFormat="1" ht="15">
      <c r="A59" s="505" t="s">
        <v>2535</v>
      </c>
      <c r="B59" s="506"/>
      <c r="C59" s="1577" t="str">
        <f>YEAR(C7)&amp;"-"&amp;MONTH(C7)</f>
        <v>2018-11</v>
      </c>
      <c r="D59" s="1578">
        <f>EDATE(C59,-1)</f>
        <v>43374</v>
      </c>
      <c r="E59" s="1578">
        <f>EDATE(D59,-1)</f>
        <v>43344</v>
      </c>
      <c r="F59" s="1578">
        <f t="shared" ref="F59:O59" si="16">EDATE(E59,-1)</f>
        <v>43313</v>
      </c>
      <c r="G59" s="1578">
        <f t="shared" si="16"/>
        <v>43282</v>
      </c>
      <c r="H59" s="1578">
        <f t="shared" si="16"/>
        <v>43252</v>
      </c>
      <c r="I59" s="1578">
        <f t="shared" si="16"/>
        <v>43221</v>
      </c>
      <c r="J59" s="1578">
        <f t="shared" si="16"/>
        <v>43191</v>
      </c>
      <c r="K59" s="1578">
        <f t="shared" si="16"/>
        <v>43160</v>
      </c>
      <c r="L59" s="1578">
        <f t="shared" si="16"/>
        <v>43132</v>
      </c>
      <c r="M59" s="1578">
        <f t="shared" si="16"/>
        <v>43101</v>
      </c>
      <c r="N59" s="1578">
        <f t="shared" si="16"/>
        <v>43070</v>
      </c>
      <c r="O59" s="1578">
        <f t="shared" si="16"/>
        <v>43040</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2572</v>
      </c>
      <c r="B61" s="516"/>
      <c r="C61" s="517"/>
      <c r="D61" s="518"/>
      <c r="E61" s="518"/>
      <c r="F61" s="518"/>
      <c r="G61" s="518"/>
      <c r="H61" s="518"/>
      <c r="I61" s="518"/>
      <c r="J61" s="518"/>
      <c r="K61" s="518"/>
      <c r="L61" s="518"/>
      <c r="M61" s="519"/>
      <c r="N61" s="518"/>
      <c r="O61" s="519"/>
      <c r="P61" s="2684"/>
      <c r="Q61" s="504"/>
    </row>
    <row r="62" spans="1:29" s="117" customFormat="1" ht="15">
      <c r="A62" s="521" t="s">
        <v>2537</v>
      </c>
      <c r="B62" s="510"/>
      <c r="C62" s="522" t="s">
        <v>2639</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2575</v>
      </c>
      <c r="B64" s="528" t="s">
        <v>2541</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2544</v>
      </c>
      <c r="C66" s="539" t="s">
        <v>2576</v>
      </c>
      <c r="D66" s="539" t="s">
        <v>2577</v>
      </c>
      <c r="E66" s="539" t="s">
        <v>2578</v>
      </c>
      <c r="F66" s="539" t="s">
        <v>2579</v>
      </c>
      <c r="G66" s="539" t="s">
        <v>2580</v>
      </c>
      <c r="H66" s="539" t="s">
        <v>2581</v>
      </c>
      <c r="I66" s="539" t="s">
        <v>2582</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2545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2546</v>
      </c>
      <c r="B77" s="528" t="s">
        <v>2684</v>
      </c>
      <c r="C77" s="573" t="s">
        <v>2584</v>
      </c>
      <c r="D77" s="573" t="s">
        <v>2585</v>
      </c>
      <c r="E77" s="573" t="s">
        <v>2586</v>
      </c>
      <c r="F77" s="573" t="s">
        <v>2587</v>
      </c>
      <c r="G77" s="573" t="s">
        <v>2588</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2589</v>
      </c>
      <c r="C79" s="578" t="s">
        <v>2584</v>
      </c>
      <c r="D79" s="578" t="s">
        <v>2585</v>
      </c>
      <c r="E79" s="578" t="s">
        <v>2586</v>
      </c>
      <c r="F79" s="578" t="s">
        <v>2587</v>
      </c>
      <c r="G79" s="578" t="s">
        <v>2588</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2590</v>
      </c>
      <c r="C81" s="578" t="s">
        <v>2584</v>
      </c>
      <c r="D81" s="578" t="s">
        <v>2585</v>
      </c>
      <c r="E81" s="578" t="s">
        <v>2586</v>
      </c>
      <c r="F81" s="578" t="s">
        <v>2587</v>
      </c>
      <c r="G81" s="578" t="s">
        <v>2588</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2676</v>
      </c>
      <c r="C83" s="660" t="s">
        <v>2662</v>
      </c>
      <c r="D83" s="660" t="s">
        <v>2663</v>
      </c>
      <c r="E83" s="660" t="s">
        <v>2664</v>
      </c>
      <c r="F83" s="660" t="s">
        <v>2665</v>
      </c>
      <c r="G83" s="660" t="s">
        <v>2666</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2685</v>
      </c>
      <c r="C85" s="578" t="s">
        <v>2584</v>
      </c>
      <c r="D85" s="578" t="s">
        <v>2585</v>
      </c>
      <c r="E85" s="578" t="s">
        <v>2586</v>
      </c>
      <c r="F85" s="578" t="s">
        <v>2587</v>
      </c>
      <c r="G85" s="578" t="s">
        <v>2588</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2686</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2550</v>
      </c>
      <c r="B101" s="528" t="s">
        <v>2599</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2600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2601</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2603</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2687</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2604</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2605</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2688</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2671</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2607</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2608</v>
      </c>
      <c r="C125" s="578" t="s">
        <v>2584</v>
      </c>
      <c r="D125" s="578" t="s">
        <v>2585</v>
      </c>
      <c r="E125" s="578" t="s">
        <v>2586</v>
      </c>
      <c r="F125" s="578" t="s">
        <v>2587</v>
      </c>
      <c r="G125" s="578" t="s">
        <v>2588</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49" sqref="B49"/>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671" t="s">
        <v>2689</v>
      </c>
      <c r="C1" s="1623" t="s">
        <v>2517</v>
      </c>
      <c r="D1" s="1624"/>
      <c r="E1" s="1633"/>
      <c r="F1" s="2586"/>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IF(C2="——",ROUND(C43*D3/10000,0),ROUND(C43*D3/10000,0)-D2)</f>
        <v>#DIV/0!</v>
      </c>
      <c r="C2" s="2588"/>
      <c r="D2" s="1127" t="e">
        <f ca="1">SUMIF(INDIRECT("'"&amp;F2&amp;"'"&amp;"!A:A"),"承租人权益价值",INDIRECT("'"&amp;F2&amp;"'"&amp;"!c:c"))</f>
        <v>#REF!</v>
      </c>
      <c r="E2" s="2589" t="s">
        <v>2316</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2631</v>
      </c>
      <c r="D3" s="399">
        <f>IF(D1="",'数据-汇总表'!E3,SUMIF('数据-汇总表'!$C19:$C33,D1,'数据-汇总表'!$E19:$E33))</f>
        <v>36832.270000000004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175" t="s">
        <v>2633</v>
      </c>
      <c r="D4" s="3202"/>
      <c r="E4" s="3203" t="s">
        <v>2634</v>
      </c>
      <c r="F4" s="3204"/>
      <c r="G4" s="3175" t="s">
        <v>2635</v>
      </c>
      <c r="H4" s="3202"/>
      <c r="I4" s="3175" t="s">
        <v>2636</v>
      </c>
      <c r="J4" s="3202"/>
      <c r="K4" s="610" t="s">
        <v>2637</v>
      </c>
      <c r="L4" s="1133"/>
      <c r="M4" s="1134"/>
      <c r="N4" s="1134"/>
      <c r="O4" s="1134"/>
      <c r="P4" s="3205" t="s">
        <v>2638</v>
      </c>
      <c r="Q4" s="3206"/>
      <c r="R4" s="3182" t="s">
        <v>2634</v>
      </c>
      <c r="S4" s="3183"/>
      <c r="T4" s="3182" t="s">
        <v>2635</v>
      </c>
      <c r="U4" s="3183"/>
      <c r="V4" s="3195" t="s">
        <v>2636</v>
      </c>
      <c r="W4" s="3195"/>
      <c r="X4" s="1816"/>
      <c r="Y4" s="3182" t="s">
        <v>2638</v>
      </c>
      <c r="Z4" s="3183"/>
      <c r="AA4" s="3199" t="s">
        <v>2634</v>
      </c>
      <c r="AB4" s="3200" t="s">
        <v>2635</v>
      </c>
      <c r="AC4" s="3199" t="s">
        <v>2636</v>
      </c>
    </row>
    <row r="5" spans="1:29" ht="15">
      <c r="A5" s="404"/>
      <c r="B5" s="405"/>
      <c r="C5" s="3186" t="s">
        <v>2529</v>
      </c>
      <c r="D5" s="3187"/>
      <c r="E5" s="3211" t="s">
        <v>2530</v>
      </c>
      <c r="F5" s="3212"/>
      <c r="G5" s="3186" t="s">
        <v>2531</v>
      </c>
      <c r="H5" s="3187"/>
      <c r="I5" s="3186" t="s">
        <v>2532</v>
      </c>
      <c r="J5" s="3187"/>
      <c r="K5" s="610"/>
      <c r="L5" s="1133"/>
      <c r="M5" s="1134"/>
      <c r="N5" s="1134"/>
      <c r="O5" s="1134"/>
      <c r="P5" s="3207"/>
      <c r="Q5" s="3208"/>
      <c r="R5" s="3184"/>
      <c r="S5" s="3185"/>
      <c r="T5" s="3184"/>
      <c r="U5" s="3185"/>
      <c r="V5" s="3195"/>
      <c r="W5" s="3195"/>
      <c r="X5" s="1816"/>
      <c r="Y5" s="3184"/>
      <c r="Z5" s="3185"/>
      <c r="AA5" s="3200"/>
      <c r="AB5" s="3200"/>
      <c r="AC5" s="3200"/>
    </row>
    <row r="6" spans="1:29" ht="15.75" thickBot="1">
      <c r="A6" s="406"/>
      <c r="B6" s="407"/>
      <c r="C6" s="3247" t="s">
        <v>2533</v>
      </c>
      <c r="D6" s="3248"/>
      <c r="E6" s="3249" t="s">
        <v>2533</v>
      </c>
      <c r="F6" s="3250"/>
      <c r="G6" s="3247" t="s">
        <v>2533</v>
      </c>
      <c r="H6" s="3248"/>
      <c r="I6" s="3247" t="s">
        <v>2533</v>
      </c>
      <c r="J6" s="3248"/>
      <c r="K6" s="610" t="s">
        <v>2534</v>
      </c>
      <c r="L6" s="1133"/>
      <c r="M6" s="1134"/>
      <c r="N6" s="1134"/>
      <c r="O6" s="1134"/>
      <c r="P6" s="3209"/>
      <c r="Q6" s="3210"/>
      <c r="R6" s="3184"/>
      <c r="S6" s="3185"/>
      <c r="T6" s="3193"/>
      <c r="U6" s="3194"/>
      <c r="V6" s="3195"/>
      <c r="W6" s="3195"/>
      <c r="X6" s="1816"/>
      <c r="Y6" s="3193"/>
      <c r="Z6" s="3194"/>
      <c r="AA6" s="3201"/>
      <c r="AB6" s="3201"/>
      <c r="AC6" s="3201"/>
    </row>
    <row r="7" spans="1:29" s="117" customFormat="1" ht="15.75" thickBot="1">
      <c r="A7" s="408" t="s">
        <v>2535</v>
      </c>
      <c r="B7" s="409"/>
      <c r="C7" s="410">
        <f>'数据-取费表'!B2</f>
        <v>43430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0" t="s">
        <v>2536</v>
      </c>
      <c r="Q7" s="3192"/>
      <c r="R7" s="770" t="s">
        <v>17</v>
      </c>
      <c r="S7" s="771">
        <f t="shared" ref="S7:S15" si="0">F7</f>
        <v>0</v>
      </c>
      <c r="T7" s="770" t="s">
        <v>17</v>
      </c>
      <c r="U7" s="771">
        <f t="shared" ref="U7:U15" si="1">H7</f>
        <v>0</v>
      </c>
      <c r="V7" s="770" t="s">
        <v>17</v>
      </c>
      <c r="W7" s="771">
        <f t="shared" ref="W7:W15" si="2">J7</f>
        <v>0</v>
      </c>
      <c r="X7" s="772"/>
      <c r="Y7" s="3180" t="s">
        <v>2536</v>
      </c>
      <c r="Z7" s="3181"/>
      <c r="AA7" s="773" t="e">
        <f>D7/F7</f>
        <v>#DIV/0!</v>
      </c>
      <c r="AB7" s="773" t="e">
        <f>D7/H7</f>
        <v>#DIV/0!</v>
      </c>
      <c r="AC7" s="773" t="e">
        <f>D7/J7</f>
        <v>#DIV/0!</v>
      </c>
    </row>
    <row r="8" spans="1:29" s="117" customFormat="1" ht="15.75" thickBot="1">
      <c r="A8" s="408" t="s">
        <v>2537</v>
      </c>
      <c r="B8" s="409"/>
      <c r="C8" s="414" t="s">
        <v>2538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0" t="s">
        <v>2539</v>
      </c>
      <c r="Q8" s="3181"/>
      <c r="R8" s="770" t="s">
        <v>17</v>
      </c>
      <c r="S8" s="771">
        <f t="shared" si="0"/>
        <v>0</v>
      </c>
      <c r="T8" s="770" t="s">
        <v>17</v>
      </c>
      <c r="U8" s="771">
        <f t="shared" si="1"/>
        <v>0</v>
      </c>
      <c r="V8" s="770" t="s">
        <v>17</v>
      </c>
      <c r="W8" s="771">
        <f t="shared" si="2"/>
        <v>0</v>
      </c>
      <c r="X8" s="772"/>
      <c r="Y8" s="3180" t="s">
        <v>2539</v>
      </c>
      <c r="Z8" s="3181"/>
      <c r="AA8" s="773" t="e">
        <f t="shared" ref="AA8:AA40" si="3">D8/F8</f>
        <v>#DIV/0!</v>
      </c>
      <c r="AB8" s="773" t="e">
        <f t="shared" ref="AB8:AB40" si="4">D8/H8</f>
        <v>#DIV/0!</v>
      </c>
      <c r="AC8" s="773" t="e">
        <f t="shared" ref="AC8:AC40" si="5">D8/J8</f>
        <v>#DIV/0!</v>
      </c>
    </row>
    <row r="9" spans="1:29" s="117" customFormat="1">
      <c r="A9" s="415" t="s">
        <v>2540</v>
      </c>
      <c r="B9" s="71" t="s">
        <v>2541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8" t="s">
        <v>2542</v>
      </c>
      <c r="Q9" s="1798" t="str">
        <f t="shared" ref="Q9:Q15" si="6">B9</f>
        <v>用途</v>
      </c>
      <c r="R9" s="770" t="s">
        <v>17</v>
      </c>
      <c r="S9" s="771">
        <f t="shared" si="0"/>
        <v>100</v>
      </c>
      <c r="T9" s="770" t="s">
        <v>17</v>
      </c>
      <c r="U9" s="771">
        <f t="shared" si="1"/>
        <v>100</v>
      </c>
      <c r="V9" s="770" t="s">
        <v>17</v>
      </c>
      <c r="W9" s="771">
        <f t="shared" si="2"/>
        <v>100</v>
      </c>
      <c r="X9" s="772"/>
      <c r="Y9" s="3004"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8"/>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8"/>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78"/>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78"/>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78"/>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114">
      <c r="A15" s="440" t="s">
        <v>2546</v>
      </c>
      <c r="B15" s="69" t="s">
        <v>2690</v>
      </c>
      <c r="C15" s="2695" t="str">
        <f>估价对象房地状况!G3</f>
        <v>估价对象位于大兴生物医药基地，周边1公里范围内有味多美食品技术开发公司、北京以岭药业等项目，产业集聚程度较好。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6" t="s">
        <v>2547</v>
      </c>
      <c r="Q15" s="1813" t="str">
        <f t="shared" si="6"/>
        <v>产业集聚程度</v>
      </c>
      <c r="R15" s="774" t="s">
        <v>17</v>
      </c>
      <c r="S15" s="775">
        <f t="shared" si="0"/>
        <v>100</v>
      </c>
      <c r="T15" s="774" t="s">
        <v>17</v>
      </c>
      <c r="U15" s="775">
        <f t="shared" si="1"/>
        <v>100</v>
      </c>
      <c r="V15" s="774" t="s">
        <v>17</v>
      </c>
      <c r="W15" s="775">
        <f t="shared" si="2"/>
        <v>100</v>
      </c>
      <c r="X15" s="1816"/>
      <c r="Y15" s="3196" t="s">
        <v>2547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7"/>
      <c r="Q16" s="1813"/>
      <c r="R16" s="774"/>
      <c r="S16" s="775"/>
      <c r="T16" s="774"/>
      <c r="U16" s="775"/>
      <c r="V16" s="774"/>
      <c r="W16" s="775"/>
      <c r="X16" s="1816"/>
      <c r="Y16" s="3197"/>
      <c r="Z16" s="1817"/>
      <c r="AA16" s="1814">
        <v>1</v>
      </c>
      <c r="AB16" s="1814">
        <v>1</v>
      </c>
      <c r="AC16" s="1814">
        <v>1</v>
      </c>
    </row>
    <row r="17" spans="1:29" ht="85.5">
      <c r="A17" s="428"/>
      <c r="B17" s="451" t="s">
        <v>2089</v>
      </c>
      <c r="C17" s="2609" t="str">
        <f>估价对象房地状况!G4</f>
        <v>周边1公里范围内有兴11路、兴15路、兴16路等公交线路及地铁大兴线经过，交通便捷度一般。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7"/>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97"/>
      <c r="Q18" s="1813"/>
      <c r="R18" s="774"/>
      <c r="S18" s="775"/>
      <c r="T18" s="774"/>
      <c r="U18" s="775"/>
      <c r="V18" s="774"/>
      <c r="W18" s="775"/>
      <c r="X18" s="1816"/>
      <c r="Y18" s="3197"/>
      <c r="Z18" s="1817"/>
      <c r="AA18" s="1814">
        <v>1</v>
      </c>
      <c r="AB18" s="1814">
        <v>1</v>
      </c>
      <c r="AC18" s="1814">
        <v>1</v>
      </c>
    </row>
    <row r="19" spans="1:29" ht="57">
      <c r="A19" s="428"/>
      <c r="B19" s="451" t="s">
        <v>2675</v>
      </c>
      <c r="C19" s="2609" t="str">
        <f>估价对象房地状况!G5</f>
        <v>周边无银行、超市、餐饮等配套，公共服务设施较差</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7"/>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97"/>
      <c r="Q20" s="1813"/>
      <c r="R20" s="774"/>
      <c r="S20" s="775"/>
      <c r="T20" s="774"/>
      <c r="U20" s="775"/>
      <c r="V20" s="774"/>
      <c r="W20" s="775"/>
      <c r="X20" s="1816"/>
      <c r="Y20" s="3197"/>
      <c r="Z20" s="1817"/>
      <c r="AA20" s="1814">
        <v>1</v>
      </c>
      <c r="AB20" s="1814">
        <v>1</v>
      </c>
      <c r="AC20" s="1814">
        <v>1</v>
      </c>
    </row>
    <row r="21" spans="1:29" ht="15">
      <c r="A21" s="428"/>
      <c r="B21" s="1387" t="s">
        <v>2676</v>
      </c>
      <c r="C21" s="2609"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7"/>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97"/>
      <c r="Q22" s="1813"/>
      <c r="R22" s="774"/>
      <c r="S22" s="775"/>
      <c r="T22" s="774"/>
      <c r="U22" s="775"/>
      <c r="V22" s="774"/>
      <c r="W22" s="775"/>
      <c r="X22" s="1816"/>
      <c r="Y22" s="3197"/>
      <c r="Z22" s="1817"/>
      <c r="AA22" s="1814">
        <v>1</v>
      </c>
      <c r="AB22" s="1814">
        <v>1</v>
      </c>
      <c r="AC22" s="1814">
        <v>1</v>
      </c>
    </row>
    <row r="23" spans="1:29" ht="71.25">
      <c r="A23" s="428"/>
      <c r="B23" s="451" t="s">
        <v>2677</v>
      </c>
      <c r="C23" s="2609" t="str">
        <f>估价对象房地状况!G7</f>
        <v>区域内污染物排放及治理状况一般，周边无危险设施及污染源，环境状况较好。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7"/>
      <c r="Q23" s="1813" t="str">
        <f>B23</f>
        <v>环境质量</v>
      </c>
      <c r="R23" s="774" t="s">
        <v>17</v>
      </c>
      <c r="S23" s="775">
        <f>F23</f>
        <v>100</v>
      </c>
      <c r="T23" s="774" t="s">
        <v>17</v>
      </c>
      <c r="U23" s="775">
        <f>H23</f>
        <v>100</v>
      </c>
      <c r="V23" s="774" t="s">
        <v>17</v>
      </c>
      <c r="W23" s="775">
        <f>J23</f>
        <v>100</v>
      </c>
      <c r="X23" s="1816"/>
      <c r="Y23" s="3197"/>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97"/>
      <c r="Q24" s="1813"/>
      <c r="R24" s="774"/>
      <c r="S24" s="775"/>
      <c r="T24" s="774"/>
      <c r="U24" s="775"/>
      <c r="V24" s="774"/>
      <c r="W24" s="775"/>
      <c r="X24" s="1816"/>
      <c r="Y24" s="319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7"/>
      <c r="Q25" s="1813">
        <f>B25</f>
        <v>111</v>
      </c>
      <c r="R25" s="774" t="s">
        <v>17</v>
      </c>
      <c r="S25" s="775">
        <f>F25</f>
        <v>100</v>
      </c>
      <c r="T25" s="774" t="s">
        <v>17</v>
      </c>
      <c r="U25" s="775">
        <f>H25</f>
        <v>100</v>
      </c>
      <c r="V25" s="774" t="s">
        <v>17</v>
      </c>
      <c r="W25" s="775">
        <f>J25</f>
        <v>100</v>
      </c>
      <c r="X25" s="1816"/>
      <c r="Y25" s="319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7"/>
      <c r="Q26" s="1813">
        <f t="shared" ref="Q26:Q40" si="11">B26</f>
        <v>111</v>
      </c>
      <c r="R26" s="774" t="s">
        <v>17</v>
      </c>
      <c r="S26" s="775">
        <f>F26</f>
        <v>100</v>
      </c>
      <c r="T26" s="774" t="s">
        <v>17</v>
      </c>
      <c r="U26" s="775">
        <f>H26</f>
        <v>100</v>
      </c>
      <c r="V26" s="774" t="s">
        <v>17</v>
      </c>
      <c r="W26" s="775">
        <f>J26</f>
        <v>100</v>
      </c>
      <c r="X26" s="1816"/>
      <c r="Y26" s="319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7"/>
      <c r="Q27" s="1798">
        <f t="shared" si="11"/>
        <v>111</v>
      </c>
      <c r="R27" s="770" t="s">
        <v>17</v>
      </c>
      <c r="S27" s="771">
        <f>F27</f>
        <v>100</v>
      </c>
      <c r="T27" s="770" t="s">
        <v>17</v>
      </c>
      <c r="U27" s="771">
        <f>H27</f>
        <v>100</v>
      </c>
      <c r="V27" s="770" t="s">
        <v>17</v>
      </c>
      <c r="W27" s="771">
        <f>J27</f>
        <v>100</v>
      </c>
      <c r="X27" s="772"/>
      <c r="Y27" s="319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7"/>
      <c r="Q28" s="1813">
        <f t="shared" si="11"/>
        <v>111</v>
      </c>
      <c r="R28" s="774" t="s">
        <v>17</v>
      </c>
      <c r="S28" s="775">
        <f t="shared" ref="S28:S40" si="12">F28</f>
        <v>100</v>
      </c>
      <c r="T28" s="774" t="s">
        <v>17</v>
      </c>
      <c r="U28" s="775">
        <f t="shared" ref="U28:U40" si="13">H28</f>
        <v>100</v>
      </c>
      <c r="V28" s="774" t="s">
        <v>17</v>
      </c>
      <c r="W28" s="775">
        <f t="shared" ref="W28:W40" si="14">J28</f>
        <v>100</v>
      </c>
      <c r="X28" s="1816"/>
      <c r="Y28" s="3197"/>
      <c r="Z28" s="1817">
        <f t="shared" ref="Z28:Z40" si="15">Q28</f>
        <v>111</v>
      </c>
      <c r="AA28" s="1814">
        <f t="shared" si="3"/>
        <v>1</v>
      </c>
      <c r="AB28" s="1814">
        <f t="shared" si="4"/>
        <v>1</v>
      </c>
      <c r="AC28" s="1814">
        <f t="shared" si="5"/>
        <v>1</v>
      </c>
    </row>
    <row r="29" spans="1:29" ht="15">
      <c r="A29" s="466" t="s">
        <v>2550</v>
      </c>
      <c r="B29" s="71" t="s">
        <v>2680</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13" t="s">
        <v>2552</v>
      </c>
      <c r="Q29" s="1813" t="str">
        <f t="shared" si="11"/>
        <v>建筑类型</v>
      </c>
      <c r="R29" s="774" t="s">
        <v>17</v>
      </c>
      <c r="S29" s="775">
        <f t="shared" si="12"/>
        <v>100</v>
      </c>
      <c r="T29" s="774" t="s">
        <v>17</v>
      </c>
      <c r="U29" s="775">
        <f t="shared" si="13"/>
        <v>100</v>
      </c>
      <c r="V29" s="774" t="s">
        <v>17</v>
      </c>
      <c r="W29" s="775">
        <f t="shared" si="14"/>
        <v>100</v>
      </c>
      <c r="X29" s="1816"/>
      <c r="Y29" s="3198" t="s">
        <v>2552</v>
      </c>
      <c r="Z29" s="1817" t="str">
        <f t="shared" si="15"/>
        <v>建筑类型</v>
      </c>
      <c r="AA29" s="1814">
        <f t="shared" si="3"/>
        <v>1</v>
      </c>
      <c r="AB29" s="1814">
        <f t="shared" si="4"/>
        <v>1</v>
      </c>
      <c r="AC29" s="1814">
        <f t="shared" si="5"/>
        <v>1</v>
      </c>
    </row>
    <row r="30" spans="1:29" s="471" customFormat="1" ht="15">
      <c r="A30" s="468"/>
      <c r="B30" s="422" t="s">
        <v>2553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4" t="e">
        <f t="shared" si="3"/>
        <v>#N/A</v>
      </c>
      <c r="AB30" s="1814" t="e">
        <f t="shared" si="4"/>
        <v>#N/A</v>
      </c>
      <c r="AC30" s="1814" t="e">
        <f t="shared" si="5"/>
        <v>#N/A</v>
      </c>
    </row>
    <row r="31" spans="1:29" ht="15">
      <c r="A31" s="472"/>
      <c r="B31" s="422" t="s">
        <v>2554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8"/>
      <c r="Q31" s="1813" t="str">
        <f t="shared" si="11"/>
        <v>建筑结构</v>
      </c>
      <c r="R31" s="774" t="s">
        <v>17</v>
      </c>
      <c r="S31" s="775">
        <f t="shared" si="12"/>
        <v>100</v>
      </c>
      <c r="T31" s="774" t="s">
        <v>17</v>
      </c>
      <c r="U31" s="775">
        <f t="shared" si="13"/>
        <v>100</v>
      </c>
      <c r="V31" s="774" t="s">
        <v>17</v>
      </c>
      <c r="W31" s="775">
        <f t="shared" si="14"/>
        <v>100</v>
      </c>
      <c r="X31" s="1816"/>
      <c r="Y31" s="3198"/>
      <c r="Z31" s="1817" t="str">
        <f t="shared" si="15"/>
        <v>建筑结构</v>
      </c>
      <c r="AA31" s="1814">
        <f t="shared" si="3"/>
        <v>1</v>
      </c>
      <c r="AB31" s="1814">
        <f t="shared" si="4"/>
        <v>1</v>
      </c>
      <c r="AC31" s="1814">
        <f t="shared" si="5"/>
        <v>1</v>
      </c>
    </row>
    <row r="32" spans="1:29" ht="15">
      <c r="A32" s="472"/>
      <c r="B32" s="422" t="s">
        <v>2648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8"/>
      <c r="Q32" s="1813" t="str">
        <f t="shared" si="11"/>
        <v>公共部分装修</v>
      </c>
      <c r="R32" s="774" t="s">
        <v>17</v>
      </c>
      <c r="S32" s="775">
        <f t="shared" si="12"/>
        <v>100</v>
      </c>
      <c r="T32" s="774" t="s">
        <v>17</v>
      </c>
      <c r="U32" s="775">
        <f t="shared" si="13"/>
        <v>100</v>
      </c>
      <c r="V32" s="774" t="s">
        <v>17</v>
      </c>
      <c r="W32" s="775">
        <f t="shared" si="14"/>
        <v>100</v>
      </c>
      <c r="X32" s="1816"/>
      <c r="Y32" s="3198"/>
      <c r="Z32" s="1817" t="str">
        <f t="shared" si="15"/>
        <v>公共部分装修</v>
      </c>
      <c r="AA32" s="1814">
        <f t="shared" si="3"/>
        <v>1</v>
      </c>
      <c r="AB32" s="1814">
        <f t="shared" si="4"/>
        <v>1</v>
      </c>
      <c r="AC32" s="1814">
        <f t="shared" si="5"/>
        <v>1</v>
      </c>
    </row>
    <row r="33" spans="1:29" ht="15">
      <c r="A33" s="472"/>
      <c r="B33" s="422" t="s">
        <v>2649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8"/>
      <c r="Q33" s="1813" t="str">
        <f t="shared" si="11"/>
        <v>成新度</v>
      </c>
      <c r="R33" s="774" t="s">
        <v>17</v>
      </c>
      <c r="S33" s="775" t="e">
        <f t="shared" si="12"/>
        <v>#N/A</v>
      </c>
      <c r="T33" s="774" t="s">
        <v>17</v>
      </c>
      <c r="U33" s="775" t="e">
        <f t="shared" si="13"/>
        <v>#N/A</v>
      </c>
      <c r="V33" s="774" t="s">
        <v>17</v>
      </c>
      <c r="W33" s="775" t="e">
        <f t="shared" si="14"/>
        <v>#N/A</v>
      </c>
      <c r="X33" s="1816"/>
      <c r="Y33" s="3198"/>
      <c r="Z33" s="1817" t="str">
        <f t="shared" si="15"/>
        <v>成新度</v>
      </c>
      <c r="AA33" s="1814" t="e">
        <f t="shared" si="3"/>
        <v>#N/A</v>
      </c>
      <c r="AB33" s="1814" t="e">
        <f t="shared" si="4"/>
        <v>#N/A</v>
      </c>
      <c r="AC33" s="1814"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8"/>
      <c r="Q34" s="1798"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2650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8" t="s">
        <v>2552</v>
      </c>
      <c r="Q35" s="1813" t="str">
        <f t="shared" si="11"/>
        <v>市政基础设施</v>
      </c>
      <c r="R35" s="774" t="s">
        <v>17</v>
      </c>
      <c r="S35" s="775">
        <f t="shared" si="12"/>
        <v>100</v>
      </c>
      <c r="T35" s="774" t="s">
        <v>17</v>
      </c>
      <c r="U35" s="775">
        <f t="shared" si="13"/>
        <v>100</v>
      </c>
      <c r="V35" s="774" t="s">
        <v>17</v>
      </c>
      <c r="W35" s="775">
        <f t="shared" si="14"/>
        <v>100</v>
      </c>
      <c r="X35" s="1816"/>
      <c r="Y35" s="3198" t="s">
        <v>2552</v>
      </c>
      <c r="Z35" s="1817" t="str">
        <f t="shared" si="15"/>
        <v>市政基础设施</v>
      </c>
      <c r="AA35" s="1814">
        <f t="shared" si="3"/>
        <v>1</v>
      </c>
      <c r="AB35" s="1814">
        <f t="shared" si="4"/>
        <v>1</v>
      </c>
      <c r="AC35" s="1814">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8"/>
      <c r="Q36" s="1813" t="str">
        <f t="shared" si="11"/>
        <v>内部装修</v>
      </c>
      <c r="R36" s="774" t="s">
        <v>17</v>
      </c>
      <c r="S36" s="775">
        <f t="shared" si="12"/>
        <v>100</v>
      </c>
      <c r="T36" s="774" t="s">
        <v>17</v>
      </c>
      <c r="U36" s="775">
        <f t="shared" si="13"/>
        <v>100</v>
      </c>
      <c r="V36" s="774" t="s">
        <v>17</v>
      </c>
      <c r="W36" s="775">
        <f t="shared" si="14"/>
        <v>100</v>
      </c>
      <c r="X36" s="1816"/>
      <c r="Y36" s="3198"/>
      <c r="Z36" s="1817" t="str">
        <f t="shared" si="15"/>
        <v>内部装修</v>
      </c>
      <c r="AA36" s="1814">
        <f t="shared" si="3"/>
        <v>1</v>
      </c>
      <c r="AB36" s="1814">
        <f t="shared" si="4"/>
        <v>1</v>
      </c>
      <c r="AC36" s="1814">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8"/>
      <c r="Q37" s="1813" t="str">
        <f t="shared" si="11"/>
        <v>内部装修状况</v>
      </c>
      <c r="R37" s="774" t="s">
        <v>17</v>
      </c>
      <c r="S37" s="775">
        <f t="shared" si="12"/>
        <v>100</v>
      </c>
      <c r="T37" s="774" t="s">
        <v>17</v>
      </c>
      <c r="U37" s="775">
        <f t="shared" si="13"/>
        <v>100</v>
      </c>
      <c r="V37" s="774" t="s">
        <v>17</v>
      </c>
      <c r="W37" s="775">
        <f t="shared" si="14"/>
        <v>100</v>
      </c>
      <c r="X37" s="1816"/>
      <c r="Y37" s="319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8"/>
      <c r="Q39" s="1813">
        <f t="shared" si="11"/>
        <v>111</v>
      </c>
      <c r="R39" s="774" t="s">
        <v>17</v>
      </c>
      <c r="S39" s="775">
        <f t="shared" si="12"/>
        <v>100</v>
      </c>
      <c r="T39" s="774" t="s">
        <v>17</v>
      </c>
      <c r="U39" s="775">
        <f t="shared" si="13"/>
        <v>100</v>
      </c>
      <c r="V39" s="774" t="s">
        <v>17</v>
      </c>
      <c r="W39" s="775">
        <f t="shared" si="14"/>
        <v>100</v>
      </c>
      <c r="X39" s="1816"/>
      <c r="Y39" s="3198"/>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4"/>
      <c r="Q40" s="1813">
        <f t="shared" si="11"/>
        <v>111</v>
      </c>
      <c r="R40" s="774" t="s">
        <v>17</v>
      </c>
      <c r="S40" s="775">
        <f t="shared" si="12"/>
        <v>100</v>
      </c>
      <c r="T40" s="774" t="s">
        <v>17</v>
      </c>
      <c r="U40" s="775">
        <f t="shared" si="13"/>
        <v>100</v>
      </c>
      <c r="V40" s="774" t="s">
        <v>17</v>
      </c>
      <c r="W40" s="775">
        <f t="shared" si="14"/>
        <v>100</v>
      </c>
      <c r="X40" s="1816"/>
      <c r="Y40" s="3244"/>
      <c r="Z40" s="1817">
        <f t="shared" si="15"/>
        <v>111</v>
      </c>
      <c r="AA40" s="1814">
        <f t="shared" si="3"/>
        <v>1</v>
      </c>
      <c r="AB40" s="1814">
        <f t="shared" si="4"/>
        <v>1</v>
      </c>
      <c r="AC40" s="1814">
        <f t="shared" si="5"/>
        <v>1</v>
      </c>
    </row>
    <row r="41" spans="1:29" ht="15">
      <c r="A41" s="479" t="s">
        <v>2564</v>
      </c>
      <c r="B41" s="480"/>
      <c r="C41" s="1410" t="s">
        <v>1</v>
      </c>
      <c r="D41" s="1411"/>
      <c r="E41" s="1412"/>
      <c r="F41" s="1413"/>
      <c r="G41" s="1414"/>
      <c r="H41" s="1415"/>
      <c r="I41" s="1412"/>
      <c r="J41" s="1415"/>
      <c r="K41" s="783"/>
      <c r="L41" s="1146"/>
      <c r="M41" s="1147"/>
      <c r="N41" s="1134"/>
      <c r="O41" s="1147"/>
      <c r="P41" s="3178" t="str">
        <f>A41</f>
        <v>成交单价（元/平方米）</v>
      </c>
      <c r="Q41" s="3178"/>
      <c r="R41" s="3240">
        <f>E41</f>
        <v>0</v>
      </c>
      <c r="S41" s="3240"/>
      <c r="T41" s="3240">
        <f>G41</f>
        <v>0</v>
      </c>
      <c r="U41" s="3240"/>
      <c r="V41" s="3240">
        <f>I41</f>
        <v>0</v>
      </c>
      <c r="W41" s="3240"/>
      <c r="X41" s="759"/>
      <c r="Y41" s="781"/>
      <c r="Z41" s="759"/>
      <c r="AA41" s="759"/>
      <c r="AB41" s="759"/>
      <c r="AC41" s="759"/>
    </row>
    <row r="42" spans="1:29" ht="15.75" thickBot="1">
      <c r="A42" s="486" t="s">
        <v>2656</v>
      </c>
      <c r="B42" s="487"/>
      <c r="C42" s="1416" t="e">
        <f>R43</f>
        <v>#DIV/0!</v>
      </c>
      <c r="D42" s="1417"/>
      <c r="E42" s="1418" t="e">
        <f>R42</f>
        <v>#DIV/0!</v>
      </c>
      <c r="F42" s="1418"/>
      <c r="G42" s="1416" t="e">
        <f>T42</f>
        <v>#DIV/0!</v>
      </c>
      <c r="H42" s="1417"/>
      <c r="I42" s="1418" t="e">
        <f>V42</f>
        <v>#DIV/0!</v>
      </c>
      <c r="J42" s="1417"/>
      <c r="K42" s="784"/>
      <c r="L42" s="1146"/>
      <c r="M42" s="1147"/>
      <c r="N42" s="1134"/>
      <c r="O42" s="1147"/>
      <c r="P42" s="3178" t="str">
        <f>A42</f>
        <v>比较价值（元/平方米）</v>
      </c>
      <c r="Q42" s="3178"/>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759"/>
      <c r="Y42" s="759"/>
      <c r="Z42" s="759"/>
      <c r="AA42" s="759"/>
      <c r="AB42" s="759"/>
      <c r="AC42" s="759"/>
    </row>
    <row r="43" spans="1:29" ht="15.75" thickBot="1">
      <c r="A43" s="492" t="s">
        <v>2657</v>
      </c>
      <c r="B43" s="493"/>
      <c r="C43" s="1420" t="e">
        <f>R43</f>
        <v>#DIV/0!</v>
      </c>
      <c r="D43" s="1420"/>
      <c r="E43" s="1420"/>
      <c r="F43" s="1420"/>
      <c r="G43" s="1420"/>
      <c r="H43" s="1420"/>
      <c r="I43" s="1420"/>
      <c r="J43" s="1420"/>
      <c r="K43" s="785"/>
      <c r="L43" s="1146"/>
      <c r="M43" s="1147"/>
      <c r="N43" s="1147"/>
      <c r="O43" s="1147"/>
      <c r="P43" s="3214" t="str">
        <f>A43</f>
        <v>估价对象XX用房的比较价值（楼面单价，元/平方米）</v>
      </c>
      <c r="Q43" s="3215"/>
      <c r="R43" s="3239" t="e">
        <f>IF(F1="售价",ROUND(AVERAGE(R42:V42),0),ROUND(AVERAGE(R42:V42),1))</f>
        <v>#DIV/0!</v>
      </c>
      <c r="S43" s="3239"/>
      <c r="T43" s="3239"/>
      <c r="U43" s="3239"/>
      <c r="V43" s="3239"/>
      <c r="W43" s="323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2661</v>
      </c>
      <c r="B51" s="759"/>
      <c r="C51" s="764"/>
      <c r="D51" s="764"/>
      <c r="E51" s="764"/>
      <c r="F51" s="765"/>
      <c r="G51" s="765"/>
      <c r="H51" s="764"/>
      <c r="I51" s="764"/>
      <c r="J51" s="764"/>
      <c r="K51" s="1163"/>
      <c r="L51" s="1164"/>
      <c r="M51" s="1162"/>
      <c r="N51" s="1162"/>
      <c r="O51" s="1162"/>
      <c r="P51" s="503"/>
      <c r="Q51" s="504"/>
    </row>
    <row r="52" spans="1:17" s="508" customFormat="1" ht="15">
      <c r="A52" s="505" t="s">
        <v>2535</v>
      </c>
      <c r="B52" s="506"/>
      <c r="C52" s="1577" t="str">
        <f>YEAR(C7)&amp;"-"&amp;MONTH(C7)</f>
        <v>2018-11</v>
      </c>
      <c r="D52" s="1578">
        <f>EDATE(C52,-1)</f>
        <v>43374</v>
      </c>
      <c r="E52" s="1578">
        <f t="shared" ref="E52:O52" si="16">EDATE(D52,-1)</f>
        <v>43344</v>
      </c>
      <c r="F52" s="1578">
        <f t="shared" si="16"/>
        <v>43313</v>
      </c>
      <c r="G52" s="1578">
        <f t="shared" si="16"/>
        <v>43282</v>
      </c>
      <c r="H52" s="1578">
        <f t="shared" si="16"/>
        <v>43252</v>
      </c>
      <c r="I52" s="1578">
        <f t="shared" si="16"/>
        <v>43221</v>
      </c>
      <c r="J52" s="1578">
        <f t="shared" si="16"/>
        <v>43191</v>
      </c>
      <c r="K52" s="1578">
        <f t="shared" si="16"/>
        <v>43160</v>
      </c>
      <c r="L52" s="1578">
        <f t="shared" si="16"/>
        <v>43132</v>
      </c>
      <c r="M52" s="1578">
        <f t="shared" si="16"/>
        <v>43101</v>
      </c>
      <c r="N52" s="1578">
        <f t="shared" si="16"/>
        <v>43070</v>
      </c>
      <c r="O52" s="1578">
        <f t="shared" si="16"/>
        <v>43040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2572</v>
      </c>
      <c r="B54" s="516"/>
      <c r="C54" s="517"/>
      <c r="D54" s="518"/>
      <c r="E54" s="518"/>
      <c r="F54" s="518"/>
      <c r="G54" s="518"/>
      <c r="H54" s="518"/>
      <c r="I54" s="518"/>
      <c r="J54" s="518"/>
      <c r="K54" s="518"/>
      <c r="L54" s="518"/>
      <c r="M54" s="519"/>
      <c r="N54" s="518"/>
      <c r="O54" s="520"/>
      <c r="P54" s="504"/>
      <c r="Q54" s="504"/>
    </row>
    <row r="55" spans="1:17" s="117" customFormat="1" ht="15">
      <c r="A55" s="521" t="s">
        <v>2537</v>
      </c>
      <c r="B55" s="510"/>
      <c r="C55" s="522" t="s">
        <v>2639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2575</v>
      </c>
      <c r="B57" s="528" t="s">
        <v>2541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2544</v>
      </c>
      <c r="C59" s="539" t="s">
        <v>2576</v>
      </c>
      <c r="D59" s="539" t="s">
        <v>2577</v>
      </c>
      <c r="E59" s="539" t="s">
        <v>2578</v>
      </c>
      <c r="F59" s="539" t="s">
        <v>2579</v>
      </c>
      <c r="G59" s="539" t="s">
        <v>2580</v>
      </c>
      <c r="H59" s="539" t="s">
        <v>2581</v>
      </c>
      <c r="I59" s="539" t="s">
        <v>2582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2546</v>
      </c>
      <c r="B70" s="528" t="s">
        <v>2692</v>
      </c>
      <c r="C70" s="573" t="s">
        <v>2584</v>
      </c>
      <c r="D70" s="573" t="s">
        <v>2585</v>
      </c>
      <c r="E70" s="573" t="s">
        <v>2586</v>
      </c>
      <c r="F70" s="573" t="s">
        <v>2587</v>
      </c>
      <c r="G70" s="573" t="s">
        <v>2588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2589</v>
      </c>
      <c r="C72" s="578" t="s">
        <v>2584</v>
      </c>
      <c r="D72" s="578" t="s">
        <v>2585</v>
      </c>
      <c r="E72" s="578" t="s">
        <v>2586</v>
      </c>
      <c r="F72" s="578" t="s">
        <v>2587</v>
      </c>
      <c r="G72" s="578" t="s">
        <v>2588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2590</v>
      </c>
      <c r="C74" s="578" t="s">
        <v>2584</v>
      </c>
      <c r="D74" s="578" t="s">
        <v>2585</v>
      </c>
      <c r="E74" s="578" t="s">
        <v>2586</v>
      </c>
      <c r="F74" s="578" t="s">
        <v>2587</v>
      </c>
      <c r="G74" s="578" t="s">
        <v>2588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2676</v>
      </c>
      <c r="C76" s="660" t="s">
        <v>2662</v>
      </c>
      <c r="D76" s="660" t="s">
        <v>2663</v>
      </c>
      <c r="E76" s="660" t="s">
        <v>2664</v>
      </c>
      <c r="F76" s="660" t="s">
        <v>2665</v>
      </c>
      <c r="G76" s="660" t="s">
        <v>2666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2685</v>
      </c>
      <c r="C78" s="578" t="s">
        <v>2584</v>
      </c>
      <c r="D78" s="578" t="s">
        <v>2585</v>
      </c>
      <c r="E78" s="578" t="s">
        <v>2586</v>
      </c>
      <c r="F78" s="578" t="s">
        <v>2587</v>
      </c>
      <c r="G78" s="578" t="s">
        <v>2588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2550</v>
      </c>
      <c r="B88" s="528" t="s">
        <v>2599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2693</v>
      </c>
      <c r="C106" s="578" t="s">
        <v>2584</v>
      </c>
      <c r="D106" s="578" t="s">
        <v>2585</v>
      </c>
      <c r="E106" s="578" t="s">
        <v>2586</v>
      </c>
      <c r="F106" s="578" t="s">
        <v>2587</v>
      </c>
      <c r="G106" s="578" t="s">
        <v>2588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49" sqref="B49"/>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2694</v>
      </c>
      <c r="B1" s="1622"/>
      <c r="C1" s="1623" t="s">
        <v>2517</v>
      </c>
      <c r="D1" s="1624"/>
      <c r="E1" s="1625"/>
      <c r="F1" s="2586"/>
      <c r="G1" s="1626" t="s">
        <v>2630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2315</v>
      </c>
      <c r="B2" s="1421" t="e">
        <f ca="1">IF(C2="——",IF(B37="元/平方米",ROUND(C39*D3/10000,0),ROUND(F3*C39/10000,0)),IF(B37="元/平方米",ROUND(C39*D3/10000,0),ROUND(F3*C39/10000,0))-D2)</f>
        <v>#DIV/0!</v>
      </c>
      <c r="C2" s="2588"/>
      <c r="D2" s="1127" t="e">
        <f ca="1">SUMIF(INDIRECT("'"&amp;F2&amp;"'"&amp;"!A:A"),"承租人权益价值",INDIRECT("'"&amp;F2&amp;"'"&amp;"!c:c"))</f>
        <v>#REF!</v>
      </c>
      <c r="E2" s="2589" t="s">
        <v>2316</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2631</v>
      </c>
      <c r="D3" s="399">
        <f>SUMIF('数据-汇总表'!$C19:$C33,D1,'数据-汇总表'!$E19:$E33)</f>
        <v>0</v>
      </c>
      <c r="E3" s="400" t="s">
        <v>2695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2632</v>
      </c>
      <c r="B4" s="402"/>
      <c r="C4" s="3175" t="s">
        <v>2633</v>
      </c>
      <c r="D4" s="3202"/>
      <c r="E4" s="3203" t="s">
        <v>2634</v>
      </c>
      <c r="F4" s="3204"/>
      <c r="G4" s="3175" t="s">
        <v>2635</v>
      </c>
      <c r="H4" s="3202"/>
      <c r="I4" s="3175" t="s">
        <v>2636</v>
      </c>
      <c r="J4" s="3202"/>
      <c r="K4" s="610" t="s">
        <v>2637</v>
      </c>
      <c r="L4" s="1133"/>
      <c r="M4" s="1134"/>
      <c r="N4" s="1134"/>
      <c r="O4" s="1134"/>
      <c r="P4" s="3205" t="s">
        <v>2638</v>
      </c>
      <c r="Q4" s="3206"/>
      <c r="R4" s="3182" t="s">
        <v>2634</v>
      </c>
      <c r="S4" s="3183"/>
      <c r="T4" s="3182" t="s">
        <v>2635</v>
      </c>
      <c r="U4" s="3183"/>
      <c r="V4" s="3195" t="s">
        <v>2636</v>
      </c>
      <c r="W4" s="3195"/>
      <c r="X4" s="1816"/>
      <c r="Y4" s="3182" t="s">
        <v>2638</v>
      </c>
      <c r="Z4" s="3183"/>
      <c r="AA4" s="3199" t="s">
        <v>2634</v>
      </c>
      <c r="AB4" s="3200" t="s">
        <v>2635</v>
      </c>
      <c r="AC4" s="3199" t="s">
        <v>2636</v>
      </c>
    </row>
    <row r="5" spans="1:29" ht="15">
      <c r="A5" s="404"/>
      <c r="B5" s="405"/>
      <c r="C5" s="3186" t="s">
        <v>2529</v>
      </c>
      <c r="D5" s="3187"/>
      <c r="E5" s="3211" t="s">
        <v>2530</v>
      </c>
      <c r="F5" s="3212"/>
      <c r="G5" s="3186" t="s">
        <v>2531</v>
      </c>
      <c r="H5" s="3187"/>
      <c r="I5" s="3186" t="s">
        <v>2532</v>
      </c>
      <c r="J5" s="3187"/>
      <c r="K5" s="610"/>
      <c r="L5" s="1133"/>
      <c r="M5" s="1134"/>
      <c r="N5" s="1134"/>
      <c r="O5" s="1134"/>
      <c r="P5" s="3207"/>
      <c r="Q5" s="3208"/>
      <c r="R5" s="3184"/>
      <c r="S5" s="3185"/>
      <c r="T5" s="3184"/>
      <c r="U5" s="3185"/>
      <c r="V5" s="3195"/>
      <c r="W5" s="3195"/>
      <c r="X5" s="1816"/>
      <c r="Y5" s="3184"/>
      <c r="Z5" s="3185"/>
      <c r="AA5" s="3200"/>
      <c r="AB5" s="3200"/>
      <c r="AC5" s="3200"/>
    </row>
    <row r="6" spans="1:29" ht="15.75" thickBot="1">
      <c r="A6" s="406"/>
      <c r="B6" s="407"/>
      <c r="C6" s="3247" t="s">
        <v>2533</v>
      </c>
      <c r="D6" s="3248"/>
      <c r="E6" s="3249" t="s">
        <v>2533</v>
      </c>
      <c r="F6" s="3250"/>
      <c r="G6" s="3247" t="s">
        <v>2533</v>
      </c>
      <c r="H6" s="3248"/>
      <c r="I6" s="3247" t="s">
        <v>2533</v>
      </c>
      <c r="J6" s="3248"/>
      <c r="K6" s="610" t="s">
        <v>2534</v>
      </c>
      <c r="L6" s="1133"/>
      <c r="M6" s="1134"/>
      <c r="N6" s="1134"/>
      <c r="O6" s="1134"/>
      <c r="P6" s="3209"/>
      <c r="Q6" s="3210"/>
      <c r="R6" s="3184"/>
      <c r="S6" s="3185"/>
      <c r="T6" s="3193"/>
      <c r="U6" s="3194"/>
      <c r="V6" s="3195"/>
      <c r="W6" s="3195"/>
      <c r="X6" s="1816"/>
      <c r="Y6" s="3193"/>
      <c r="Z6" s="3194"/>
      <c r="AA6" s="3201"/>
      <c r="AB6" s="3201"/>
      <c r="AC6" s="3201"/>
    </row>
    <row r="7" spans="1:29" s="117" customFormat="1" ht="15.75" thickBot="1">
      <c r="A7" s="408" t="s">
        <v>2535</v>
      </c>
      <c r="B7" s="409"/>
      <c r="C7" s="410">
        <f>'数据-取费表'!B2</f>
        <v>43430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0" t="s">
        <v>2536</v>
      </c>
      <c r="Q7" s="3192"/>
      <c r="R7" s="770" t="s">
        <v>17</v>
      </c>
      <c r="S7" s="771">
        <f t="shared" ref="S7:S14" si="0">F7</f>
        <v>0</v>
      </c>
      <c r="T7" s="770" t="s">
        <v>17</v>
      </c>
      <c r="U7" s="771">
        <f t="shared" ref="U7:U14" si="1">H7</f>
        <v>0</v>
      </c>
      <c r="V7" s="770" t="s">
        <v>17</v>
      </c>
      <c r="W7" s="771">
        <f t="shared" ref="W7:W14" si="2">J7</f>
        <v>0</v>
      </c>
      <c r="X7" s="772"/>
      <c r="Y7" s="3180" t="s">
        <v>2536</v>
      </c>
      <c r="Z7" s="3181"/>
      <c r="AA7" s="773" t="e">
        <f>D7/F7</f>
        <v>#DIV/0!</v>
      </c>
      <c r="AB7" s="773" t="e">
        <f>D7/H7</f>
        <v>#DIV/0!</v>
      </c>
      <c r="AC7" s="773" t="e">
        <f>D7/J7</f>
        <v>#DIV/0!</v>
      </c>
    </row>
    <row r="8" spans="1:29" s="117" customFormat="1" ht="15.75" thickBot="1">
      <c r="A8" s="408" t="s">
        <v>2537</v>
      </c>
      <c r="B8" s="409"/>
      <c r="C8" s="414" t="s">
        <v>2639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0" t="s">
        <v>2539</v>
      </c>
      <c r="Q8" s="3181"/>
      <c r="R8" s="770" t="s">
        <v>17</v>
      </c>
      <c r="S8" s="771">
        <f t="shared" si="0"/>
        <v>0</v>
      </c>
      <c r="T8" s="770" t="s">
        <v>17</v>
      </c>
      <c r="U8" s="771">
        <f t="shared" si="1"/>
        <v>0</v>
      </c>
      <c r="V8" s="770" t="s">
        <v>17</v>
      </c>
      <c r="W8" s="771">
        <f t="shared" si="2"/>
        <v>0</v>
      </c>
      <c r="X8" s="772"/>
      <c r="Y8" s="3180" t="s">
        <v>2539</v>
      </c>
      <c r="Z8" s="3181"/>
      <c r="AA8" s="773" t="e">
        <f t="shared" ref="AA8:AA36" si="3">D8/F8</f>
        <v>#DIV/0!</v>
      </c>
      <c r="AB8" s="773" t="e">
        <f t="shared" ref="AB8:AB36" si="4">D8/H8</f>
        <v>#DIV/0!</v>
      </c>
      <c r="AC8" s="773" t="e">
        <f t="shared" ref="AC8:AC36" si="5">D8/J8</f>
        <v>#DIV/0!</v>
      </c>
    </row>
    <row r="9" spans="1:29" s="117" customFormat="1">
      <c r="A9" s="68" t="s">
        <v>2540</v>
      </c>
      <c r="B9" s="640" t="s">
        <v>2541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8" t="s">
        <v>2542</v>
      </c>
      <c r="Q9" s="1798" t="str">
        <f t="shared" ref="Q9:Q14" si="6">B9</f>
        <v>用途</v>
      </c>
      <c r="R9" s="770" t="s">
        <v>17</v>
      </c>
      <c r="S9" s="771">
        <f t="shared" si="0"/>
        <v>100</v>
      </c>
      <c r="T9" s="770" t="s">
        <v>17</v>
      </c>
      <c r="U9" s="771">
        <f t="shared" si="1"/>
        <v>100</v>
      </c>
      <c r="V9" s="770" t="s">
        <v>17</v>
      </c>
      <c r="W9" s="771">
        <f t="shared" si="2"/>
        <v>100</v>
      </c>
      <c r="X9" s="772"/>
      <c r="Y9" s="3004" t="s">
        <v>2543</v>
      </c>
      <c r="Z9" s="55" t="str">
        <f t="shared" ref="Z9:Z14" si="7">Q9</f>
        <v>用途</v>
      </c>
      <c r="AA9" s="773">
        <f t="shared" si="3"/>
        <v>1</v>
      </c>
      <c r="AB9" s="773">
        <f t="shared" si="4"/>
        <v>1</v>
      </c>
      <c r="AC9" s="773">
        <f t="shared" si="5"/>
        <v>1</v>
      </c>
    </row>
    <row r="10" spans="1:29" s="427" customFormat="1" ht="27">
      <c r="A10" s="641"/>
      <c r="B10" s="642" t="s">
        <v>2544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8"/>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8"/>
      <c r="Q11" s="1798">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8"/>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8"/>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
      <c r="A14" s="401" t="s">
        <v>2546</v>
      </c>
      <c r="B14" s="629" t="s">
        <v>2696</v>
      </c>
      <c r="C14" s="2695">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6" t="s">
        <v>2547</v>
      </c>
      <c r="Q14" s="1813" t="str">
        <f t="shared" si="6"/>
        <v>交通便捷度</v>
      </c>
      <c r="R14" s="774" t="s">
        <v>17</v>
      </c>
      <c r="S14" s="775">
        <f t="shared" si="0"/>
        <v>100</v>
      </c>
      <c r="T14" s="774" t="s">
        <v>17</v>
      </c>
      <c r="U14" s="775">
        <f t="shared" si="1"/>
        <v>100</v>
      </c>
      <c r="V14" s="774" t="s">
        <v>17</v>
      </c>
      <c r="W14" s="775">
        <f t="shared" si="2"/>
        <v>100</v>
      </c>
      <c r="X14" s="1816"/>
      <c r="Y14" s="3196" t="s">
        <v>2547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7"/>
      <c r="Q15" s="1813"/>
      <c r="R15" s="774"/>
      <c r="S15" s="775"/>
      <c r="T15" s="774"/>
      <c r="U15" s="775"/>
      <c r="V15" s="774"/>
      <c r="W15" s="775"/>
      <c r="X15" s="1816"/>
      <c r="Y15" s="3197"/>
      <c r="Z15" s="1817"/>
      <c r="AA15" s="1814">
        <v>1</v>
      </c>
      <c r="AB15" s="1814">
        <v>1</v>
      </c>
      <c r="AC15" s="1814">
        <v>1</v>
      </c>
    </row>
    <row r="16" spans="1:29" ht="15">
      <c r="A16" s="404"/>
      <c r="B16" s="631" t="s">
        <v>2675</v>
      </c>
      <c r="C16" s="2609">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7"/>
      <c r="Q16" s="1813" t="str">
        <f>B16</f>
        <v>公共配套设施</v>
      </c>
      <c r="R16" s="774" t="s">
        <v>17</v>
      </c>
      <c r="S16" s="775">
        <f>F16</f>
        <v>100</v>
      </c>
      <c r="T16" s="774" t="s">
        <v>17</v>
      </c>
      <c r="U16" s="775">
        <f>H16</f>
        <v>100</v>
      </c>
      <c r="V16" s="774" t="s">
        <v>17</v>
      </c>
      <c r="W16" s="775">
        <f>J16</f>
        <v>100</v>
      </c>
      <c r="X16" s="1816"/>
      <c r="Y16" s="3197"/>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97"/>
      <c r="Q17" s="1813"/>
      <c r="R17" s="774"/>
      <c r="S17" s="775"/>
      <c r="T17" s="774"/>
      <c r="U17" s="775"/>
      <c r="V17" s="774"/>
      <c r="W17" s="775"/>
      <c r="X17" s="1816"/>
      <c r="Y17" s="3197"/>
      <c r="Z17" s="1817"/>
      <c r="AA17" s="1814">
        <v>1</v>
      </c>
      <c r="AB17" s="1814">
        <v>1</v>
      </c>
      <c r="AC17" s="1814">
        <v>1</v>
      </c>
    </row>
    <row r="18" spans="1:29" ht="15">
      <c r="A18" s="404"/>
      <c r="B18" s="633" t="s">
        <v>2676</v>
      </c>
      <c r="C18" s="2609">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7"/>
      <c r="Q18" s="1813" t="str">
        <f>B18</f>
        <v>基础设施水平</v>
      </c>
      <c r="R18" s="774" t="s">
        <v>17</v>
      </c>
      <c r="S18" s="775">
        <f>F18</f>
        <v>100</v>
      </c>
      <c r="T18" s="774" t="s">
        <v>17</v>
      </c>
      <c r="U18" s="775">
        <f>H18</f>
        <v>100</v>
      </c>
      <c r="V18" s="774" t="s">
        <v>17</v>
      </c>
      <c r="W18" s="775">
        <f>J18</f>
        <v>100</v>
      </c>
      <c r="X18" s="1816"/>
      <c r="Y18" s="3197"/>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97"/>
      <c r="Q19" s="1813"/>
      <c r="R19" s="774"/>
      <c r="S19" s="775"/>
      <c r="T19" s="774"/>
      <c r="U19" s="775"/>
      <c r="V19" s="774"/>
      <c r="W19" s="775"/>
      <c r="X19" s="1816"/>
      <c r="Y19" s="3197"/>
      <c r="Z19" s="1817"/>
      <c r="AA19" s="1814">
        <v>1</v>
      </c>
      <c r="AB19" s="1814">
        <v>1</v>
      </c>
      <c r="AC19" s="1814">
        <v>1</v>
      </c>
    </row>
    <row r="20" spans="1:29" ht="15">
      <c r="A20" s="404"/>
      <c r="B20" s="631" t="s">
        <v>2697</v>
      </c>
      <c r="C20" s="2609">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7"/>
      <c r="Q20" s="1813" t="str">
        <f>B20</f>
        <v>自然及人文环境</v>
      </c>
      <c r="R20" s="774" t="s">
        <v>17</v>
      </c>
      <c r="S20" s="775">
        <f>F20</f>
        <v>100</v>
      </c>
      <c r="T20" s="774" t="s">
        <v>17</v>
      </c>
      <c r="U20" s="775">
        <f>H20</f>
        <v>100</v>
      </c>
      <c r="V20" s="774" t="s">
        <v>17</v>
      </c>
      <c r="W20" s="775">
        <f>J20</f>
        <v>100</v>
      </c>
      <c r="X20" s="1816"/>
      <c r="Y20" s="319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7"/>
      <c r="Q21" s="1813"/>
      <c r="R21" s="774"/>
      <c r="S21" s="775"/>
      <c r="T21" s="774"/>
      <c r="U21" s="775"/>
      <c r="V21" s="774"/>
      <c r="W21" s="775"/>
      <c r="X21" s="1816"/>
      <c r="Y21" s="3197"/>
      <c r="Z21" s="1817"/>
      <c r="AA21" s="1814">
        <v>1</v>
      </c>
      <c r="AB21" s="1814">
        <v>1</v>
      </c>
      <c r="AC21" s="1814">
        <v>1</v>
      </c>
    </row>
    <row r="22" spans="1:29" ht="15">
      <c r="A22" s="404"/>
      <c r="B22" s="631" t="s">
        <v>2698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7"/>
      <c r="Q22" s="1813" t="str">
        <f>B22</f>
        <v>楼层</v>
      </c>
      <c r="R22" s="774" t="s">
        <v>17</v>
      </c>
      <c r="S22" s="775">
        <f>F22</f>
        <v>100</v>
      </c>
      <c r="T22" s="774" t="s">
        <v>17</v>
      </c>
      <c r="U22" s="775">
        <f>H22</f>
        <v>100</v>
      </c>
      <c r="V22" s="774" t="s">
        <v>17</v>
      </c>
      <c r="W22" s="775">
        <f>J22</f>
        <v>100</v>
      </c>
      <c r="X22" s="1816"/>
      <c r="Y22" s="319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7"/>
      <c r="Q23" s="1813">
        <f>B23</f>
        <v>111</v>
      </c>
      <c r="R23" s="774" t="s">
        <v>17</v>
      </c>
      <c r="S23" s="775">
        <f>F23</f>
        <v>100</v>
      </c>
      <c r="T23" s="774" t="s">
        <v>17</v>
      </c>
      <c r="U23" s="775">
        <f>H23</f>
        <v>100</v>
      </c>
      <c r="V23" s="774" t="s">
        <v>17</v>
      </c>
      <c r="W23" s="775">
        <f>J23</f>
        <v>100</v>
      </c>
      <c r="X23" s="1816"/>
      <c r="Y23" s="319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7"/>
      <c r="Q24" s="1813">
        <f t="shared" ref="Q24:Q36" si="11">B24</f>
        <v>111</v>
      </c>
      <c r="R24" s="774" t="s">
        <v>17</v>
      </c>
      <c r="S24" s="775">
        <f>F24</f>
        <v>100</v>
      </c>
      <c r="T24" s="774" t="s">
        <v>17</v>
      </c>
      <c r="U24" s="775">
        <f>H24</f>
        <v>100</v>
      </c>
      <c r="V24" s="774" t="s">
        <v>17</v>
      </c>
      <c r="W24" s="775">
        <f>J24</f>
        <v>100</v>
      </c>
      <c r="X24" s="1816"/>
      <c r="Y24" s="319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7"/>
      <c r="Q25" s="1798">
        <f t="shared" si="11"/>
        <v>111</v>
      </c>
      <c r="R25" s="770" t="s">
        <v>17</v>
      </c>
      <c r="S25" s="771">
        <f>F25</f>
        <v>100</v>
      </c>
      <c r="T25" s="770" t="s">
        <v>17</v>
      </c>
      <c r="U25" s="771">
        <f>H25</f>
        <v>100</v>
      </c>
      <c r="V25" s="770" t="s">
        <v>17</v>
      </c>
      <c r="W25" s="771">
        <f>J25</f>
        <v>100</v>
      </c>
      <c r="X25" s="772"/>
      <c r="Y25" s="3197"/>
      <c r="Z25" s="55">
        <f>Q25</f>
        <v>111</v>
      </c>
      <c r="AA25" s="1814">
        <f>D25/F25</f>
        <v>1</v>
      </c>
      <c r="AB25" s="1814">
        <f>D25/H25</f>
        <v>1</v>
      </c>
      <c r="AC25" s="1814">
        <f>D25/J25</f>
        <v>1</v>
      </c>
    </row>
    <row r="26" spans="1:29" ht="15">
      <c r="A26" s="652" t="s">
        <v>2550</v>
      </c>
      <c r="B26" s="70" t="s">
        <v>2699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3" t="s">
        <v>2552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8" t="s">
        <v>2552</v>
      </c>
      <c r="Z26" s="1817" t="str">
        <f t="shared" ref="Z26:Z36" si="15">Q26</f>
        <v>配套类型</v>
      </c>
      <c r="AA26" s="1814">
        <f t="shared" si="3"/>
        <v>1</v>
      </c>
      <c r="AB26" s="1814">
        <f t="shared" si="4"/>
        <v>1</v>
      </c>
      <c r="AC26" s="1814">
        <f t="shared" si="5"/>
        <v>1</v>
      </c>
    </row>
    <row r="27" spans="1:29" s="471" customFormat="1" ht="15">
      <c r="A27" s="653"/>
      <c r="B27" s="654" t="s">
        <v>2700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4">
        <f t="shared" si="3"/>
        <v>1</v>
      </c>
      <c r="AB27" s="1814">
        <f t="shared" si="4"/>
        <v>1</v>
      </c>
      <c r="AC27" s="1814">
        <f t="shared" si="5"/>
        <v>1</v>
      </c>
    </row>
    <row r="28" spans="1:29" ht="15">
      <c r="A28" s="656"/>
      <c r="B28" s="654" t="s">
        <v>2701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8"/>
      <c r="Q28" s="1813" t="str">
        <f t="shared" si="11"/>
        <v>公共部分装修</v>
      </c>
      <c r="R28" s="774" t="s">
        <v>17</v>
      </c>
      <c r="S28" s="775">
        <f t="shared" si="12"/>
        <v>100</v>
      </c>
      <c r="T28" s="774" t="s">
        <v>17</v>
      </c>
      <c r="U28" s="775">
        <f t="shared" si="13"/>
        <v>100</v>
      </c>
      <c r="V28" s="774" t="s">
        <v>17</v>
      </c>
      <c r="W28" s="775">
        <f t="shared" si="14"/>
        <v>100</v>
      </c>
      <c r="X28" s="1816"/>
      <c r="Y28" s="3198"/>
      <c r="Z28" s="1817" t="str">
        <f t="shared" si="15"/>
        <v>公共部分装修</v>
      </c>
      <c r="AA28" s="1814">
        <f t="shared" si="3"/>
        <v>1</v>
      </c>
      <c r="AB28" s="1814">
        <f t="shared" si="4"/>
        <v>1</v>
      </c>
      <c r="AC28" s="1814">
        <f t="shared" si="5"/>
        <v>1</v>
      </c>
    </row>
    <row r="29" spans="1:29" ht="15">
      <c r="A29" s="656"/>
      <c r="B29" s="654" t="s">
        <v>2702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8"/>
      <c r="Q29" s="1813" t="str">
        <f t="shared" si="11"/>
        <v>成新率</v>
      </c>
      <c r="R29" s="774" t="s">
        <v>17</v>
      </c>
      <c r="S29" s="775" t="e">
        <f t="shared" si="12"/>
        <v>#N/A</v>
      </c>
      <c r="T29" s="774" t="s">
        <v>17</v>
      </c>
      <c r="U29" s="775" t="e">
        <f t="shared" si="13"/>
        <v>#N/A</v>
      </c>
      <c r="V29" s="774" t="s">
        <v>17</v>
      </c>
      <c r="W29" s="775" t="e">
        <f t="shared" si="14"/>
        <v>#N/A</v>
      </c>
      <c r="X29" s="1816"/>
      <c r="Y29" s="3198"/>
      <c r="Z29" s="1817" t="str">
        <f t="shared" si="15"/>
        <v>成新率</v>
      </c>
      <c r="AA29" s="1814" t="e">
        <f t="shared" si="3"/>
        <v>#N/A</v>
      </c>
      <c r="AB29" s="1814" t="e">
        <f t="shared" si="4"/>
        <v>#N/A</v>
      </c>
      <c r="AC29" s="1814" t="e">
        <f t="shared" si="5"/>
        <v>#N/A</v>
      </c>
    </row>
    <row r="30" spans="1:29" ht="15">
      <c r="A30" s="656"/>
      <c r="B30" s="654" t="s">
        <v>2703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8"/>
      <c r="Q30" s="1813" t="str">
        <f t="shared" si="11"/>
        <v>物业等级</v>
      </c>
      <c r="R30" s="774" t="s">
        <v>17</v>
      </c>
      <c r="S30" s="775">
        <f t="shared" si="12"/>
        <v>100</v>
      </c>
      <c r="T30" s="774" t="s">
        <v>17</v>
      </c>
      <c r="U30" s="775">
        <f t="shared" si="13"/>
        <v>100</v>
      </c>
      <c r="V30" s="774" t="s">
        <v>17</v>
      </c>
      <c r="W30" s="775">
        <f t="shared" si="14"/>
        <v>100</v>
      </c>
      <c r="X30" s="1816"/>
      <c r="Y30" s="3198"/>
      <c r="Z30" s="1817" t="str">
        <f t="shared" si="15"/>
        <v>物业等级</v>
      </c>
      <c r="AA30" s="1814">
        <f t="shared" si="3"/>
        <v>1</v>
      </c>
      <c r="AB30" s="1814">
        <f t="shared" si="4"/>
        <v>1</v>
      </c>
      <c r="AC30" s="1814">
        <f t="shared" si="5"/>
        <v>1</v>
      </c>
    </row>
    <row r="31" spans="1:29" s="117" customFormat="1" ht="15">
      <c r="A31" s="658"/>
      <c r="B31" s="654" t="s">
        <v>2704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8"/>
      <c r="Q31" s="1798"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2705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8" t="s">
        <v>2552</v>
      </c>
      <c r="Q32" s="1813" t="str">
        <f t="shared" si="11"/>
        <v>车位类型</v>
      </c>
      <c r="R32" s="774" t="s">
        <v>17</v>
      </c>
      <c r="S32" s="775">
        <f t="shared" si="12"/>
        <v>100</v>
      </c>
      <c r="T32" s="774" t="s">
        <v>17</v>
      </c>
      <c r="U32" s="775">
        <f t="shared" si="13"/>
        <v>100</v>
      </c>
      <c r="V32" s="774" t="s">
        <v>17</v>
      </c>
      <c r="W32" s="775">
        <f t="shared" si="14"/>
        <v>100</v>
      </c>
      <c r="X32" s="1816"/>
      <c r="Y32" s="3198" t="s">
        <v>2552</v>
      </c>
      <c r="Z32" s="1817" t="str">
        <f t="shared" si="15"/>
        <v>车位类型</v>
      </c>
      <c r="AA32" s="1814">
        <f t="shared" si="3"/>
        <v>1</v>
      </c>
      <c r="AB32" s="1814">
        <f t="shared" si="4"/>
        <v>1</v>
      </c>
      <c r="AC32" s="1814">
        <f t="shared" si="5"/>
        <v>1</v>
      </c>
    </row>
    <row r="33" spans="1:29" ht="15">
      <c r="A33" s="656"/>
      <c r="B33" s="654" t="s">
        <v>2706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8"/>
      <c r="Q33" s="1813" t="str">
        <f t="shared" si="11"/>
        <v>是否直接入户</v>
      </c>
      <c r="R33" s="774" t="s">
        <v>17</v>
      </c>
      <c r="S33" s="775">
        <f t="shared" si="12"/>
        <v>100</v>
      </c>
      <c r="T33" s="774" t="s">
        <v>17</v>
      </c>
      <c r="U33" s="775">
        <f t="shared" si="13"/>
        <v>100</v>
      </c>
      <c r="V33" s="774" t="s">
        <v>17</v>
      </c>
      <c r="W33" s="775">
        <f t="shared" si="14"/>
        <v>100</v>
      </c>
      <c r="X33" s="1816"/>
      <c r="Y33" s="319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8"/>
      <c r="Q36" s="1813">
        <f t="shared" si="11"/>
        <v>111</v>
      </c>
      <c r="R36" s="774" t="s">
        <v>17</v>
      </c>
      <c r="S36" s="775">
        <f t="shared" si="12"/>
        <v>100</v>
      </c>
      <c r="T36" s="774" t="s">
        <v>17</v>
      </c>
      <c r="U36" s="775">
        <f t="shared" si="13"/>
        <v>100</v>
      </c>
      <c r="V36" s="774" t="s">
        <v>17</v>
      </c>
      <c r="W36" s="775">
        <f t="shared" si="14"/>
        <v>100</v>
      </c>
      <c r="X36" s="1816"/>
      <c r="Y36" s="3198"/>
      <c r="Z36" s="1817">
        <f t="shared" si="15"/>
        <v>111</v>
      </c>
      <c r="AA36" s="1814">
        <f t="shared" si="3"/>
        <v>1</v>
      </c>
      <c r="AB36" s="1814">
        <f t="shared" si="4"/>
        <v>1</v>
      </c>
      <c r="AC36" s="1814">
        <f t="shared" si="5"/>
        <v>1</v>
      </c>
    </row>
    <row r="37" spans="1:29" ht="15">
      <c r="A37" s="479" t="s">
        <v>2707</v>
      </c>
      <c r="B37" s="2697" t="s">
        <v>2708</v>
      </c>
      <c r="C37" s="1410" t="s">
        <v>1</v>
      </c>
      <c r="D37" s="1411"/>
      <c r="E37" s="1412"/>
      <c r="F37" s="1413"/>
      <c r="G37" s="1414"/>
      <c r="H37" s="1415"/>
      <c r="I37" s="1412"/>
      <c r="J37" s="1415"/>
      <c r="K37" s="619"/>
      <c r="L37" s="1146"/>
      <c r="M37" s="1147"/>
      <c r="N37" s="1134"/>
      <c r="O37" s="1147"/>
      <c r="P37" s="3178" t="str">
        <f>A37</f>
        <v>成交单价</v>
      </c>
      <c r="Q37" s="3178"/>
      <c r="R37" s="3240">
        <f>E37</f>
        <v>0</v>
      </c>
      <c r="S37" s="3240"/>
      <c r="T37" s="3240">
        <f>G37</f>
        <v>0</v>
      </c>
      <c r="U37" s="3240"/>
      <c r="V37" s="3240">
        <f>I37</f>
        <v>0</v>
      </c>
      <c r="W37" s="3240"/>
      <c r="X37" s="759"/>
      <c r="Y37" s="781"/>
      <c r="Z37" s="759"/>
      <c r="AA37" s="759"/>
      <c r="AB37" s="759"/>
      <c r="AC37" s="759"/>
    </row>
    <row r="38" spans="1:29" ht="15.75" thickBot="1">
      <c r="A38" s="486" t="s">
        <v>2709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8" t="str">
        <f>A38</f>
        <v>比较价值（元/平方米）</v>
      </c>
      <c r="Q38" s="3178"/>
      <c r="R38" s="3240" t="e">
        <f>IF(F1="售价",ROUND(PRODUCT(R37,AA7:AA36),0),ROUND(PRODUCT(R37,AA7:AA36),1))</f>
        <v>#DIV/0!</v>
      </c>
      <c r="S38" s="3240"/>
      <c r="T38" s="3240" t="e">
        <f>IF(F1="售价",ROUND(PRODUCT(T37,AB7:AB36),0),ROUND(PRODUCT(T37,AB7:AB36),1))</f>
        <v>#DIV/0!</v>
      </c>
      <c r="U38" s="3240"/>
      <c r="V38" s="3240" t="e">
        <f>IF(F1="售价",ROUND(PRODUCT(V37,AC7:AC36),0),ROUND(PRODUCT(V37,AC7:AC36),1))</f>
        <v>#DIV/0!</v>
      </c>
      <c r="W38" s="3240"/>
      <c r="X38" s="759"/>
      <c r="Y38" s="759"/>
      <c r="Z38" s="759"/>
      <c r="AA38" s="759"/>
      <c r="AB38" s="759"/>
      <c r="AC38" s="759"/>
    </row>
    <row r="39" spans="1:29" ht="15.75" thickBot="1">
      <c r="A39" s="492" t="s">
        <v>2710</v>
      </c>
      <c r="B39" s="493"/>
      <c r="C39" s="1420" t="e">
        <f>R39</f>
        <v>#DIV/0!</v>
      </c>
      <c r="D39" s="1420"/>
      <c r="E39" s="1420"/>
      <c r="F39" s="1420"/>
      <c r="G39" s="1420"/>
      <c r="H39" s="1420"/>
      <c r="I39" s="1420"/>
      <c r="J39" s="1420"/>
      <c r="K39" s="621"/>
      <c r="L39" s="1146"/>
      <c r="M39" s="1147"/>
      <c r="N39" s="1147"/>
      <c r="O39" s="1147"/>
      <c r="P39" s="3214" t="str">
        <f>A39</f>
        <v>估价对象XX用房的比较价值（楼面单价，元/平方米）</v>
      </c>
      <c r="Q39" s="3215"/>
      <c r="R39" s="3239" t="e">
        <f>IF(F1="售价",ROUND(AVERAGE(R38:V38),0),ROUND(AVERAGE(R38:V38),1))</f>
        <v>#DIV/0!</v>
      </c>
      <c r="S39" s="3239"/>
      <c r="T39" s="3239"/>
      <c r="U39" s="3239"/>
      <c r="V39" s="3239"/>
      <c r="W39" s="323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2715</v>
      </c>
      <c r="B48" s="506"/>
      <c r="C48" s="1577" t="str">
        <f>YEAR(C7)&amp;"-"&amp;MONTH(C7)</f>
        <v>2018-11</v>
      </c>
      <c r="D48" s="1578">
        <f>EDATE(C48,-1)</f>
        <v>43374</v>
      </c>
      <c r="E48" s="1578">
        <f t="shared" ref="E48:O48" si="16">EDATE(D48,-1)</f>
        <v>43344</v>
      </c>
      <c r="F48" s="1578">
        <f t="shared" si="16"/>
        <v>43313</v>
      </c>
      <c r="G48" s="1578">
        <f t="shared" si="16"/>
        <v>43282</v>
      </c>
      <c r="H48" s="1578">
        <f t="shared" si="16"/>
        <v>43252</v>
      </c>
      <c r="I48" s="1578">
        <f t="shared" si="16"/>
        <v>43221</v>
      </c>
      <c r="J48" s="1578">
        <f t="shared" si="16"/>
        <v>43191</v>
      </c>
      <c r="K48" s="1578">
        <f t="shared" si="16"/>
        <v>43160</v>
      </c>
      <c r="L48" s="1578">
        <f t="shared" si="16"/>
        <v>43132</v>
      </c>
      <c r="M48" s="1578">
        <f t="shared" si="16"/>
        <v>43101</v>
      </c>
      <c r="N48" s="1578">
        <f t="shared" si="16"/>
        <v>43070</v>
      </c>
      <c r="O48" s="1578">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2537</v>
      </c>
      <c r="B51" s="510"/>
      <c r="C51" s="522" t="s">
        <v>2639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2575</v>
      </c>
      <c r="B53" s="528" t="s">
        <v>2541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2544</v>
      </c>
      <c r="C55" s="539" t="s">
        <v>2576</v>
      </c>
      <c r="D55" s="539" t="s">
        <v>2577</v>
      </c>
      <c r="E55" s="539" t="s">
        <v>2578</v>
      </c>
      <c r="F55" s="539" t="s">
        <v>2579</v>
      </c>
      <c r="G55" s="539" t="s">
        <v>2580</v>
      </c>
      <c r="H55" s="539" t="s">
        <v>2581</v>
      </c>
      <c r="I55" s="539" t="s">
        <v>2582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2546</v>
      </c>
      <c r="B63" s="528" t="s">
        <v>2589</v>
      </c>
      <c r="C63" s="573" t="s">
        <v>2584</v>
      </c>
      <c r="D63" s="573" t="s">
        <v>2585</v>
      </c>
      <c r="E63" s="573" t="s">
        <v>2586</v>
      </c>
      <c r="F63" s="573" t="s">
        <v>2587</v>
      </c>
      <c r="G63" s="573" t="s">
        <v>2588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2590</v>
      </c>
      <c r="C65" s="578" t="s">
        <v>2584</v>
      </c>
      <c r="D65" s="578" t="s">
        <v>2585</v>
      </c>
      <c r="E65" s="578" t="s">
        <v>2586</v>
      </c>
      <c r="F65" s="578" t="s">
        <v>2587</v>
      </c>
      <c r="G65" s="578" t="s">
        <v>2588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2676</v>
      </c>
      <c r="C67" s="660" t="s">
        <v>2662</v>
      </c>
      <c r="D67" s="660" t="s">
        <v>2663</v>
      </c>
      <c r="E67" s="660" t="s">
        <v>2664</v>
      </c>
      <c r="F67" s="660" t="s">
        <v>2665</v>
      </c>
      <c r="G67" s="660" t="s">
        <v>2666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2596</v>
      </c>
      <c r="C69" s="578" t="s">
        <v>2584</v>
      </c>
      <c r="D69" s="578" t="s">
        <v>2585</v>
      </c>
      <c r="E69" s="578" t="s">
        <v>2586</v>
      </c>
      <c r="F69" s="578" t="s">
        <v>2587</v>
      </c>
      <c r="G69" s="578" t="s">
        <v>2588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2550</v>
      </c>
      <c r="B79" s="528" t="s">
        <v>2717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2719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49" sqref="B49"/>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2694</v>
      </c>
      <c r="B1" s="1622"/>
      <c r="C1" s="1623" t="s">
        <v>2517</v>
      </c>
      <c r="D1" s="1624"/>
      <c r="E1" s="1633"/>
      <c r="F1" s="2586"/>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IF(C2="——",ROUND(C37*D3/10000,0),ROUND(C37*D3/10000,0)-D2)</f>
        <v>#DIV/0!</v>
      </c>
      <c r="C2" s="2588"/>
      <c r="D2" s="1127" t="e">
        <f ca="1">SUMIF(INDIRECT("'"&amp;F2&amp;"'"&amp;"!A:A"),"承租人权益价值",INDIRECT("'"&amp;F2&amp;"'"&amp;"!c:c"))</f>
        <v>#REF!</v>
      </c>
      <c r="E2" s="2589" t="s">
        <v>2316</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175" t="s">
        <v>2633</v>
      </c>
      <c r="D4" s="3202"/>
      <c r="E4" s="3203" t="s">
        <v>2634</v>
      </c>
      <c r="F4" s="3204"/>
      <c r="G4" s="3175" t="s">
        <v>2635</v>
      </c>
      <c r="H4" s="3202"/>
      <c r="I4" s="3175" t="s">
        <v>2636</v>
      </c>
      <c r="J4" s="3202"/>
      <c r="K4" s="610" t="s">
        <v>2637</v>
      </c>
      <c r="L4" s="1133"/>
      <c r="M4" s="1134"/>
      <c r="N4" s="1134"/>
      <c r="O4" s="1134"/>
      <c r="P4" s="3205" t="s">
        <v>2638</v>
      </c>
      <c r="Q4" s="3206"/>
      <c r="R4" s="3182" t="s">
        <v>2634</v>
      </c>
      <c r="S4" s="3183"/>
      <c r="T4" s="3182" t="s">
        <v>2635</v>
      </c>
      <c r="U4" s="3183"/>
      <c r="V4" s="3195" t="s">
        <v>2636</v>
      </c>
      <c r="W4" s="3195"/>
      <c r="X4" s="1816"/>
      <c r="Y4" s="3182" t="s">
        <v>2638</v>
      </c>
      <c r="Z4" s="3183"/>
      <c r="AA4" s="3199" t="s">
        <v>2634</v>
      </c>
      <c r="AB4" s="3200" t="s">
        <v>2635</v>
      </c>
      <c r="AC4" s="3199" t="s">
        <v>2636</v>
      </c>
    </row>
    <row r="5" spans="1:29" ht="15">
      <c r="A5" s="404"/>
      <c r="B5" s="405"/>
      <c r="C5" s="3186" t="s">
        <v>2529</v>
      </c>
      <c r="D5" s="3187"/>
      <c r="E5" s="3211" t="s">
        <v>2530</v>
      </c>
      <c r="F5" s="3212"/>
      <c r="G5" s="3186" t="s">
        <v>2531</v>
      </c>
      <c r="H5" s="3187"/>
      <c r="I5" s="3186" t="s">
        <v>2532</v>
      </c>
      <c r="J5" s="3187"/>
      <c r="K5" s="610"/>
      <c r="L5" s="1133"/>
      <c r="M5" s="1134"/>
      <c r="N5" s="1134"/>
      <c r="O5" s="1134"/>
      <c r="P5" s="3207"/>
      <c r="Q5" s="3208"/>
      <c r="R5" s="3184"/>
      <c r="S5" s="3185"/>
      <c r="T5" s="3184"/>
      <c r="U5" s="3185"/>
      <c r="V5" s="3195"/>
      <c r="W5" s="3195"/>
      <c r="X5" s="1816"/>
      <c r="Y5" s="3184"/>
      <c r="Z5" s="3185"/>
      <c r="AA5" s="3200"/>
      <c r="AB5" s="3200"/>
      <c r="AC5" s="3200"/>
    </row>
    <row r="6" spans="1:29" ht="15.75" thickBot="1">
      <c r="A6" s="406"/>
      <c r="B6" s="407"/>
      <c r="C6" s="3247" t="s">
        <v>2533</v>
      </c>
      <c r="D6" s="3248"/>
      <c r="E6" s="3249" t="s">
        <v>2533</v>
      </c>
      <c r="F6" s="3250"/>
      <c r="G6" s="3247" t="s">
        <v>2533</v>
      </c>
      <c r="H6" s="3248"/>
      <c r="I6" s="3247" t="s">
        <v>2533</v>
      </c>
      <c r="J6" s="3248"/>
      <c r="K6" s="610" t="s">
        <v>2534</v>
      </c>
      <c r="L6" s="1133"/>
      <c r="M6" s="1134"/>
      <c r="N6" s="1134"/>
      <c r="O6" s="1134"/>
      <c r="P6" s="3209"/>
      <c r="Q6" s="3210"/>
      <c r="R6" s="3184"/>
      <c r="S6" s="3185"/>
      <c r="T6" s="3193"/>
      <c r="U6" s="3194"/>
      <c r="V6" s="3195"/>
      <c r="W6" s="3195"/>
      <c r="X6" s="1816"/>
      <c r="Y6" s="3193"/>
      <c r="Z6" s="3194"/>
      <c r="AA6" s="3201"/>
      <c r="AB6" s="3201"/>
      <c r="AC6" s="3201"/>
    </row>
    <row r="7" spans="1:29" s="117" customFormat="1" ht="15.75" thickBot="1">
      <c r="A7" s="408" t="s">
        <v>2535</v>
      </c>
      <c r="B7" s="409"/>
      <c r="C7" s="410">
        <f>'数据-取费表'!B2</f>
        <v>43430</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80" t="s">
        <v>2536</v>
      </c>
      <c r="Q7" s="3192"/>
      <c r="R7" s="770" t="s">
        <v>17</v>
      </c>
      <c r="S7" s="771">
        <f t="shared" ref="S7:S14" si="0">F7</f>
        <v>0</v>
      </c>
      <c r="T7" s="770" t="s">
        <v>17</v>
      </c>
      <c r="U7" s="771">
        <f t="shared" ref="U7:U14" si="1">H7</f>
        <v>0</v>
      </c>
      <c r="V7" s="770" t="s">
        <v>17</v>
      </c>
      <c r="W7" s="771">
        <f t="shared" ref="W7:W14" si="2">J7</f>
        <v>0</v>
      </c>
      <c r="X7" s="772"/>
      <c r="Y7" s="3180" t="s">
        <v>2536</v>
      </c>
      <c r="Z7" s="3181"/>
      <c r="AA7" s="773" t="e">
        <f>D7/F7</f>
        <v>#DIV/0!</v>
      </c>
      <c r="AB7" s="773" t="e">
        <f>D7/H7</f>
        <v>#DIV/0!</v>
      </c>
      <c r="AC7" s="773" t="e">
        <f>D7/J7</f>
        <v>#DIV/0!</v>
      </c>
    </row>
    <row r="8" spans="1:29" s="117" customFormat="1" ht="15.75" thickBot="1">
      <c r="A8" s="408" t="s">
        <v>2537</v>
      </c>
      <c r="B8" s="409"/>
      <c r="C8" s="414" t="s">
        <v>2639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0" t="s">
        <v>2539</v>
      </c>
      <c r="Q8" s="3181"/>
      <c r="R8" s="770" t="s">
        <v>17</v>
      </c>
      <c r="S8" s="771">
        <f t="shared" si="0"/>
        <v>0</v>
      </c>
      <c r="T8" s="770" t="s">
        <v>17</v>
      </c>
      <c r="U8" s="771">
        <f t="shared" si="1"/>
        <v>0</v>
      </c>
      <c r="V8" s="770" t="s">
        <v>17</v>
      </c>
      <c r="W8" s="771">
        <f t="shared" si="2"/>
        <v>0</v>
      </c>
      <c r="X8" s="772"/>
      <c r="Y8" s="3180" t="s">
        <v>2539</v>
      </c>
      <c r="Z8" s="3181"/>
      <c r="AA8" s="773" t="e">
        <f t="shared" ref="AA8:AA34" si="3">D8/F8</f>
        <v>#DIV/0!</v>
      </c>
      <c r="AB8" s="773" t="e">
        <f t="shared" ref="AB8:AB34" si="4">D8/H8</f>
        <v>#DIV/0!</v>
      </c>
      <c r="AC8" s="773" t="e">
        <f t="shared" ref="AC8:AC34" si="5">D8/J8</f>
        <v>#DIV/0!</v>
      </c>
    </row>
    <row r="9" spans="1:29" s="117" customFormat="1">
      <c r="A9" s="415" t="s">
        <v>2540</v>
      </c>
      <c r="B9" s="71" t="s">
        <v>2541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8" t="s">
        <v>2542</v>
      </c>
      <c r="Q9" s="1798" t="str">
        <f t="shared" ref="Q9:Q14" si="6">B9</f>
        <v>用途</v>
      </c>
      <c r="R9" s="770" t="s">
        <v>17</v>
      </c>
      <c r="S9" s="771">
        <f t="shared" si="0"/>
        <v>100</v>
      </c>
      <c r="T9" s="770" t="s">
        <v>17</v>
      </c>
      <c r="U9" s="771">
        <f t="shared" si="1"/>
        <v>100</v>
      </c>
      <c r="V9" s="770" t="s">
        <v>17</v>
      </c>
      <c r="W9" s="771">
        <f t="shared" si="2"/>
        <v>100</v>
      </c>
      <c r="X9" s="772"/>
      <c r="Y9" s="3004" t="s">
        <v>2543</v>
      </c>
      <c r="Z9" s="55" t="str">
        <f t="shared" ref="Z9:Z14" si="7">Q9</f>
        <v>用途</v>
      </c>
      <c r="AA9" s="773">
        <f t="shared" si="3"/>
        <v>1</v>
      </c>
      <c r="AB9" s="773">
        <f t="shared" si="4"/>
        <v>1</v>
      </c>
      <c r="AC9" s="773">
        <f t="shared" si="5"/>
        <v>1</v>
      </c>
    </row>
    <row r="10" spans="1:29" s="427" customFormat="1" ht="27">
      <c r="A10" s="421"/>
      <c r="B10" s="422" t="s">
        <v>2544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8"/>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8"/>
      <c r="Q11" s="1798">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8"/>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78"/>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
      <c r="A14" s="440" t="s">
        <v>2546</v>
      </c>
      <c r="B14" s="69" t="s">
        <v>2696</v>
      </c>
      <c r="C14" s="2695">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6" t="s">
        <v>2547</v>
      </c>
      <c r="Q14" s="1813" t="str">
        <f t="shared" si="6"/>
        <v>交通便捷度</v>
      </c>
      <c r="R14" s="774" t="s">
        <v>17</v>
      </c>
      <c r="S14" s="775">
        <f t="shared" si="0"/>
        <v>100</v>
      </c>
      <c r="T14" s="774" t="s">
        <v>17</v>
      </c>
      <c r="U14" s="775">
        <f t="shared" si="1"/>
        <v>100</v>
      </c>
      <c r="V14" s="774" t="s">
        <v>17</v>
      </c>
      <c r="W14" s="775">
        <f t="shared" si="2"/>
        <v>100</v>
      </c>
      <c r="X14" s="1816"/>
      <c r="Y14" s="3196" t="s">
        <v>2547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7"/>
      <c r="Q15" s="1813"/>
      <c r="R15" s="774"/>
      <c r="S15" s="775"/>
      <c r="T15" s="774"/>
      <c r="U15" s="775"/>
      <c r="V15" s="774"/>
      <c r="W15" s="775"/>
      <c r="X15" s="1816"/>
      <c r="Y15" s="3197"/>
      <c r="Z15" s="1817"/>
      <c r="AA15" s="1814">
        <v>1</v>
      </c>
      <c r="AB15" s="1814">
        <v>1</v>
      </c>
      <c r="AC15" s="1814">
        <v>1</v>
      </c>
    </row>
    <row r="16" spans="1:29" ht="15">
      <c r="A16" s="428"/>
      <c r="B16" s="451" t="s">
        <v>2675</v>
      </c>
      <c r="C16" s="2609">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7"/>
      <c r="Q16" s="1813" t="str">
        <f>B16</f>
        <v>公共配套设施</v>
      </c>
      <c r="R16" s="774" t="s">
        <v>17</v>
      </c>
      <c r="S16" s="775">
        <f>F16</f>
        <v>100</v>
      </c>
      <c r="T16" s="774" t="s">
        <v>17</v>
      </c>
      <c r="U16" s="775">
        <f>H16</f>
        <v>100</v>
      </c>
      <c r="V16" s="774" t="s">
        <v>17</v>
      </c>
      <c r="W16" s="775">
        <f>J16</f>
        <v>100</v>
      </c>
      <c r="X16" s="1816"/>
      <c r="Y16" s="3197"/>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97"/>
      <c r="Q17" s="1813"/>
      <c r="R17" s="774"/>
      <c r="S17" s="775"/>
      <c r="T17" s="774"/>
      <c r="U17" s="775"/>
      <c r="V17" s="774"/>
      <c r="W17" s="775"/>
      <c r="X17" s="1816"/>
      <c r="Y17" s="3197"/>
      <c r="Z17" s="1817"/>
      <c r="AA17" s="1814">
        <v>1</v>
      </c>
      <c r="AB17" s="1814">
        <v>1</v>
      </c>
      <c r="AC17" s="1814">
        <v>1</v>
      </c>
    </row>
    <row r="18" spans="1:29" ht="15">
      <c r="A18" s="428"/>
      <c r="B18" s="1387" t="s">
        <v>2676</v>
      </c>
      <c r="C18" s="2609">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7"/>
      <c r="Q18" s="1813" t="str">
        <f>B18</f>
        <v>基础设施水平</v>
      </c>
      <c r="R18" s="774" t="s">
        <v>17</v>
      </c>
      <c r="S18" s="775">
        <f>F18</f>
        <v>100</v>
      </c>
      <c r="T18" s="774" t="s">
        <v>17</v>
      </c>
      <c r="U18" s="775">
        <f>H18</f>
        <v>100</v>
      </c>
      <c r="V18" s="774" t="s">
        <v>17</v>
      </c>
      <c r="W18" s="775">
        <f>J18</f>
        <v>100</v>
      </c>
      <c r="X18" s="1816"/>
      <c r="Y18" s="3197"/>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97"/>
      <c r="Q19" s="1813"/>
      <c r="R19" s="774"/>
      <c r="S19" s="775"/>
      <c r="T19" s="774"/>
      <c r="U19" s="775"/>
      <c r="V19" s="774"/>
      <c r="W19" s="775"/>
      <c r="X19" s="1816"/>
      <c r="Y19" s="3197"/>
      <c r="Z19" s="1817"/>
      <c r="AA19" s="1814">
        <v>1</v>
      </c>
      <c r="AB19" s="1814">
        <v>1</v>
      </c>
      <c r="AC19" s="1814">
        <v>1</v>
      </c>
    </row>
    <row r="20" spans="1:29" ht="15">
      <c r="A20" s="428"/>
      <c r="B20" s="451" t="s">
        <v>2697</v>
      </c>
      <c r="C20" s="2609">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7"/>
      <c r="Q20" s="1813" t="str">
        <f>B20</f>
        <v>自然及人文环境</v>
      </c>
      <c r="R20" s="774" t="s">
        <v>17</v>
      </c>
      <c r="S20" s="775">
        <f>F20</f>
        <v>100</v>
      </c>
      <c r="T20" s="774" t="s">
        <v>17</v>
      </c>
      <c r="U20" s="775">
        <f>H20</f>
        <v>100</v>
      </c>
      <c r="V20" s="774" t="s">
        <v>17</v>
      </c>
      <c r="W20" s="775">
        <f>J20</f>
        <v>100</v>
      </c>
      <c r="X20" s="1816"/>
      <c r="Y20" s="319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7"/>
      <c r="Q21" s="1813"/>
      <c r="R21" s="774"/>
      <c r="S21" s="775"/>
      <c r="T21" s="774"/>
      <c r="U21" s="775"/>
      <c r="V21" s="774"/>
      <c r="W21" s="775"/>
      <c r="X21" s="1816"/>
      <c r="Y21" s="3197"/>
      <c r="Z21" s="1817"/>
      <c r="AA21" s="1814">
        <v>1</v>
      </c>
      <c r="AB21" s="1814">
        <v>1</v>
      </c>
      <c r="AC21" s="1814">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7"/>
      <c r="Q22" s="1813" t="str">
        <f>B22</f>
        <v>楼层</v>
      </c>
      <c r="R22" s="774" t="s">
        <v>17</v>
      </c>
      <c r="S22" s="775">
        <f>F22</f>
        <v>100</v>
      </c>
      <c r="T22" s="774" t="s">
        <v>17</v>
      </c>
      <c r="U22" s="775">
        <f>H22</f>
        <v>100</v>
      </c>
      <c r="V22" s="774" t="s">
        <v>17</v>
      </c>
      <c r="W22" s="775">
        <f>J22</f>
        <v>100</v>
      </c>
      <c r="X22" s="1816"/>
      <c r="Y22" s="3197"/>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7"/>
      <c r="Q23" s="1813">
        <f>B23</f>
        <v>111</v>
      </c>
      <c r="R23" s="774" t="s">
        <v>17</v>
      </c>
      <c r="S23" s="775">
        <f>F23</f>
        <v>100</v>
      </c>
      <c r="T23" s="774" t="s">
        <v>17</v>
      </c>
      <c r="U23" s="775">
        <f>H23</f>
        <v>100</v>
      </c>
      <c r="V23" s="774" t="s">
        <v>17</v>
      </c>
      <c r="W23" s="775">
        <f>J23</f>
        <v>100</v>
      </c>
      <c r="X23" s="1816"/>
      <c r="Y23" s="3197"/>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7"/>
      <c r="Q24" s="1813">
        <f t="shared" ref="Q24:Q34" si="11">B24</f>
        <v>111</v>
      </c>
      <c r="R24" s="774" t="s">
        <v>17</v>
      </c>
      <c r="S24" s="775">
        <f>F24</f>
        <v>100</v>
      </c>
      <c r="T24" s="774" t="s">
        <v>17</v>
      </c>
      <c r="U24" s="775">
        <f>H24</f>
        <v>100</v>
      </c>
      <c r="V24" s="774" t="s">
        <v>17</v>
      </c>
      <c r="W24" s="775">
        <f>J24</f>
        <v>100</v>
      </c>
      <c r="X24" s="1816"/>
      <c r="Y24" s="3197"/>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97"/>
      <c r="Q25" s="1798">
        <f t="shared" si="11"/>
        <v>111</v>
      </c>
      <c r="R25" s="770" t="s">
        <v>17</v>
      </c>
      <c r="S25" s="771">
        <f>F25</f>
        <v>100</v>
      </c>
      <c r="T25" s="770" t="s">
        <v>17</v>
      </c>
      <c r="U25" s="771">
        <f>H25</f>
        <v>100</v>
      </c>
      <c r="V25" s="770" t="s">
        <v>17</v>
      </c>
      <c r="W25" s="771">
        <f>J25</f>
        <v>100</v>
      </c>
      <c r="X25" s="772"/>
      <c r="Y25" s="3197"/>
      <c r="Z25" s="55">
        <f>Q25</f>
        <v>111</v>
      </c>
      <c r="AA25" s="1814">
        <f>D25/F25</f>
        <v>1</v>
      </c>
      <c r="AB25" s="1814">
        <f>D25/H25</f>
        <v>1</v>
      </c>
      <c r="AC25" s="1814">
        <f>D25/J25</f>
        <v>1</v>
      </c>
    </row>
    <row r="26" spans="1:29" ht="15">
      <c r="A26" s="466" t="s">
        <v>2550</v>
      </c>
      <c r="B26" s="71" t="s">
        <v>2701</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13" t="s">
        <v>2552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8" t="s">
        <v>2552</v>
      </c>
      <c r="Z26" s="1817" t="str">
        <f t="shared" ref="Z26:Z34" si="15">Q26</f>
        <v>公共部分装修</v>
      </c>
      <c r="AA26" s="1814">
        <f t="shared" si="3"/>
        <v>1</v>
      </c>
      <c r="AB26" s="1814">
        <f t="shared" si="4"/>
        <v>1</v>
      </c>
      <c r="AC26" s="1814">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4" t="e">
        <f t="shared" si="3"/>
        <v>#N/A</v>
      </c>
      <c r="AB27" s="1814" t="e">
        <f t="shared" si="4"/>
        <v>#N/A</v>
      </c>
      <c r="AC27" s="1814"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8"/>
      <c r="Q28" s="1813" t="str">
        <f t="shared" si="11"/>
        <v>物业等级</v>
      </c>
      <c r="R28" s="774" t="s">
        <v>17</v>
      </c>
      <c r="S28" s="775">
        <f t="shared" si="12"/>
        <v>100</v>
      </c>
      <c r="T28" s="774" t="s">
        <v>17</v>
      </c>
      <c r="U28" s="775">
        <f t="shared" si="13"/>
        <v>100</v>
      </c>
      <c r="V28" s="774" t="s">
        <v>17</v>
      </c>
      <c r="W28" s="775">
        <f t="shared" si="14"/>
        <v>100</v>
      </c>
      <c r="X28" s="1816"/>
      <c r="Y28" s="3198"/>
      <c r="Z28" s="1817" t="str">
        <f t="shared" si="15"/>
        <v>物业等级</v>
      </c>
      <c r="AA28" s="1814">
        <f t="shared" si="3"/>
        <v>1</v>
      </c>
      <c r="AB28" s="1814">
        <f t="shared" si="4"/>
        <v>1</v>
      </c>
      <c r="AC28" s="1814">
        <f t="shared" si="5"/>
        <v>1</v>
      </c>
    </row>
    <row r="29" spans="1:29" ht="15">
      <c r="A29" s="472"/>
      <c r="B29" s="422" t="s">
        <v>2724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8"/>
      <c r="Q29" s="1813" t="str">
        <f t="shared" si="11"/>
        <v>有无电梯</v>
      </c>
      <c r="R29" s="774" t="s">
        <v>17</v>
      </c>
      <c r="S29" s="775">
        <f t="shared" si="12"/>
        <v>100</v>
      </c>
      <c r="T29" s="774" t="s">
        <v>17</v>
      </c>
      <c r="U29" s="775">
        <f t="shared" si="13"/>
        <v>100</v>
      </c>
      <c r="V29" s="774" t="s">
        <v>17</v>
      </c>
      <c r="W29" s="775">
        <f t="shared" si="14"/>
        <v>100</v>
      </c>
      <c r="X29" s="1816"/>
      <c r="Y29" s="3198"/>
      <c r="Z29" s="1817" t="str">
        <f t="shared" si="15"/>
        <v>有无电梯</v>
      </c>
      <c r="AA29" s="1814">
        <f t="shared" si="3"/>
        <v>1</v>
      </c>
      <c r="AB29" s="1814">
        <f t="shared" si="4"/>
        <v>1</v>
      </c>
      <c r="AC29" s="1814">
        <f t="shared" si="5"/>
        <v>1</v>
      </c>
    </row>
    <row r="30" spans="1:29" ht="15">
      <c r="A30" s="472"/>
      <c r="B30" s="422" t="s">
        <v>2725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8"/>
      <c r="Q30" s="1813" t="str">
        <f t="shared" si="11"/>
        <v>建筑面积</v>
      </c>
      <c r="R30" s="774" t="s">
        <v>17</v>
      </c>
      <c r="S30" s="775" t="e">
        <f t="shared" si="12"/>
        <v>#N/A</v>
      </c>
      <c r="T30" s="774" t="s">
        <v>17</v>
      </c>
      <c r="U30" s="775" t="e">
        <f t="shared" si="13"/>
        <v>#N/A</v>
      </c>
      <c r="V30" s="774" t="s">
        <v>17</v>
      </c>
      <c r="W30" s="775" t="e">
        <f t="shared" si="14"/>
        <v>#N/A</v>
      </c>
      <c r="X30" s="1816"/>
      <c r="Y30" s="3198"/>
      <c r="Z30" s="1817" t="str">
        <f t="shared" si="15"/>
        <v>建筑面积</v>
      </c>
      <c r="AA30" s="1814" t="e">
        <f t="shared" si="3"/>
        <v>#N/A</v>
      </c>
      <c r="AB30" s="1814" t="e">
        <f t="shared" si="4"/>
        <v>#N/A</v>
      </c>
      <c r="AC30" s="1814" t="e">
        <f t="shared" si="5"/>
        <v>#N/A</v>
      </c>
    </row>
    <row r="31" spans="1:29" s="117" customFormat="1" ht="15">
      <c r="A31" s="473"/>
      <c r="B31" s="422" t="s">
        <v>2726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8"/>
      <c r="Q31" s="1798"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8" t="s">
        <v>2552</v>
      </c>
      <c r="Q32" s="1813">
        <f t="shared" si="11"/>
        <v>111</v>
      </c>
      <c r="R32" s="774" t="s">
        <v>17</v>
      </c>
      <c r="S32" s="775">
        <f t="shared" si="12"/>
        <v>100</v>
      </c>
      <c r="T32" s="774" t="s">
        <v>17</v>
      </c>
      <c r="U32" s="775">
        <f t="shared" si="13"/>
        <v>100</v>
      </c>
      <c r="V32" s="774" t="s">
        <v>17</v>
      </c>
      <c r="W32" s="775">
        <f t="shared" si="14"/>
        <v>100</v>
      </c>
      <c r="X32" s="1816"/>
      <c r="Y32" s="3198" t="s">
        <v>2552</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8"/>
      <c r="Q33" s="1813">
        <f t="shared" si="11"/>
        <v>111</v>
      </c>
      <c r="R33" s="774" t="s">
        <v>17</v>
      </c>
      <c r="S33" s="775">
        <f t="shared" si="12"/>
        <v>100</v>
      </c>
      <c r="T33" s="774" t="s">
        <v>17</v>
      </c>
      <c r="U33" s="775">
        <f t="shared" si="13"/>
        <v>100</v>
      </c>
      <c r="V33" s="774" t="s">
        <v>17</v>
      </c>
      <c r="W33" s="775">
        <f t="shared" si="14"/>
        <v>100</v>
      </c>
      <c r="X33" s="1816"/>
      <c r="Y33" s="3198"/>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ht="15">
      <c r="A35" s="479" t="s">
        <v>2564</v>
      </c>
      <c r="B35" s="480"/>
      <c r="C35" s="1410" t="s">
        <v>1</v>
      </c>
      <c r="D35" s="1411"/>
      <c r="E35" s="1412"/>
      <c r="F35" s="1413"/>
      <c r="G35" s="1414"/>
      <c r="H35" s="1415"/>
      <c r="I35" s="1412"/>
      <c r="J35" s="1415"/>
      <c r="K35" s="783"/>
      <c r="L35" s="1146"/>
      <c r="M35" s="1147"/>
      <c r="N35" s="1134"/>
      <c r="O35" s="1147"/>
      <c r="P35" s="3178" t="str">
        <f>A35</f>
        <v>成交单价（元/平方米）</v>
      </c>
      <c r="Q35" s="3178"/>
      <c r="R35" s="3240">
        <f>E35</f>
        <v>0</v>
      </c>
      <c r="S35" s="3240"/>
      <c r="T35" s="3240">
        <f>G35</f>
        <v>0</v>
      </c>
      <c r="U35" s="3240"/>
      <c r="V35" s="3240">
        <f>I35</f>
        <v>0</v>
      </c>
      <c r="W35" s="3240"/>
      <c r="X35" s="759"/>
      <c r="Y35" s="781"/>
      <c r="Z35" s="759"/>
      <c r="AA35" s="759"/>
      <c r="AB35" s="759"/>
      <c r="AC35" s="759"/>
    </row>
    <row r="36" spans="1:29" ht="15.75" thickBot="1">
      <c r="A36" s="486" t="s">
        <v>2656</v>
      </c>
      <c r="B36" s="487"/>
      <c r="C36" s="1416" t="e">
        <f>R37</f>
        <v>#DIV/0!</v>
      </c>
      <c r="D36" s="1417"/>
      <c r="E36" s="1418" t="e">
        <f>R36</f>
        <v>#DIV/0!</v>
      </c>
      <c r="F36" s="1418"/>
      <c r="G36" s="1416" t="e">
        <f>T36</f>
        <v>#DIV/0!</v>
      </c>
      <c r="H36" s="1417"/>
      <c r="I36" s="1418" t="e">
        <f>V36</f>
        <v>#DIV/0!</v>
      </c>
      <c r="J36" s="1417"/>
      <c r="K36" s="784"/>
      <c r="L36" s="1146"/>
      <c r="M36" s="1147"/>
      <c r="N36" s="1134"/>
      <c r="O36" s="1147"/>
      <c r="P36" s="3178" t="str">
        <f>A36</f>
        <v>比较价值（元/平方米）</v>
      </c>
      <c r="Q36" s="3178"/>
      <c r="R36" s="3240" t="e">
        <f>IF(F1="售价",ROUND(PRODUCT(R35,AA7:AA34),0),ROUND(PRODUCT(R35,AA7:AA34),1))</f>
        <v>#DIV/0!</v>
      </c>
      <c r="S36" s="3240"/>
      <c r="T36" s="3240" t="e">
        <f>IF(F1="售价",ROUND(PRODUCT(T35,AB7:AB34),0),ROUND(PRODUCT(T35,AB7:AB34),1))</f>
        <v>#DIV/0!</v>
      </c>
      <c r="U36" s="3240"/>
      <c r="V36" s="3240" t="e">
        <f>IF(F1="售价",ROUND(PRODUCT(V35,AC7:AC34),0),ROUND(PRODUCT(V35,AC7:AC34),1))</f>
        <v>#DIV/0!</v>
      </c>
      <c r="W36" s="3240"/>
      <c r="X36" s="759"/>
      <c r="Y36" s="759"/>
      <c r="Z36" s="759"/>
      <c r="AA36" s="759"/>
      <c r="AB36" s="759"/>
      <c r="AC36" s="759"/>
    </row>
    <row r="37" spans="1:29" ht="15.75" thickBot="1">
      <c r="A37" s="492" t="s">
        <v>2657</v>
      </c>
      <c r="B37" s="493"/>
      <c r="C37" s="1420" t="e">
        <f>R37</f>
        <v>#DIV/0!</v>
      </c>
      <c r="D37" s="1420"/>
      <c r="E37" s="1420"/>
      <c r="F37" s="1420"/>
      <c r="G37" s="1420"/>
      <c r="H37" s="1420"/>
      <c r="I37" s="1420"/>
      <c r="J37" s="1420"/>
      <c r="K37" s="785"/>
      <c r="L37" s="1146"/>
      <c r="M37" s="1147"/>
      <c r="N37" s="1147"/>
      <c r="O37" s="1147"/>
      <c r="P37" s="3214" t="str">
        <f>A37</f>
        <v>估价对象XX用房的比较价值（楼面单价，元/平方米）</v>
      </c>
      <c r="Q37" s="3215"/>
      <c r="R37" s="3239" t="e">
        <f>IF(F1="售价",ROUND(AVERAGE(R36:V36),0),ROUND(AVERAGE(R36:V36),1))</f>
        <v>#DIV/0!</v>
      </c>
      <c r="S37" s="3239"/>
      <c r="T37" s="3239"/>
      <c r="U37" s="3239"/>
      <c r="V37" s="3239"/>
      <c r="W37" s="323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2661</v>
      </c>
      <c r="B45" s="759"/>
      <c r="C45" s="764"/>
      <c r="D45" s="764"/>
      <c r="E45" s="764"/>
      <c r="F45" s="765"/>
      <c r="G45" s="765"/>
      <c r="H45" s="764"/>
      <c r="I45" s="764"/>
      <c r="J45" s="764"/>
      <c r="K45" s="766"/>
      <c r="L45" s="767"/>
      <c r="M45" s="764"/>
      <c r="N45" s="764"/>
      <c r="O45" s="764"/>
      <c r="P45" s="503"/>
      <c r="Q45" s="504"/>
    </row>
    <row r="46" spans="1:29" s="508" customFormat="1" ht="15">
      <c r="A46" s="505" t="s">
        <v>2535</v>
      </c>
      <c r="B46" s="506"/>
      <c r="C46" s="1577" t="str">
        <f>YEAR(C7)&amp;"-"&amp;MONTH(C7)</f>
        <v>2018-11</v>
      </c>
      <c r="D46" s="1578">
        <f>EDATE(C46,-1)</f>
        <v>43374</v>
      </c>
      <c r="E46" s="1578">
        <f t="shared" ref="E46:O46" si="16">EDATE(D46,-1)</f>
        <v>43344</v>
      </c>
      <c r="F46" s="1578">
        <f t="shared" si="16"/>
        <v>43313</v>
      </c>
      <c r="G46" s="1578">
        <f t="shared" si="16"/>
        <v>43282</v>
      </c>
      <c r="H46" s="1578">
        <f t="shared" si="16"/>
        <v>43252</v>
      </c>
      <c r="I46" s="1578">
        <f t="shared" si="16"/>
        <v>43221</v>
      </c>
      <c r="J46" s="1578">
        <f t="shared" si="16"/>
        <v>43191</v>
      </c>
      <c r="K46" s="1578">
        <f t="shared" si="16"/>
        <v>43160</v>
      </c>
      <c r="L46" s="1578">
        <f t="shared" si="16"/>
        <v>43132</v>
      </c>
      <c r="M46" s="1578">
        <f t="shared" si="16"/>
        <v>43101</v>
      </c>
      <c r="N46" s="1578">
        <f t="shared" si="16"/>
        <v>43070</v>
      </c>
      <c r="O46" s="1578">
        <f t="shared" si="16"/>
        <v>43040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2572</v>
      </c>
      <c r="B48" s="516"/>
      <c r="C48" s="517"/>
      <c r="D48" s="518"/>
      <c r="E48" s="518"/>
      <c r="F48" s="518"/>
      <c r="G48" s="518"/>
      <c r="H48" s="518"/>
      <c r="I48" s="518"/>
      <c r="J48" s="518"/>
      <c r="K48" s="518"/>
      <c r="L48" s="518"/>
      <c r="M48" s="519"/>
      <c r="N48" s="518"/>
      <c r="O48" s="520"/>
      <c r="P48" s="504"/>
      <c r="Q48" s="504"/>
    </row>
    <row r="49" spans="1:17" s="117" customFormat="1" ht="15">
      <c r="A49" s="521" t="s">
        <v>2537</v>
      </c>
      <c r="B49" s="510"/>
      <c r="C49" s="522" t="s">
        <v>2639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2575</v>
      </c>
      <c r="B51" s="528" t="s">
        <v>2541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2544</v>
      </c>
      <c r="C53" s="539" t="s">
        <v>2576</v>
      </c>
      <c r="D53" s="539" t="s">
        <v>2577</v>
      </c>
      <c r="E53" s="539" t="s">
        <v>2578</v>
      </c>
      <c r="F53" s="539" t="s">
        <v>2579</v>
      </c>
      <c r="G53" s="539" t="s">
        <v>2580</v>
      </c>
      <c r="H53" s="539" t="s">
        <v>2581</v>
      </c>
      <c r="I53" s="539" t="s">
        <v>2582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2546</v>
      </c>
      <c r="B61" s="528" t="s">
        <v>2589</v>
      </c>
      <c r="C61" s="573" t="s">
        <v>2584</v>
      </c>
      <c r="D61" s="573" t="s">
        <v>2585</v>
      </c>
      <c r="E61" s="573" t="s">
        <v>2586</v>
      </c>
      <c r="F61" s="573" t="s">
        <v>2587</v>
      </c>
      <c r="G61" s="573" t="s">
        <v>2588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2727</v>
      </c>
      <c r="C63" s="578" t="s">
        <v>2584</v>
      </c>
      <c r="D63" s="578" t="s">
        <v>2585</v>
      </c>
      <c r="E63" s="578" t="s">
        <v>2586</v>
      </c>
      <c r="F63" s="578" t="s">
        <v>2587</v>
      </c>
      <c r="G63" s="578" t="s">
        <v>2588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2676</v>
      </c>
      <c r="C65" s="660" t="s">
        <v>2662</v>
      </c>
      <c r="D65" s="660" t="s">
        <v>2663</v>
      </c>
      <c r="E65" s="660" t="s">
        <v>2664</v>
      </c>
      <c r="F65" s="660" t="s">
        <v>2665</v>
      </c>
      <c r="G65" s="660" t="s">
        <v>2666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2596</v>
      </c>
      <c r="C67" s="578" t="s">
        <v>2584</v>
      </c>
      <c r="D67" s="578" t="s">
        <v>2585</v>
      </c>
      <c r="E67" s="578" t="s">
        <v>2586</v>
      </c>
      <c r="F67" s="578" t="s">
        <v>2587</v>
      </c>
      <c r="G67" s="578" t="s">
        <v>2588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2550</v>
      </c>
      <c r="B77" s="528" t="s">
        <v>2603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2719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2729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49" sqref="B4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2731</v>
      </c>
      <c r="B1" s="395"/>
      <c r="C1" s="396" t="s">
        <v>2732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2632</v>
      </c>
      <c r="B4" s="402"/>
      <c r="C4" s="3175" t="s">
        <v>2633</v>
      </c>
      <c r="D4" s="3202"/>
      <c r="E4" s="3203" t="s">
        <v>2634</v>
      </c>
      <c r="F4" s="3204"/>
      <c r="G4" s="3175" t="s">
        <v>2635</v>
      </c>
      <c r="H4" s="3202"/>
      <c r="I4" s="3175" t="s">
        <v>2636</v>
      </c>
      <c r="J4" s="3202"/>
      <c r="K4" s="610" t="s">
        <v>2637</v>
      </c>
      <c r="L4" s="1133"/>
      <c r="M4" s="1134"/>
      <c r="N4" s="1134"/>
      <c r="O4" s="1134"/>
      <c r="P4" s="3205" t="s">
        <v>2638</v>
      </c>
      <c r="Q4" s="3206"/>
      <c r="R4" s="3182" t="s">
        <v>2634</v>
      </c>
      <c r="S4" s="3183"/>
      <c r="T4" s="3182" t="s">
        <v>2635</v>
      </c>
      <c r="U4" s="3183"/>
      <c r="V4" s="3195" t="s">
        <v>2636</v>
      </c>
      <c r="W4" s="3195"/>
      <c r="X4" s="1816"/>
      <c r="Y4" s="3182" t="s">
        <v>2638</v>
      </c>
      <c r="Z4" s="3183"/>
      <c r="AA4" s="3199" t="s">
        <v>2634</v>
      </c>
      <c r="AB4" s="3200" t="s">
        <v>2635</v>
      </c>
      <c r="AC4" s="3199" t="s">
        <v>2636</v>
      </c>
    </row>
    <row r="5" spans="1:30" ht="15">
      <c r="A5" s="404"/>
      <c r="B5" s="405"/>
      <c r="C5" s="3186" t="s">
        <v>2529</v>
      </c>
      <c r="D5" s="3187"/>
      <c r="E5" s="3211" t="s">
        <v>2530</v>
      </c>
      <c r="F5" s="3212"/>
      <c r="G5" s="3186" t="s">
        <v>2531</v>
      </c>
      <c r="H5" s="3187"/>
      <c r="I5" s="3186" t="s">
        <v>2532</v>
      </c>
      <c r="J5" s="3187"/>
      <c r="K5" s="610"/>
      <c r="L5" s="1133"/>
      <c r="M5" s="1134"/>
      <c r="N5" s="1134"/>
      <c r="O5" s="1134"/>
      <c r="P5" s="3207"/>
      <c r="Q5" s="3208"/>
      <c r="R5" s="3184"/>
      <c r="S5" s="3185"/>
      <c r="T5" s="3184"/>
      <c r="U5" s="3185"/>
      <c r="V5" s="3195"/>
      <c r="W5" s="3195"/>
      <c r="X5" s="1816"/>
      <c r="Y5" s="3184"/>
      <c r="Z5" s="3185"/>
      <c r="AA5" s="3200"/>
      <c r="AB5" s="3200"/>
      <c r="AC5" s="3200"/>
    </row>
    <row r="6" spans="1:30" ht="15.75" thickBot="1">
      <c r="A6" s="406"/>
      <c r="B6" s="407"/>
      <c r="C6" s="3247" t="s">
        <v>2533</v>
      </c>
      <c r="D6" s="3248"/>
      <c r="E6" s="3249" t="s">
        <v>2533</v>
      </c>
      <c r="F6" s="3250"/>
      <c r="G6" s="3247" t="s">
        <v>2533</v>
      </c>
      <c r="H6" s="3248"/>
      <c r="I6" s="3247" t="s">
        <v>2533</v>
      </c>
      <c r="J6" s="3248"/>
      <c r="K6" s="610" t="s">
        <v>2534</v>
      </c>
      <c r="L6" s="1133"/>
      <c r="M6" s="1134"/>
      <c r="N6" s="1134"/>
      <c r="O6" s="1134"/>
      <c r="P6" s="3209"/>
      <c r="Q6" s="3210"/>
      <c r="R6" s="3184"/>
      <c r="S6" s="3185"/>
      <c r="T6" s="3193"/>
      <c r="U6" s="3194"/>
      <c r="V6" s="3195"/>
      <c r="W6" s="3195"/>
      <c r="X6" s="1816"/>
      <c r="Y6" s="3193"/>
      <c r="Z6" s="3194"/>
      <c r="AA6" s="3201"/>
      <c r="AB6" s="3201"/>
      <c r="AC6" s="3201"/>
    </row>
    <row r="7" spans="1:30" s="117" customFormat="1" ht="15.75" thickBot="1">
      <c r="A7" s="408" t="s">
        <v>2535</v>
      </c>
      <c r="B7" s="409"/>
      <c r="C7" s="410">
        <f>'数据-取费表'!B2</f>
        <v>43430</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80" t="s">
        <v>2536</v>
      </c>
      <c r="Q7" s="3192"/>
      <c r="R7" s="770" t="s">
        <v>17</v>
      </c>
      <c r="S7" s="771">
        <f t="shared" ref="S7:S15" si="0">F7</f>
        <v>0</v>
      </c>
      <c r="T7" s="770" t="s">
        <v>17</v>
      </c>
      <c r="U7" s="771">
        <f t="shared" ref="U7:U15" si="1">H7</f>
        <v>0</v>
      </c>
      <c r="V7" s="770" t="s">
        <v>17</v>
      </c>
      <c r="W7" s="771">
        <f t="shared" ref="W7:W15" si="2">J7</f>
        <v>0</v>
      </c>
      <c r="X7" s="772"/>
      <c r="Y7" s="3180" t="s">
        <v>2536</v>
      </c>
      <c r="Z7" s="3181"/>
      <c r="AA7" s="773" t="e">
        <f>D7/F7</f>
        <v>#DIV/0!</v>
      </c>
      <c r="AB7" s="773" t="e">
        <f>D7/H7</f>
        <v>#DIV/0!</v>
      </c>
      <c r="AC7" s="773" t="e">
        <f>D7/J7</f>
        <v>#DIV/0!</v>
      </c>
    </row>
    <row r="8" spans="1:30" s="117" customFormat="1" ht="15.75" thickBot="1">
      <c r="A8" s="408" t="s">
        <v>2537</v>
      </c>
      <c r="B8" s="409"/>
      <c r="C8" s="414" t="s">
        <v>2538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0" t="s">
        <v>2539</v>
      </c>
      <c r="Q8" s="3181"/>
      <c r="R8" s="770" t="s">
        <v>17</v>
      </c>
      <c r="S8" s="771">
        <f t="shared" si="0"/>
        <v>0</v>
      </c>
      <c r="T8" s="770" t="s">
        <v>17</v>
      </c>
      <c r="U8" s="771">
        <f t="shared" si="1"/>
        <v>0</v>
      </c>
      <c r="V8" s="770" t="s">
        <v>17</v>
      </c>
      <c r="W8" s="771">
        <f t="shared" si="2"/>
        <v>0</v>
      </c>
      <c r="X8" s="772"/>
      <c r="Y8" s="3180" t="s">
        <v>2539</v>
      </c>
      <c r="Z8" s="3181"/>
      <c r="AA8" s="773" t="e">
        <f t="shared" ref="AA8:AA45" si="3">D8/F8</f>
        <v>#DIV/0!</v>
      </c>
      <c r="AB8" s="773" t="e">
        <f t="shared" ref="AB8:AB45" si="4">D8/H8</f>
        <v>#DIV/0!</v>
      </c>
      <c r="AC8" s="773" t="e">
        <f t="shared" ref="AC8:AC45" si="5">D8/J8</f>
        <v>#DIV/0!</v>
      </c>
    </row>
    <row r="9" spans="1:30" s="117" customFormat="1">
      <c r="A9" s="415" t="s">
        <v>2540</v>
      </c>
      <c r="B9" s="71" t="s">
        <v>2541</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78" t="s">
        <v>2542</v>
      </c>
      <c r="Q9" s="1798" t="str">
        <f t="shared" ref="Q9:Q15" si="6">B9</f>
        <v>用途</v>
      </c>
      <c r="R9" s="770" t="s">
        <v>17</v>
      </c>
      <c r="S9" s="771">
        <f t="shared" si="0"/>
        <v>100</v>
      </c>
      <c r="T9" s="770" t="s">
        <v>17</v>
      </c>
      <c r="U9" s="771">
        <f t="shared" si="1"/>
        <v>100</v>
      </c>
      <c r="V9" s="770" t="s">
        <v>17</v>
      </c>
      <c r="W9" s="771">
        <f t="shared" si="2"/>
        <v>100</v>
      </c>
      <c r="X9" s="772"/>
      <c r="Y9" s="3004" t="s">
        <v>2543</v>
      </c>
      <c r="Z9" s="55" t="str">
        <f t="shared" ref="Z9:Z15" si="7">Q9</f>
        <v>用途</v>
      </c>
      <c r="AA9" s="773">
        <f t="shared" si="3"/>
        <v>1</v>
      </c>
      <c r="AB9" s="773">
        <f t="shared" si="4"/>
        <v>1</v>
      </c>
      <c r="AC9" s="773">
        <f t="shared" si="5"/>
        <v>1</v>
      </c>
    </row>
    <row r="10" spans="1:30" s="427" customFormat="1" ht="27">
      <c r="A10" s="421"/>
      <c r="B10" s="422" t="s">
        <v>2544</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178"/>
      <c r="Q10" s="1798" t="str">
        <f t="shared" si="6"/>
        <v>土地使用年限（年）</v>
      </c>
      <c r="R10" s="770" t="s">
        <v>17</v>
      </c>
      <c r="S10" s="771">
        <f t="shared" si="0"/>
        <v>103</v>
      </c>
      <c r="T10" s="770" t="s">
        <v>17</v>
      </c>
      <c r="U10" s="771">
        <f t="shared" si="1"/>
        <v>103</v>
      </c>
      <c r="V10" s="770" t="s">
        <v>17</v>
      </c>
      <c r="W10" s="771">
        <f t="shared" si="2"/>
        <v>103</v>
      </c>
      <c r="X10" s="772"/>
      <c r="Y10" s="3004"/>
      <c r="Z10" s="55" t="str">
        <f t="shared" si="7"/>
        <v>土地使用年限（年）</v>
      </c>
      <c r="AA10" s="773">
        <f t="shared" si="3"/>
        <v>0.970873786407767</v>
      </c>
      <c r="AB10" s="773">
        <f t="shared" si="4"/>
        <v>0.970873786407767</v>
      </c>
      <c r="AC10" s="773">
        <f t="shared" si="5"/>
        <v>0.970873786407767</v>
      </c>
    </row>
    <row r="11" spans="1:30" ht="15">
      <c r="A11" s="428"/>
      <c r="B11" s="422" t="s">
        <v>2545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8"/>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30" s="117" customFormat="1" ht="15">
      <c r="A12" s="431"/>
      <c r="B12" s="2602" t="s">
        <v>2734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8"/>
      <c r="Q12" s="1798" t="str">
        <f t="shared" si="6"/>
        <v>配建</v>
      </c>
      <c r="R12" s="770" t="s">
        <v>17</v>
      </c>
      <c r="S12" s="771">
        <f t="shared" si="0"/>
        <v>100</v>
      </c>
      <c r="T12" s="770" t="s">
        <v>17</v>
      </c>
      <c r="U12" s="771">
        <f t="shared" si="1"/>
        <v>100</v>
      </c>
      <c r="V12" s="770" t="s">
        <v>17</v>
      </c>
      <c r="W12" s="771">
        <f t="shared" si="2"/>
        <v>100</v>
      </c>
      <c r="X12" s="772"/>
      <c r="Y12" s="3004"/>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8"/>
      <c r="Q13" s="1798">
        <f t="shared" si="6"/>
        <v>111</v>
      </c>
      <c r="R13" s="770" t="s">
        <v>17</v>
      </c>
      <c r="S13" s="771">
        <f t="shared" si="0"/>
        <v>100</v>
      </c>
      <c r="T13" s="770" t="s">
        <v>17</v>
      </c>
      <c r="U13" s="771">
        <f t="shared" si="1"/>
        <v>100</v>
      </c>
      <c r="V13" s="770" t="s">
        <v>17</v>
      </c>
      <c r="W13" s="771">
        <f t="shared" si="2"/>
        <v>100</v>
      </c>
      <c r="X13" s="772"/>
      <c r="Y13" s="3004"/>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8"/>
      <c r="Q14" s="1798">
        <f t="shared" si="6"/>
        <v>111</v>
      </c>
      <c r="R14" s="770" t="s">
        <v>17</v>
      </c>
      <c r="S14" s="771">
        <f t="shared" si="0"/>
        <v>100</v>
      </c>
      <c r="T14" s="770" t="s">
        <v>17</v>
      </c>
      <c r="U14" s="771">
        <f t="shared" si="1"/>
        <v>100</v>
      </c>
      <c r="V14" s="770" t="s">
        <v>17</v>
      </c>
      <c r="W14" s="771">
        <f t="shared" si="2"/>
        <v>100</v>
      </c>
      <c r="X14" s="772"/>
      <c r="Y14" s="3004"/>
      <c r="Z14" s="55">
        <f t="shared" si="7"/>
        <v>111</v>
      </c>
      <c r="AA14" s="773">
        <f>D14/F14</f>
        <v>1</v>
      </c>
      <c r="AB14" s="773">
        <f>D14/H14</f>
        <v>1</v>
      </c>
      <c r="AC14" s="773">
        <f>D14/J14</f>
        <v>1</v>
      </c>
    </row>
    <row r="15" spans="1:30" ht="15">
      <c r="A15" s="440" t="s">
        <v>2546</v>
      </c>
      <c r="B15" s="69" t="s">
        <v>2083</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6" t="s">
        <v>2547</v>
      </c>
      <c r="Q15" s="1813" t="str">
        <f t="shared" si="6"/>
        <v>居住社区成熟度</v>
      </c>
      <c r="R15" s="774" t="s">
        <v>17</v>
      </c>
      <c r="S15" s="775">
        <f t="shared" si="0"/>
        <v>100</v>
      </c>
      <c r="T15" s="774" t="s">
        <v>17</v>
      </c>
      <c r="U15" s="775">
        <f t="shared" si="1"/>
        <v>100</v>
      </c>
      <c r="V15" s="774" t="s">
        <v>17</v>
      </c>
      <c r="W15" s="775">
        <f t="shared" si="2"/>
        <v>100</v>
      </c>
      <c r="X15" s="1816"/>
      <c r="Y15" s="3196" t="s">
        <v>2547</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97"/>
      <c r="Q16" s="1813"/>
      <c r="R16" s="774"/>
      <c r="S16" s="775"/>
      <c r="T16" s="774"/>
      <c r="U16" s="775"/>
      <c r="V16" s="774"/>
      <c r="W16" s="775"/>
      <c r="X16" s="1816"/>
      <c r="Y16" s="3197"/>
      <c r="Z16" s="1817"/>
      <c r="AA16" s="1814">
        <v>1</v>
      </c>
      <c r="AB16" s="1814">
        <v>1</v>
      </c>
      <c r="AC16" s="1814">
        <v>1</v>
      </c>
    </row>
    <row r="17" spans="1:29" ht="15">
      <c r="A17" s="428"/>
      <c r="B17" s="451" t="s">
        <v>2640</v>
      </c>
      <c r="C17" s="2666">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7"/>
      <c r="Q17" s="1813" t="str">
        <f>B17</f>
        <v>商业繁华度</v>
      </c>
      <c r="R17" s="774" t="s">
        <v>17</v>
      </c>
      <c r="S17" s="775">
        <f>F17</f>
        <v>100</v>
      </c>
      <c r="T17" s="774" t="s">
        <v>17</v>
      </c>
      <c r="U17" s="775">
        <f>H17</f>
        <v>100</v>
      </c>
      <c r="V17" s="774" t="s">
        <v>17</v>
      </c>
      <c r="W17" s="775">
        <f>J17</f>
        <v>100</v>
      </c>
      <c r="X17" s="1816"/>
      <c r="Y17" s="3197"/>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97"/>
      <c r="Q18" s="1813"/>
      <c r="R18" s="774"/>
      <c r="S18" s="775"/>
      <c r="T18" s="774"/>
      <c r="U18" s="775"/>
      <c r="V18" s="774"/>
      <c r="W18" s="775"/>
      <c r="X18" s="1816"/>
      <c r="Y18" s="3197"/>
      <c r="Z18" s="1817"/>
      <c r="AA18" s="1814">
        <v>1</v>
      </c>
      <c r="AB18" s="1814">
        <v>1</v>
      </c>
      <c r="AC18" s="1814">
        <v>1</v>
      </c>
    </row>
    <row r="19" spans="1:29" ht="15">
      <c r="A19" s="428"/>
      <c r="B19" s="451" t="s">
        <v>2674</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7"/>
      <c r="Q19" s="1813" t="str">
        <f>B19</f>
        <v>办公集聚程度</v>
      </c>
      <c r="R19" s="774" t="s">
        <v>17</v>
      </c>
      <c r="S19" s="775">
        <f>F19</f>
        <v>100</v>
      </c>
      <c r="T19" s="774" t="s">
        <v>17</v>
      </c>
      <c r="U19" s="775">
        <f>H19</f>
        <v>100</v>
      </c>
      <c r="V19" s="774" t="s">
        <v>17</v>
      </c>
      <c r="W19" s="775">
        <f>J19</f>
        <v>100</v>
      </c>
      <c r="X19" s="1816"/>
      <c r="Y19" s="3197"/>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97"/>
      <c r="Q20" s="1813"/>
      <c r="R20" s="774"/>
      <c r="S20" s="775"/>
      <c r="T20" s="774"/>
      <c r="U20" s="775"/>
      <c r="V20" s="774"/>
      <c r="W20" s="775"/>
      <c r="X20" s="1816"/>
      <c r="Y20" s="3197"/>
      <c r="Z20" s="1817"/>
      <c r="AA20" s="1814">
        <v>1</v>
      </c>
      <c r="AB20" s="1814">
        <v>1</v>
      </c>
      <c r="AC20" s="1814">
        <v>1</v>
      </c>
    </row>
    <row r="21" spans="1:29" ht="15">
      <c r="A21" s="428"/>
      <c r="B21" s="451" t="s">
        <v>2696</v>
      </c>
      <c r="C21" s="2609">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7"/>
      <c r="Q21" s="1813" t="str">
        <f>B21</f>
        <v>交通便捷度</v>
      </c>
      <c r="R21" s="774" t="s">
        <v>17</v>
      </c>
      <c r="S21" s="775">
        <f>F21</f>
        <v>100</v>
      </c>
      <c r="T21" s="774" t="s">
        <v>17</v>
      </c>
      <c r="U21" s="775">
        <f>H21</f>
        <v>100</v>
      </c>
      <c r="V21" s="774" t="s">
        <v>17</v>
      </c>
      <c r="W21" s="775">
        <f>J21</f>
        <v>100</v>
      </c>
      <c r="X21" s="1816"/>
      <c r="Y21" s="3197"/>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97"/>
      <c r="Q22" s="1813"/>
      <c r="R22" s="774"/>
      <c r="S22" s="775"/>
      <c r="T22" s="774"/>
      <c r="U22" s="775"/>
      <c r="V22" s="774"/>
      <c r="W22" s="775"/>
      <c r="X22" s="1816"/>
      <c r="Y22" s="3197"/>
      <c r="Z22" s="1817"/>
      <c r="AA22" s="1814">
        <v>1</v>
      </c>
      <c r="AB22" s="1814">
        <v>1</v>
      </c>
      <c r="AC22" s="1814">
        <v>1</v>
      </c>
    </row>
    <row r="23" spans="1:29" ht="15">
      <c r="A23" s="404"/>
      <c r="B23" s="451" t="s">
        <v>2735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7"/>
      <c r="Q23" s="1813" t="str">
        <f t="shared" ref="Q23:Q37" si="8">B23</f>
        <v>区域土地利用方向</v>
      </c>
      <c r="R23" s="774" t="s">
        <v>17</v>
      </c>
      <c r="S23" s="775">
        <f>F23</f>
        <v>100</v>
      </c>
      <c r="T23" s="774" t="s">
        <v>17</v>
      </c>
      <c r="U23" s="775">
        <f>H23</f>
        <v>100</v>
      </c>
      <c r="V23" s="774" t="s">
        <v>17</v>
      </c>
      <c r="W23" s="775">
        <f>J23</f>
        <v>100</v>
      </c>
      <c r="X23" s="1816"/>
      <c r="Y23" s="3197"/>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97"/>
      <c r="Q24" s="1813"/>
      <c r="R24" s="774"/>
      <c r="S24" s="775"/>
      <c r="T24" s="774"/>
      <c r="U24" s="775"/>
      <c r="V24" s="774"/>
      <c r="W24" s="775"/>
      <c r="X24" s="1816"/>
      <c r="Y24" s="3197"/>
      <c r="Z24" s="1817"/>
      <c r="AA24" s="1814"/>
      <c r="AB24" s="1814"/>
      <c r="AC24" s="1814"/>
    </row>
    <row r="25" spans="1:29" ht="27">
      <c r="A25" s="404"/>
      <c r="B25" s="1387" t="s">
        <v>2736</v>
      </c>
      <c r="C25" s="2666">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7"/>
      <c r="Q25" s="1813" t="str">
        <f t="shared" si="8"/>
        <v>自然及人文环境状况</v>
      </c>
      <c r="R25" s="774" t="s">
        <v>17</v>
      </c>
      <c r="S25" s="775">
        <f>F25</f>
        <v>100</v>
      </c>
      <c r="T25" s="774" t="s">
        <v>17</v>
      </c>
      <c r="U25" s="775">
        <f>H25</f>
        <v>100</v>
      </c>
      <c r="V25" s="774" t="s">
        <v>17</v>
      </c>
      <c r="W25" s="775">
        <f>J25</f>
        <v>100</v>
      </c>
      <c r="X25" s="1816"/>
      <c r="Y25" s="3197"/>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97"/>
      <c r="Q26" s="1813"/>
      <c r="R26" s="774"/>
      <c r="S26" s="775"/>
      <c r="T26" s="774"/>
      <c r="U26" s="775"/>
      <c r="V26" s="774"/>
      <c r="W26" s="775"/>
      <c r="X26" s="1816"/>
      <c r="Y26" s="3197"/>
      <c r="Z26" s="1817"/>
      <c r="AA26" s="1814">
        <v>1</v>
      </c>
      <c r="AB26" s="1814">
        <v>1</v>
      </c>
      <c r="AC26" s="1814">
        <v>1</v>
      </c>
    </row>
    <row r="27" spans="1:29" s="117" customFormat="1" ht="15">
      <c r="A27" s="649"/>
      <c r="B27" s="1387" t="s">
        <v>2641</v>
      </c>
      <c r="C27" s="2609">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7"/>
      <c r="Q27" s="1798" t="str">
        <f t="shared" si="8"/>
        <v>公共配套设施</v>
      </c>
      <c r="R27" s="770" t="s">
        <v>17</v>
      </c>
      <c r="S27" s="771">
        <f>F27</f>
        <v>100</v>
      </c>
      <c r="T27" s="770" t="s">
        <v>17</v>
      </c>
      <c r="U27" s="771">
        <f>H27</f>
        <v>100</v>
      </c>
      <c r="V27" s="770" t="s">
        <v>17</v>
      </c>
      <c r="W27" s="771">
        <f>J27</f>
        <v>100</v>
      </c>
      <c r="X27" s="772"/>
      <c r="Y27" s="3197"/>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97"/>
      <c r="Q28" s="1798"/>
      <c r="R28" s="770"/>
      <c r="S28" s="771"/>
      <c r="T28" s="770"/>
      <c r="U28" s="771"/>
      <c r="V28" s="770"/>
      <c r="W28" s="771"/>
      <c r="X28" s="772"/>
      <c r="Y28" s="3197"/>
      <c r="Z28" s="55"/>
      <c r="AA28" s="1814">
        <v>1</v>
      </c>
      <c r="AB28" s="1814">
        <v>1</v>
      </c>
      <c r="AC28" s="1814">
        <v>1</v>
      </c>
    </row>
    <row r="29" spans="1:29" s="117" customFormat="1" ht="15">
      <c r="A29" s="649"/>
      <c r="B29" s="1387" t="s">
        <v>2642</v>
      </c>
      <c r="C29" s="2609">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7"/>
      <c r="Q29" s="1798" t="str">
        <f t="shared" ref="Q29" si="9">B29</f>
        <v>基础设施水平</v>
      </c>
      <c r="R29" s="770" t="s">
        <v>17</v>
      </c>
      <c r="S29" s="771">
        <f>F29</f>
        <v>100</v>
      </c>
      <c r="T29" s="770" t="s">
        <v>17</v>
      </c>
      <c r="U29" s="771">
        <f>H29</f>
        <v>100</v>
      </c>
      <c r="V29" s="770" t="s">
        <v>17</v>
      </c>
      <c r="W29" s="771">
        <f>J29</f>
        <v>100</v>
      </c>
      <c r="X29" s="772"/>
      <c r="Y29" s="3197"/>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97"/>
      <c r="Q30" s="1798"/>
      <c r="R30" s="770"/>
      <c r="S30" s="771"/>
      <c r="T30" s="770"/>
      <c r="U30" s="771"/>
      <c r="V30" s="770"/>
      <c r="W30" s="771"/>
      <c r="X30" s="772"/>
      <c r="Y30" s="3197"/>
      <c r="Z30" s="55"/>
      <c r="AA30" s="1814">
        <v>1</v>
      </c>
      <c r="AB30" s="1814">
        <v>1</v>
      </c>
      <c r="AC30" s="1814">
        <v>1</v>
      </c>
    </row>
    <row r="31" spans="1:29" ht="15">
      <c r="A31" s="428"/>
      <c r="B31" s="456" t="s">
        <v>2643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7"/>
      <c r="Z31" s="1817" t="str">
        <f t="shared" ref="Z31:Z45" si="13">Q31</f>
        <v>临街状况</v>
      </c>
      <c r="AA31" s="1814">
        <f t="shared" si="3"/>
        <v>1</v>
      </c>
      <c r="AB31" s="1814">
        <f t="shared" si="4"/>
        <v>1</v>
      </c>
      <c r="AC31" s="1814">
        <f t="shared" si="5"/>
        <v>1</v>
      </c>
    </row>
    <row r="32" spans="1:29" ht="27">
      <c r="A32" s="428"/>
      <c r="B32" s="1387" t="s">
        <v>2678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7"/>
      <c r="Q32" s="1813" t="str">
        <f t="shared" si="8"/>
        <v>毗邻道路的类型与等级</v>
      </c>
      <c r="R32" s="774" t="s">
        <v>17</v>
      </c>
      <c r="S32" s="775">
        <f t="shared" si="10"/>
        <v>100</v>
      </c>
      <c r="T32" s="774" t="s">
        <v>17</v>
      </c>
      <c r="U32" s="775">
        <f t="shared" si="11"/>
        <v>100</v>
      </c>
      <c r="V32" s="774" t="s">
        <v>17</v>
      </c>
      <c r="W32" s="775">
        <f t="shared" si="12"/>
        <v>100</v>
      </c>
      <c r="X32" s="1816"/>
      <c r="Y32" s="3197"/>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97"/>
      <c r="Q33" s="1813"/>
      <c r="R33" s="774"/>
      <c r="S33" s="775"/>
      <c r="T33" s="774"/>
      <c r="U33" s="775"/>
      <c r="V33" s="774"/>
      <c r="W33" s="775"/>
      <c r="X33" s="1816"/>
      <c r="Y33" s="3197"/>
      <c r="Z33" s="1817"/>
      <c r="AA33" s="1814">
        <v>1</v>
      </c>
      <c r="AB33" s="1814">
        <v>1</v>
      </c>
      <c r="AC33" s="1814">
        <v>1</v>
      </c>
    </row>
    <row r="34" spans="1:29" ht="15">
      <c r="A34" s="428"/>
      <c r="B34" s="422" t="s">
        <v>2737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7"/>
      <c r="Q34" s="1813" t="str">
        <f t="shared" si="8"/>
        <v>土地级别</v>
      </c>
      <c r="R34" s="774" t="s">
        <v>17</v>
      </c>
      <c r="S34" s="775">
        <f t="shared" si="10"/>
        <v>100</v>
      </c>
      <c r="T34" s="774" t="s">
        <v>17</v>
      </c>
      <c r="U34" s="775">
        <f t="shared" si="11"/>
        <v>100</v>
      </c>
      <c r="V34" s="774" t="s">
        <v>17</v>
      </c>
      <c r="W34" s="775">
        <f t="shared" si="12"/>
        <v>100</v>
      </c>
      <c r="X34" s="1816"/>
      <c r="Y34" s="319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7"/>
      <c r="Q35" s="1813">
        <f t="shared" si="8"/>
        <v>111</v>
      </c>
      <c r="R35" s="774" t="s">
        <v>17</v>
      </c>
      <c r="S35" s="775">
        <f t="shared" si="10"/>
        <v>100</v>
      </c>
      <c r="T35" s="774" t="s">
        <v>17</v>
      </c>
      <c r="U35" s="775">
        <f t="shared" si="11"/>
        <v>100</v>
      </c>
      <c r="V35" s="774" t="s">
        <v>17</v>
      </c>
      <c r="W35" s="775">
        <f t="shared" si="12"/>
        <v>100</v>
      </c>
      <c r="X35" s="1816"/>
      <c r="Y35" s="319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3" t="s">
        <v>2552</v>
      </c>
      <c r="Q36" s="1813">
        <f t="shared" si="8"/>
        <v>111</v>
      </c>
      <c r="R36" s="774" t="s">
        <v>17</v>
      </c>
      <c r="S36" s="775">
        <f t="shared" si="10"/>
        <v>100</v>
      </c>
      <c r="T36" s="774" t="s">
        <v>17</v>
      </c>
      <c r="U36" s="775">
        <f t="shared" si="11"/>
        <v>100</v>
      </c>
      <c r="V36" s="774" t="s">
        <v>17</v>
      </c>
      <c r="W36" s="775">
        <f t="shared" si="12"/>
        <v>100</v>
      </c>
      <c r="X36" s="1816"/>
      <c r="Y36" s="3198" t="s">
        <v>2552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8"/>
      <c r="Q37" s="1813">
        <f t="shared" si="8"/>
        <v>111</v>
      </c>
      <c r="R37" s="777" t="s">
        <v>17</v>
      </c>
      <c r="S37" s="778">
        <f t="shared" si="10"/>
        <v>100</v>
      </c>
      <c r="T37" s="777" t="s">
        <v>17</v>
      </c>
      <c r="U37" s="778">
        <f t="shared" si="11"/>
        <v>100</v>
      </c>
      <c r="V37" s="777" t="s">
        <v>17</v>
      </c>
      <c r="W37" s="778">
        <f t="shared" si="12"/>
        <v>100</v>
      </c>
      <c r="X37" s="779"/>
      <c r="Y37" s="3198"/>
      <c r="Z37" s="780">
        <f t="shared" si="13"/>
        <v>111</v>
      </c>
      <c r="AA37" s="1814">
        <f t="shared" si="3"/>
        <v>1</v>
      </c>
      <c r="AB37" s="1814">
        <f t="shared" si="4"/>
        <v>1</v>
      </c>
      <c r="AC37" s="1814">
        <f t="shared" si="5"/>
        <v>1</v>
      </c>
    </row>
    <row r="38" spans="1:29" ht="15">
      <c r="A38" s="472" t="s">
        <v>2550</v>
      </c>
      <c r="B38" s="456" t="s">
        <v>2738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8"/>
      <c r="Q38" s="1813" t="str">
        <f>B38</f>
        <v>宗地面积</v>
      </c>
      <c r="R38" s="774" t="s">
        <v>17</v>
      </c>
      <c r="S38" s="775" t="e">
        <f t="shared" si="10"/>
        <v>#N/A</v>
      </c>
      <c r="T38" s="774" t="s">
        <v>17</v>
      </c>
      <c r="U38" s="775" t="e">
        <f t="shared" si="11"/>
        <v>#N/A</v>
      </c>
      <c r="V38" s="774" t="s">
        <v>17</v>
      </c>
      <c r="W38" s="775" t="e">
        <f t="shared" si="12"/>
        <v>#N/A</v>
      </c>
      <c r="X38" s="1816"/>
      <c r="Y38" s="3198"/>
      <c r="Z38" s="1817" t="str">
        <f t="shared" si="13"/>
        <v>宗地面积</v>
      </c>
      <c r="AA38" s="1814" t="e">
        <f t="shared" si="3"/>
        <v>#N/A</v>
      </c>
      <c r="AB38" s="1814" t="e">
        <f t="shared" si="4"/>
        <v>#N/A</v>
      </c>
      <c r="AC38" s="1814" t="e">
        <f t="shared" si="5"/>
        <v>#N/A</v>
      </c>
    </row>
    <row r="39" spans="1:29" ht="15">
      <c r="A39" s="472"/>
      <c r="B39" s="422" t="s">
        <v>2739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98"/>
      <c r="Q39" s="1813" t="str">
        <f t="shared" ref="Q39:Q45" si="14">B39</f>
        <v>宗地形状</v>
      </c>
      <c r="R39" s="774" t="s">
        <v>17</v>
      </c>
      <c r="S39" s="775">
        <f t="shared" si="10"/>
        <v>100</v>
      </c>
      <c r="T39" s="774" t="s">
        <v>17</v>
      </c>
      <c r="U39" s="775">
        <f t="shared" si="11"/>
        <v>100</v>
      </c>
      <c r="V39" s="774" t="s">
        <v>17</v>
      </c>
      <c r="W39" s="775">
        <f t="shared" si="12"/>
        <v>100</v>
      </c>
      <c r="X39" s="1816"/>
      <c r="Y39" s="3198"/>
      <c r="Z39" s="1817" t="str">
        <f t="shared" si="13"/>
        <v>宗地形状</v>
      </c>
      <c r="AA39" s="1814">
        <f t="shared" si="3"/>
        <v>1</v>
      </c>
      <c r="AB39" s="1814">
        <f t="shared" si="4"/>
        <v>1</v>
      </c>
      <c r="AC39" s="1814">
        <f t="shared" si="5"/>
        <v>1</v>
      </c>
    </row>
    <row r="40" spans="1:29" ht="15">
      <c r="A40" s="472"/>
      <c r="B40" s="422" t="s">
        <v>2740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98"/>
      <c r="Q40" s="1813" t="str">
        <f t="shared" si="14"/>
        <v>临街宽度及深度</v>
      </c>
      <c r="R40" s="774" t="s">
        <v>17</v>
      </c>
      <c r="S40" s="775">
        <f t="shared" si="10"/>
        <v>100</v>
      </c>
      <c r="T40" s="774" t="s">
        <v>17</v>
      </c>
      <c r="U40" s="775">
        <f t="shared" si="11"/>
        <v>100</v>
      </c>
      <c r="V40" s="774" t="s">
        <v>17</v>
      </c>
      <c r="W40" s="775">
        <f t="shared" si="12"/>
        <v>100</v>
      </c>
      <c r="X40" s="1816"/>
      <c r="Y40" s="3198"/>
      <c r="Z40" s="1817" t="str">
        <f t="shared" si="13"/>
        <v>临街宽度及深度</v>
      </c>
      <c r="AA40" s="1814">
        <f t="shared" si="3"/>
        <v>1</v>
      </c>
      <c r="AB40" s="1814">
        <f t="shared" si="4"/>
        <v>1</v>
      </c>
      <c r="AC40" s="1814">
        <f t="shared" si="5"/>
        <v>1</v>
      </c>
    </row>
    <row r="41" spans="1:29" s="117" customFormat="1" ht="15">
      <c r="A41" s="473"/>
      <c r="B41" s="422" t="s">
        <v>2741</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98"/>
      <c r="Q41" s="1813"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2742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98" t="s">
        <v>2552</v>
      </c>
      <c r="Q42" s="1813" t="str">
        <f t="shared" si="14"/>
        <v>工程地质条件</v>
      </c>
      <c r="R42" s="774" t="s">
        <v>17</v>
      </c>
      <c r="S42" s="775">
        <f t="shared" si="10"/>
        <v>100</v>
      </c>
      <c r="T42" s="774" t="s">
        <v>17</v>
      </c>
      <c r="U42" s="775">
        <f t="shared" si="11"/>
        <v>100</v>
      </c>
      <c r="V42" s="774" t="s">
        <v>17</v>
      </c>
      <c r="W42" s="775">
        <f t="shared" si="12"/>
        <v>100</v>
      </c>
      <c r="X42" s="1816"/>
      <c r="Y42" s="3198" t="s">
        <v>2552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8"/>
      <c r="Q43" s="1813">
        <f t="shared" si="14"/>
        <v>111</v>
      </c>
      <c r="R43" s="774" t="s">
        <v>17</v>
      </c>
      <c r="S43" s="775">
        <f t="shared" si="10"/>
        <v>100</v>
      </c>
      <c r="T43" s="774" t="s">
        <v>17</v>
      </c>
      <c r="U43" s="775">
        <f t="shared" si="11"/>
        <v>100</v>
      </c>
      <c r="V43" s="774" t="s">
        <v>17</v>
      </c>
      <c r="W43" s="775">
        <f t="shared" si="12"/>
        <v>100</v>
      </c>
      <c r="X43" s="1816"/>
      <c r="Y43" s="319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8"/>
      <c r="Q44" s="1813">
        <f t="shared" si="14"/>
        <v>111</v>
      </c>
      <c r="R44" s="774" t="s">
        <v>17</v>
      </c>
      <c r="S44" s="775">
        <f t="shared" si="10"/>
        <v>100</v>
      </c>
      <c r="T44" s="774" t="s">
        <v>17</v>
      </c>
      <c r="U44" s="775">
        <f t="shared" si="11"/>
        <v>100</v>
      </c>
      <c r="V44" s="774" t="s">
        <v>17</v>
      </c>
      <c r="W44" s="775">
        <f t="shared" si="12"/>
        <v>100</v>
      </c>
      <c r="X44" s="1816"/>
      <c r="Y44" s="3198"/>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8"/>
      <c r="Q45" s="1813">
        <f t="shared" si="14"/>
        <v>111</v>
      </c>
      <c r="R45" s="777" t="s">
        <v>17</v>
      </c>
      <c r="S45" s="778">
        <f t="shared" si="10"/>
        <v>100</v>
      </c>
      <c r="T45" s="777" t="s">
        <v>17</v>
      </c>
      <c r="U45" s="778">
        <f t="shared" si="11"/>
        <v>100</v>
      </c>
      <c r="V45" s="777" t="s">
        <v>17</v>
      </c>
      <c r="W45" s="778">
        <f t="shared" si="12"/>
        <v>100</v>
      </c>
      <c r="X45" s="779"/>
      <c r="Y45" s="3198"/>
      <c r="Z45" s="780">
        <f t="shared" si="13"/>
        <v>111</v>
      </c>
      <c r="AA45" s="1814">
        <f t="shared" si="3"/>
        <v>1</v>
      </c>
      <c r="AB45" s="1814">
        <f t="shared" si="4"/>
        <v>1</v>
      </c>
      <c r="AC45" s="1814">
        <f t="shared" si="5"/>
        <v>1</v>
      </c>
    </row>
    <row r="46" spans="1:29" ht="15">
      <c r="A46" s="479" t="s">
        <v>2707</v>
      </c>
      <c r="B46" s="2706" t="s">
        <v>2743</v>
      </c>
      <c r="C46" s="682" t="s">
        <v>1</v>
      </c>
      <c r="D46" s="481"/>
      <c r="E46" s="482"/>
      <c r="F46" s="483"/>
      <c r="G46" s="484"/>
      <c r="H46" s="485"/>
      <c r="I46" s="482"/>
      <c r="J46" s="485"/>
      <c r="K46" s="783"/>
      <c r="L46" s="1146"/>
      <c r="M46" s="1147"/>
      <c r="N46" s="1134"/>
      <c r="O46" s="1147"/>
      <c r="P46" s="3178" t="str">
        <f>A46</f>
        <v>成交单价</v>
      </c>
      <c r="Q46" s="3178"/>
      <c r="R46" s="3195">
        <f>E46</f>
        <v>0</v>
      </c>
      <c r="S46" s="3195"/>
      <c r="T46" s="3195">
        <f>G46</f>
        <v>0</v>
      </c>
      <c r="U46" s="3195"/>
      <c r="V46" s="3195">
        <f>I46</f>
        <v>0</v>
      </c>
      <c r="W46" s="3195"/>
      <c r="X46" s="759"/>
      <c r="Y46" s="781"/>
      <c r="Z46" s="759"/>
      <c r="AA46" s="759"/>
      <c r="AB46" s="759"/>
      <c r="AC46" s="759"/>
    </row>
    <row r="47" spans="1:29" ht="15.75" thickBot="1">
      <c r="A47" s="486" t="s">
        <v>2656</v>
      </c>
      <c r="B47" s="683"/>
      <c r="C47" s="490" t="e">
        <f>R48</f>
        <v>#DIV/0!</v>
      </c>
      <c r="D47" s="489"/>
      <c r="E47" s="490" t="e">
        <f>R47</f>
        <v>#DIV/0!</v>
      </c>
      <c r="F47" s="491"/>
      <c r="G47" s="488" t="e">
        <f>T47</f>
        <v>#DIV/0!</v>
      </c>
      <c r="H47" s="489"/>
      <c r="I47" s="490" t="e">
        <f>V47</f>
        <v>#DIV/0!</v>
      </c>
      <c r="J47" s="489"/>
      <c r="K47" s="784"/>
      <c r="L47" s="1146"/>
      <c r="M47" s="1147"/>
      <c r="N47" s="1147"/>
      <c r="O47" s="1147"/>
      <c r="P47" s="3178" t="str">
        <f>A47</f>
        <v>比较价值（元/平方米）</v>
      </c>
      <c r="Q47" s="3178"/>
      <c r="R47" s="3217" t="e">
        <f>ROUND(PRODUCT(R46,AA7:AA45),0)</f>
        <v>#DIV/0!</v>
      </c>
      <c r="S47" s="3217"/>
      <c r="T47" s="3217" t="e">
        <f>ROUND(PRODUCT(T46,AB7:AB45),0)</f>
        <v>#DIV/0!</v>
      </c>
      <c r="U47" s="3217"/>
      <c r="V47" s="3217" t="e">
        <f>ROUND(PRODUCT(V46,AC7:AC45),0)</f>
        <v>#DIV/0!</v>
      </c>
      <c r="W47" s="3217"/>
      <c r="X47" s="759"/>
      <c r="Y47" s="759"/>
      <c r="Z47" s="759"/>
      <c r="AA47" s="759"/>
      <c r="AB47" s="759"/>
      <c r="AC47" s="759"/>
    </row>
    <row r="48" spans="1:29" ht="15.75" thickBot="1">
      <c r="A48" s="492" t="s">
        <v>2744</v>
      </c>
      <c r="B48" s="493"/>
      <c r="C48" s="494" t="e">
        <f>R48</f>
        <v>#DIV/0!</v>
      </c>
      <c r="D48" s="494"/>
      <c r="E48" s="494"/>
      <c r="F48" s="494"/>
      <c r="G48" s="494"/>
      <c r="H48" s="494"/>
      <c r="I48" s="494"/>
      <c r="J48" s="494"/>
      <c r="K48" s="785"/>
      <c r="L48" s="1146"/>
      <c r="M48" s="1147"/>
      <c r="N48" s="1147"/>
      <c r="O48" s="1147"/>
      <c r="P48" s="3214" t="str">
        <f>A48</f>
        <v>估价对象XX用房的比较价值（楼面单价，元/平方米）</v>
      </c>
      <c r="Q48" s="3215"/>
      <c r="R48" s="3216" t="e">
        <f>ROUND(AVERAGE(R47:V47),0)</f>
        <v>#DIV/0!</v>
      </c>
      <c r="S48" s="3216"/>
      <c r="T48" s="3216"/>
      <c r="U48" s="3216"/>
      <c r="V48" s="3216"/>
      <c r="W48" s="321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2659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2745</v>
      </c>
      <c r="B55" s="685" t="s">
        <v>2746</v>
      </c>
      <c r="C55" s="2707" t="s">
        <v>2747</v>
      </c>
      <c r="D55" s="2708" t="s">
        <v>2748</v>
      </c>
      <c r="E55" s="686" t="s">
        <v>2749</v>
      </c>
      <c r="F55" s="1110" t="s">
        <v>2750</v>
      </c>
      <c r="G55" s="3175" t="s">
        <v>2751</v>
      </c>
      <c r="H55" s="3176"/>
      <c r="I55" s="144" t="s">
        <v>2752</v>
      </c>
      <c r="J55" s="2709">
        <f>项目基本情况!F35</f>
        <v>0</v>
      </c>
      <c r="K55" s="2710" t="s">
        <v>2753</v>
      </c>
      <c r="L55" s="1109"/>
      <c r="M55" s="1147"/>
      <c r="N55" s="1147"/>
      <c r="O55" s="1147"/>
    </row>
    <row r="56" spans="1:15" s="692" customFormat="1">
      <c r="A56" s="688" t="s">
        <v>2754</v>
      </c>
      <c r="B56" s="689" t="e">
        <f>C48</f>
        <v>#DIV/0!</v>
      </c>
      <c r="C56" s="690">
        <v>1</v>
      </c>
      <c r="D56" s="1166">
        <v>1</v>
      </c>
      <c r="E56" s="690">
        <f>'数据-汇总表'!E8+'数据-汇总表'!E9</f>
        <v>34832.270000000004</v>
      </c>
      <c r="F56" s="1106" t="e">
        <f t="shared" ref="F56:F65" si="15">ROUND(B56*E56/10000,0)</f>
        <v>#DIV/0!</v>
      </c>
      <c r="G56" s="3177"/>
      <c r="H56" s="3178"/>
      <c r="I56" s="1111">
        <v>1</v>
      </c>
      <c r="J56" s="1114">
        <v>1</v>
      </c>
      <c r="K56" s="1148"/>
      <c r="L56" s="944"/>
      <c r="M56" s="944"/>
      <c r="N56" s="944"/>
      <c r="O56" s="944"/>
    </row>
    <row r="57" spans="1:15" s="692" customFormat="1">
      <c r="A57" s="693" t="s">
        <v>2755</v>
      </c>
      <c r="B57" s="262" t="e">
        <f>ROUND($C$48*C57*D57,0)</f>
        <v>#DIV/0!</v>
      </c>
      <c r="C57" s="200">
        <f t="shared" ref="C57:C65" si="16">IF($C$55="北京市系数",I57,J57)</f>
        <v>0</v>
      </c>
      <c r="D57" s="1167">
        <v>0.25</v>
      </c>
      <c r="E57" s="694"/>
      <c r="F57" s="1106" t="e">
        <f t="shared" si="15"/>
        <v>#DIV/0!</v>
      </c>
      <c r="G57" s="3179" t="s">
        <v>2756</v>
      </c>
      <c r="H57" s="1107">
        <f>项目基本情况!B37</f>
        <v>0</v>
      </c>
      <c r="I57" s="1111">
        <f>SUMIF(修正!A45:A56,H57,修正!B45:B56)</f>
        <v>0</v>
      </c>
      <c r="J57" s="1115"/>
      <c r="K57" s="1147"/>
      <c r="L57" s="944"/>
      <c r="M57" s="944"/>
      <c r="N57" s="944"/>
      <c r="O57" s="944"/>
    </row>
    <row r="58" spans="1:15" s="692" customFormat="1">
      <c r="A58" s="693" t="s">
        <v>2757</v>
      </c>
      <c r="B58" s="262" t="e">
        <f t="shared" ref="B58:B65" si="17">ROUND($C$48*C58*D58,0)</f>
        <v>#DIV/0!</v>
      </c>
      <c r="C58" s="200">
        <f t="shared" si="16"/>
        <v>0</v>
      </c>
      <c r="D58" s="1167">
        <v>0.25</v>
      </c>
      <c r="E58" s="694"/>
      <c r="F58" s="1106" t="e">
        <f t="shared" si="15"/>
        <v>#DIV/0!</v>
      </c>
      <c r="G58" s="3179"/>
      <c r="H58" s="1107">
        <f>项目基本情况!B37</f>
        <v>0</v>
      </c>
      <c r="I58" s="1111">
        <f>SUMIF(修正!A45:A56,H58,修正!C45:C56)</f>
        <v>0</v>
      </c>
      <c r="J58" s="1115"/>
      <c r="K58" s="1148"/>
      <c r="L58" s="944"/>
      <c r="M58" s="944"/>
      <c r="N58" s="944"/>
      <c r="O58" s="944"/>
    </row>
    <row r="59" spans="1:15" s="692" customFormat="1">
      <c r="A59" s="693" t="s">
        <v>2758</v>
      </c>
      <c r="B59" s="262" t="e">
        <f t="shared" si="17"/>
        <v>#DIV/0!</v>
      </c>
      <c r="C59" s="200">
        <f t="shared" si="16"/>
        <v>0</v>
      </c>
      <c r="D59" s="1167">
        <v>0.25</v>
      </c>
      <c r="E59" s="694"/>
      <c r="F59" s="1106" t="e">
        <f t="shared" si="15"/>
        <v>#DIV/0!</v>
      </c>
      <c r="G59" s="3179"/>
      <c r="H59" s="1107">
        <f>项目基本情况!B37</f>
        <v>0</v>
      </c>
      <c r="I59" s="1111">
        <f>SUMIF(修正!A45:A56,H59,修正!D45:D56)</f>
        <v>0</v>
      </c>
      <c r="J59" s="1115"/>
      <c r="K59" s="1147"/>
      <c r="L59" s="944"/>
      <c r="M59" s="944"/>
      <c r="N59" s="944"/>
      <c r="O59" s="944"/>
    </row>
    <row r="60" spans="1:15" s="692" customFormat="1">
      <c r="A60" s="693" t="s">
        <v>2759</v>
      </c>
      <c r="B60" s="262" t="e">
        <f t="shared" si="17"/>
        <v>#DIV/0!</v>
      </c>
      <c r="C60" s="200">
        <f t="shared" si="16"/>
        <v>0</v>
      </c>
      <c r="D60" s="1167">
        <v>0.25</v>
      </c>
      <c r="E60" s="694"/>
      <c r="F60" s="1106" t="e">
        <f t="shared" si="15"/>
        <v>#DIV/0!</v>
      </c>
      <c r="G60" s="3179"/>
      <c r="H60" s="1107">
        <f>项目基本情况!B37</f>
        <v>0</v>
      </c>
      <c r="I60" s="1111">
        <f>SUMIF(修正!A45:A56,H60,修正!E45:E56)</f>
        <v>0</v>
      </c>
      <c r="J60" s="1115"/>
      <c r="K60" s="1148"/>
      <c r="L60" s="944"/>
      <c r="M60" s="944"/>
      <c r="N60" s="944"/>
      <c r="O60" s="944"/>
    </row>
    <row r="61" spans="1:15" s="692" customFormat="1">
      <c r="A61" s="693" t="s">
        <v>2760</v>
      </c>
      <c r="B61" s="262" t="e">
        <f t="shared" si="17"/>
        <v>#DIV/0!</v>
      </c>
      <c r="C61" s="200">
        <f t="shared" si="16"/>
        <v>0</v>
      </c>
      <c r="D61" s="1167">
        <v>0.25</v>
      </c>
      <c r="E61" s="261">
        <f>'数据-汇总表'!E11</f>
        <v>0</v>
      </c>
      <c r="F61" s="1106" t="e">
        <f t="shared" si="15"/>
        <v>#DIV/0!</v>
      </c>
      <c r="G61" s="2711" t="s">
        <v>2761</v>
      </c>
      <c r="H61" s="1107">
        <f>项目基本情况!C37</f>
        <v>0</v>
      </c>
      <c r="I61" s="1111">
        <f>SUMIF(修正!A45:A56,H61,修正!F45:F56)</f>
        <v>0</v>
      </c>
      <c r="J61" s="1115"/>
      <c r="K61" s="1147"/>
      <c r="L61" s="944"/>
      <c r="M61" s="944"/>
      <c r="N61" s="944"/>
      <c r="O61" s="944"/>
    </row>
    <row r="62" spans="1:15" s="692" customFormat="1">
      <c r="A62" s="693" t="s">
        <v>2762</v>
      </c>
      <c r="B62" s="262" t="e">
        <f t="shared" si="17"/>
        <v>#DIV/0!</v>
      </c>
      <c r="C62" s="200">
        <f t="shared" si="16"/>
        <v>0</v>
      </c>
      <c r="D62" s="1167">
        <v>0.25</v>
      </c>
      <c r="E62" s="261">
        <f>'数据-汇总表'!E12</f>
        <v>0</v>
      </c>
      <c r="F62" s="1106" t="e">
        <f t="shared" si="15"/>
        <v>#DIV/0!</v>
      </c>
      <c r="G62" s="1112" t="s">
        <v>2763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2764</v>
      </c>
      <c r="B63" s="262" t="e">
        <f t="shared" si="17"/>
        <v>#DIV/0!</v>
      </c>
      <c r="C63" s="200">
        <f t="shared" si="16"/>
        <v>0</v>
      </c>
      <c r="D63" s="1167">
        <v>0.25</v>
      </c>
      <c r="E63" s="261">
        <f>'数据-汇总表'!E13</f>
        <v>0</v>
      </c>
      <c r="F63" s="1106" t="e">
        <f t="shared" si="15"/>
        <v>#DIV/0!</v>
      </c>
      <c r="G63" s="1112" t="s">
        <v>2765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2766</v>
      </c>
      <c r="B64" s="262" t="e">
        <f t="shared" si="17"/>
        <v>#DIV/0!</v>
      </c>
      <c r="C64" s="200">
        <f t="shared" si="16"/>
        <v>0</v>
      </c>
      <c r="D64" s="1167">
        <v>0.25</v>
      </c>
      <c r="E64" s="261">
        <f>'数据-汇总表'!E14</f>
        <v>0</v>
      </c>
      <c r="F64" s="1106" t="e">
        <f t="shared" si="15"/>
        <v>#DIV/0!</v>
      </c>
      <c r="G64" s="2711" t="s">
        <v>2756</v>
      </c>
      <c r="H64" s="1107">
        <f>项目基本情况!B37</f>
        <v>0</v>
      </c>
      <c r="I64" s="1111">
        <f>SUMIF(修正!A45:A56,H64,修正!H45:H56)</f>
        <v>0</v>
      </c>
      <c r="J64" s="1115"/>
      <c r="K64" s="1148"/>
      <c r="L64" s="944"/>
      <c r="M64" s="944"/>
      <c r="N64" s="944"/>
      <c r="O64" s="944"/>
    </row>
    <row r="65" spans="1:17" s="692" customFormat="1" ht="15" thickBot="1">
      <c r="A65" s="693" t="s">
        <v>2767</v>
      </c>
      <c r="B65" s="262" t="e">
        <f t="shared" si="17"/>
        <v>#DIV/0!</v>
      </c>
      <c r="C65" s="200">
        <f t="shared" si="16"/>
        <v>0</v>
      </c>
      <c r="D65" s="1167">
        <v>0.25</v>
      </c>
      <c r="E65" s="261">
        <f>'数据-汇总表'!E15</f>
        <v>0</v>
      </c>
      <c r="F65" s="1106" t="e">
        <f t="shared" si="15"/>
        <v>#DIV/0!</v>
      </c>
      <c r="G65" s="2712" t="s">
        <v>2761</v>
      </c>
      <c r="H65" s="1117">
        <f>项目基本情况!C37</f>
        <v>0</v>
      </c>
      <c r="I65" s="1113">
        <f>SUMIF(修正!A45:A56,H65,修正!H45:H56)</f>
        <v>0</v>
      </c>
      <c r="J65" s="1116"/>
      <c r="K65" s="1147"/>
      <c r="L65" s="944"/>
      <c r="M65" s="944"/>
      <c r="N65" s="944"/>
      <c r="O65" s="944"/>
    </row>
    <row r="66" spans="1:17" s="692" customFormat="1" ht="13.5" thickBot="1">
      <c r="A66" s="695" t="s">
        <v>2768</v>
      </c>
      <c r="B66" s="696" t="s">
        <v>28</v>
      </c>
      <c r="C66" s="696" t="s">
        <v>29</v>
      </c>
      <c r="D66" s="696" t="s">
        <v>1029</v>
      </c>
      <c r="E66" s="696">
        <f>IF(B46="楼面地价",SUM(E56:E65),'数据-汇总表'!D3)</f>
        <v>34832.270000000004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2661</v>
      </c>
      <c r="B69" s="759"/>
      <c r="C69" s="764"/>
      <c r="D69" s="764"/>
      <c r="E69" s="764"/>
      <c r="F69" s="765"/>
      <c r="G69" s="765"/>
      <c r="H69" s="764"/>
      <c r="I69" s="764"/>
      <c r="J69" s="1162"/>
      <c r="K69" s="1163"/>
      <c r="L69" s="1164"/>
      <c r="M69" s="1162"/>
      <c r="N69" s="1162"/>
      <c r="O69" s="1162"/>
      <c r="P69" s="503"/>
      <c r="Q69" s="504"/>
    </row>
    <row r="70" spans="1:17" s="508" customFormat="1" ht="15">
      <c r="A70" s="2713" t="s">
        <v>2769</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4" t="s">
        <v>2770</v>
      </c>
      <c r="B71" s="332" t="str">
        <f>"北京市平均增长率"&amp;TEXT(SUMIF('基准地价修正-一期'!N21:N25,A71,'基准地价修正-一期'!P21:P25),"0.00%")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2572</v>
      </c>
      <c r="B72" s="516"/>
      <c r="C72" s="517"/>
      <c r="D72" s="518"/>
      <c r="E72" s="518"/>
      <c r="F72" s="518"/>
      <c r="G72" s="518"/>
      <c r="H72" s="518"/>
      <c r="I72" s="518"/>
      <c r="J72" s="518"/>
      <c r="K72" s="518"/>
      <c r="L72" s="518"/>
      <c r="M72" s="519"/>
      <c r="N72" s="518"/>
      <c r="O72" s="1165"/>
      <c r="P72" s="504"/>
      <c r="Q72" s="504"/>
    </row>
    <row r="73" spans="1:17" s="117" customFormat="1" ht="15">
      <c r="A73" s="521" t="s">
        <v>2537</v>
      </c>
      <c r="B73" s="510"/>
      <c r="C73" s="522" t="s">
        <v>2639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2575</v>
      </c>
      <c r="B75" s="528" t="s">
        <v>2541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2546</v>
      </c>
      <c r="B88" s="528" t="s">
        <v>2583</v>
      </c>
      <c r="C88" s="573" t="s">
        <v>2584</v>
      </c>
      <c r="D88" s="573" t="s">
        <v>2585</v>
      </c>
      <c r="E88" s="573" t="s">
        <v>2586</v>
      </c>
      <c r="F88" s="573" t="s">
        <v>2587</v>
      </c>
      <c r="G88" s="573" t="s">
        <v>2588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2771</v>
      </c>
      <c r="C90" s="578" t="s">
        <v>2584</v>
      </c>
      <c r="D90" s="578" t="s">
        <v>2585</v>
      </c>
      <c r="E90" s="578" t="s">
        <v>2586</v>
      </c>
      <c r="F90" s="578" t="s">
        <v>2587</v>
      </c>
      <c r="G90" s="578" t="s">
        <v>2588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2684</v>
      </c>
      <c r="C92" s="578" t="s">
        <v>2584</v>
      </c>
      <c r="D92" s="578" t="s">
        <v>2585</v>
      </c>
      <c r="E92" s="578" t="s">
        <v>2586</v>
      </c>
      <c r="F92" s="578" t="s">
        <v>2587</v>
      </c>
      <c r="G92" s="578" t="s">
        <v>2588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2589</v>
      </c>
      <c r="C94" s="578" t="s">
        <v>2584</v>
      </c>
      <c r="D94" s="578" t="s">
        <v>2585</v>
      </c>
      <c r="E94" s="578" t="s">
        <v>2586</v>
      </c>
      <c r="F94" s="578" t="s">
        <v>2587</v>
      </c>
      <c r="G94" s="578" t="s">
        <v>2588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2772</v>
      </c>
      <c r="C96" s="578" t="s">
        <v>2584</v>
      </c>
      <c r="D96" s="578" t="s">
        <v>2585</v>
      </c>
      <c r="E96" s="578" t="s">
        <v>2586</v>
      </c>
      <c r="F96" s="578" t="s">
        <v>2587</v>
      </c>
      <c r="G96" s="578" t="s">
        <v>2588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2773</v>
      </c>
      <c r="C98" s="573" t="s">
        <v>2584</v>
      </c>
      <c r="D98" s="573" t="s">
        <v>2585</v>
      </c>
      <c r="E98" s="573" t="s">
        <v>2586</v>
      </c>
      <c r="F98" s="573" t="s">
        <v>2587</v>
      </c>
      <c r="G98" s="573" t="s">
        <v>2588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2641</v>
      </c>
      <c r="C100" s="573" t="s">
        <v>2584</v>
      </c>
      <c r="D100" s="573" t="s">
        <v>2585</v>
      </c>
      <c r="E100" s="573" t="s">
        <v>2586</v>
      </c>
      <c r="F100" s="573" t="s">
        <v>2587</v>
      </c>
      <c r="G100" s="573" t="s">
        <v>2588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2642</v>
      </c>
      <c r="C102" s="660" t="s">
        <v>2662</v>
      </c>
      <c r="D102" s="660" t="s">
        <v>2663</v>
      </c>
      <c r="E102" s="660" t="s">
        <v>2664</v>
      </c>
      <c r="F102" s="660" t="s">
        <v>2665</v>
      </c>
      <c r="G102" s="660" t="s">
        <v>2666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2774</v>
      </c>
      <c r="D104" s="539" t="s">
        <v>2775</v>
      </c>
      <c r="E104" s="539" t="s">
        <v>2776</v>
      </c>
      <c r="F104" s="539" t="s">
        <v>2777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2550</v>
      </c>
      <c r="B116" s="528" t="s">
        <v>2778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2779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SUMPRODUCT((A105:A204=ROUNDDOWN('基准地价修正-一期'!G3,1))*(B104:M104='基准地价修正-一期'!G2)*(B105:M204))</f>
        <v>1.0961000000000001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49" sqref="B49"/>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2988</v>
      </c>
    </row>
    <row r="2" spans="1:5" ht="15.75">
      <c r="A2" s="2910" t="s">
        <v>2980</v>
      </c>
      <c r="B2" s="2911">
        <f ca="1">SUMIF(B6:B13,"&lt;&gt;#ref!",B6:B13)</f>
        <v>0</v>
      </c>
      <c r="C2" s="2910" t="s">
        <v>2981</v>
      </c>
      <c r="D2" s="2910" t="s">
        <v>2982</v>
      </c>
      <c r="E2" s="2911">
        <f ca="1">SUMIF(E6:E13,"&lt;&gt;#ref!",E6:E13)</f>
        <v>0</v>
      </c>
    </row>
    <row r="3" spans="1:5" ht="15.75">
      <c r="A3" s="2910" t="s">
        <v>2983</v>
      </c>
      <c r="B3" s="2911" t="e">
        <f ca="1">ROUND(B2*10000/E2,0)</f>
        <v>#DIV/0!</v>
      </c>
      <c r="C3" s="2910" t="s">
        <v>2989</v>
      </c>
      <c r="D3" s="2912"/>
      <c r="E3" s="2912"/>
    </row>
    <row r="4" spans="1:5" ht="15.75">
      <c r="A4" s="2913"/>
      <c r="B4" s="2912"/>
      <c r="C4" s="2912"/>
      <c r="D4" s="2912"/>
      <c r="E4" s="2912"/>
    </row>
    <row r="5" spans="1:5" ht="28.5">
      <c r="A5" s="2914" t="s">
        <v>2984</v>
      </c>
      <c r="B5" s="2910" t="s">
        <v>2985</v>
      </c>
      <c r="C5" s="2911"/>
      <c r="D5" s="2912"/>
      <c r="E5" s="2910" t="s">
        <v>2986</v>
      </c>
    </row>
    <row r="6" spans="1:5" ht="15.75">
      <c r="A6" s="2915" t="s">
        <v>2987</v>
      </c>
      <c r="B6" s="2911" t="e">
        <f ca="1">SUMIF(INDIRECT("'"&amp;A6&amp;"'"&amp;"!A:A"),"总价",INDIRECT("'"&amp;A6&amp;"'"&amp;"!B:B"))</f>
        <v>#REF!</v>
      </c>
      <c r="C6" s="2910" t="s">
        <v>2981</v>
      </c>
      <c r="D6" s="2912"/>
      <c r="E6" s="2577" t="e">
        <f ca="1">SUMIF(INDIRECT("'"&amp;A6&amp;"'"&amp;"!C:C"),"建筑面积",INDIRECT("'"&amp;A6&amp;"'"&amp;"!D:D"))</f>
        <v>#REF!</v>
      </c>
    </row>
    <row r="7" spans="1:5" ht="15.75">
      <c r="A7" s="2915"/>
      <c r="B7" s="2911" t="e">
        <f ca="1">SUMIF(INDIRECT("'"&amp;A7&amp;"'"&amp;"!A:A"),"总价",INDIRECT("'"&amp;A7&amp;"'"&amp;"!B:B"))</f>
        <v>#REF!</v>
      </c>
      <c r="C7" s="2910" t="s">
        <v>2981</v>
      </c>
      <c r="D7" s="2912"/>
      <c r="E7" s="2577" t="e">
        <f t="shared" ref="E7:E13" ca="1" si="0">SUMIF(INDIRECT("'"&amp;A7&amp;"'"&amp;"!C:C"),"建筑面积",INDIRECT("'"&amp;A7&amp;"'"&amp;"!D:D"))</f>
        <v>#REF!</v>
      </c>
    </row>
    <row r="8" spans="1:5" ht="15.75">
      <c r="A8" s="2915"/>
      <c r="B8" s="2911" t="e">
        <f t="shared" ref="B8:B13" ca="1" si="1">SUMIF(INDIRECT("'"&amp;A8&amp;"'"&amp;"!A:A"),"总价",INDIRECT("'"&amp;A8&amp;"'"&amp;"!B:B"))</f>
        <v>#REF!</v>
      </c>
      <c r="C8" s="2910" t="s">
        <v>2981</v>
      </c>
      <c r="D8" s="2912"/>
      <c r="E8" s="2577" t="e">
        <f t="shared" ca="1" si="0"/>
        <v>#REF!</v>
      </c>
    </row>
    <row r="9" spans="1:5" ht="15.75">
      <c r="A9" s="2915"/>
      <c r="B9" s="2911" t="e">
        <f t="shared" ca="1" si="1"/>
        <v>#REF!</v>
      </c>
      <c r="C9" s="2910" t="s">
        <v>2981</v>
      </c>
      <c r="D9" s="2912"/>
      <c r="E9" s="2577" t="e">
        <f t="shared" ca="1" si="0"/>
        <v>#REF!</v>
      </c>
    </row>
    <row r="10" spans="1:5" ht="15.75">
      <c r="A10" s="2915"/>
      <c r="B10" s="2911" t="e">
        <f t="shared" ca="1" si="1"/>
        <v>#REF!</v>
      </c>
      <c r="C10" s="2910" t="s">
        <v>2981</v>
      </c>
      <c r="D10" s="2912"/>
      <c r="E10" s="2577" t="e">
        <f t="shared" ca="1" si="0"/>
        <v>#REF!</v>
      </c>
    </row>
    <row r="11" spans="1:5" ht="15.75">
      <c r="A11" s="2915"/>
      <c r="B11" s="2911" t="e">
        <f t="shared" ca="1" si="1"/>
        <v>#REF!</v>
      </c>
      <c r="C11" s="2910" t="s">
        <v>2981</v>
      </c>
      <c r="D11" s="2912"/>
      <c r="E11" s="2577" t="e">
        <f t="shared" ca="1" si="0"/>
        <v>#REF!</v>
      </c>
    </row>
    <row r="12" spans="1:5" ht="15.75">
      <c r="A12" s="2915"/>
      <c r="B12" s="2911" t="e">
        <f t="shared" ca="1" si="1"/>
        <v>#REF!</v>
      </c>
      <c r="C12" s="2910" t="s">
        <v>2981</v>
      </c>
      <c r="D12" s="2912"/>
      <c r="E12" s="2577" t="e">
        <f t="shared" ca="1" si="0"/>
        <v>#REF!</v>
      </c>
    </row>
    <row r="13" spans="1:5" ht="15.75">
      <c r="A13" s="2915"/>
      <c r="B13" s="2911" t="e">
        <f t="shared" ca="1" si="1"/>
        <v>#REF!</v>
      </c>
      <c r="C13" s="2910" t="s">
        <v>2981</v>
      </c>
      <c r="D13" s="2912"/>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B49" sqref="B49"/>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2" t="s">
        <v>1150</v>
      </c>
      <c r="C1" s="3272"/>
      <c r="D1" s="3272"/>
      <c r="E1" s="3272"/>
      <c r="F1" s="3272"/>
      <c r="G1" s="3271" t="s">
        <v>1151</v>
      </c>
      <c r="H1" s="3271"/>
      <c r="I1" s="3271"/>
      <c r="J1" s="3271"/>
      <c r="K1" s="3271"/>
      <c r="L1" s="3271"/>
      <c r="N1" s="3271" t="s">
        <v>1152</v>
      </c>
      <c r="O1" s="3271"/>
      <c r="P1" s="3271"/>
      <c r="Q1" s="3271"/>
      <c r="R1" s="1449"/>
      <c r="S1" s="3271" t="s">
        <v>1153</v>
      </c>
      <c r="T1" s="3271"/>
      <c r="U1" s="3271"/>
      <c r="V1" s="3271"/>
      <c r="X1" s="3270" t="s">
        <v>1154</v>
      </c>
      <c r="Y1" s="3271"/>
      <c r="Z1" s="3271"/>
      <c r="AA1" s="3271"/>
      <c r="AB1" s="3271"/>
      <c r="AD1" s="3270" t="s">
        <v>1155</v>
      </c>
      <c r="AE1" s="3271"/>
      <c r="AF1" s="3271"/>
      <c r="AG1" s="3271"/>
      <c r="AH1" s="327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9" customFormat="1" ht="14.25">
      <c r="A3" s="2938" t="s">
        <v>3023</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3031</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1">
        <v>2018</v>
      </c>
      <c r="H5" s="1733">
        <v>4</v>
      </c>
      <c r="I5" s="2924">
        <v>0</v>
      </c>
      <c r="J5" s="2924">
        <v>0</v>
      </c>
      <c r="K5" s="2924">
        <v>0</v>
      </c>
      <c r="L5" s="2924">
        <v>0</v>
      </c>
      <c r="N5" s="1470">
        <f>I5/100</f>
        <v>0</v>
      </c>
      <c r="O5" s="1470">
        <f t="shared" ref="O5" si="7">J5/100</f>
        <v>0</v>
      </c>
      <c r="P5" s="1470">
        <f t="shared" ref="P5" si="8">K5/100</f>
        <v>0</v>
      </c>
      <c r="Q5" s="1470">
        <f t="shared" ref="Q5" si="9">L5/100</f>
        <v>0</v>
      </c>
      <c r="R5" s="1735"/>
      <c r="S5" s="1736"/>
      <c r="T5" s="1735"/>
      <c r="U5" s="1735"/>
      <c r="V5" s="1735"/>
      <c r="W5" s="2928" t="s">
        <v>3024</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3032</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39"/>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3030</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39"/>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3022</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39"/>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3019</v>
      </c>
      <c r="B9" s="1472">
        <v>439</v>
      </c>
      <c r="C9" s="1472">
        <v>327</v>
      </c>
      <c r="D9" s="1472">
        <f>C9</f>
        <v>327</v>
      </c>
      <c r="E9" s="1472">
        <v>627</v>
      </c>
      <c r="F9" s="1473">
        <v>283</v>
      </c>
      <c r="G9" s="2926">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3020</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2"/>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1"/>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2"/>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73">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8"/>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8"/>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9"/>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7">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8"/>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8"/>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9"/>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7">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8"/>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8"/>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9"/>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74">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5"/>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75"/>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76"/>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67">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68"/>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68"/>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69"/>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67">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8">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68">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69">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67">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8">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68">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69">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67">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8">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68">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69">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67">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8">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68">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69">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67">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8">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68">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69">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67">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8">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68">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69">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67">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8">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68">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69">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67">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8">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68">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69">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67">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68">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68">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69">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67">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68">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68">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69">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4"/>
      <c r="B4" s="2964" t="s">
        <v>1630</v>
      </c>
      <c r="C4" s="2964"/>
      <c r="D4" s="2964"/>
      <c r="E4" s="1964"/>
    </row>
    <row r="5" spans="1:5" ht="16.5" thickTop="1">
      <c r="A5" s="1962"/>
      <c r="B5" s="2962" t="s">
        <v>1622</v>
      </c>
      <c r="C5" s="1965" t="s">
        <v>1623</v>
      </c>
      <c r="D5" s="1043">
        <f ca="1">结果表!H101</f>
        <v>18218</v>
      </c>
      <c r="E5" s="1962"/>
    </row>
    <row r="6" spans="1:5" ht="15.75">
      <c r="A6" s="1962"/>
      <c r="B6" s="2962"/>
      <c r="C6" s="1965" t="s">
        <v>1624</v>
      </c>
      <c r="D6" s="1043" t="str">
        <f ca="1">NUMBERSTRING(INT(D5*10000),2)&amp;"元整"</f>
        <v>壹亿捌仟贰佰壹拾捌万元整</v>
      </c>
      <c r="E6" s="1962"/>
    </row>
    <row r="7" spans="1:5" ht="15.75">
      <c r="A7" s="1962"/>
      <c r="B7" s="2967"/>
      <c r="C7" s="1966" t="s">
        <v>1625</v>
      </c>
      <c r="D7" s="1044">
        <f ca="1">结果表!H102</f>
        <v>4946</v>
      </c>
      <c r="E7" s="1962"/>
    </row>
    <row r="8" spans="1:5" ht="15.75">
      <c r="A8" s="1962"/>
      <c r="B8" s="2968" t="str">
        <f>结果表!E103</f>
        <v>2.估价师知悉的法定优先受偿款</v>
      </c>
      <c r="C8" s="1967" t="s">
        <v>1626</v>
      </c>
      <c r="D8" s="1044">
        <f>结果表!H103</f>
        <v>0</v>
      </c>
      <c r="E8" s="1962"/>
    </row>
    <row r="9" spans="1:5" ht="15.75">
      <c r="A9" s="1962"/>
      <c r="B9" s="2970"/>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61" t="str">
        <f>结果表!E107</f>
        <v>3.房地产抵押价值</v>
      </c>
      <c r="C13" s="1970" t="s">
        <v>1623</v>
      </c>
      <c r="D13" s="1046">
        <f ca="1">结果表!H107</f>
        <v>18218</v>
      </c>
      <c r="E13" s="1962"/>
    </row>
    <row r="14" spans="1:5" ht="15.75">
      <c r="A14" s="1962"/>
      <c r="B14" s="2962"/>
      <c r="C14" s="1965" t="s">
        <v>1624</v>
      </c>
      <c r="D14" s="1043" t="str">
        <f ca="1">NUMBERSTRING(INT(D13*10000),2)&amp;"元整"</f>
        <v>壹亿捌仟贰佰壹拾捌万元整</v>
      </c>
      <c r="E14" s="1962"/>
    </row>
    <row r="15" spans="1:5" ht="15">
      <c r="A15" s="1962"/>
      <c r="B15" s="2967"/>
      <c r="C15" s="1966" t="s">
        <v>1634</v>
      </c>
      <c r="D15" s="1055">
        <f ca="1">结果表!H108</f>
        <v>4946</v>
      </c>
      <c r="E15" s="1962"/>
    </row>
    <row r="16" spans="1:5" ht="15">
      <c r="A16" s="1962"/>
      <c r="B16" s="2968" t="str">
        <f>结果表!E109</f>
        <v>——</v>
      </c>
      <c r="C16" s="1970" t="s">
        <v>1635</v>
      </c>
      <c r="D16" s="1971" t="str">
        <f>结果表!H109</f>
        <v>——</v>
      </c>
      <c r="E16" s="1962"/>
    </row>
    <row r="17" spans="1:5" ht="15.75">
      <c r="A17" s="1962"/>
      <c r="B17" s="2969"/>
      <c r="C17" s="1965" t="s">
        <v>1636</v>
      </c>
      <c r="D17" s="1043" t="e">
        <f>NUMBERSTRING(INT(D16*10000),2)&amp;"元整"</f>
        <v>#VALUE!</v>
      </c>
      <c r="E17" s="1962"/>
    </row>
    <row r="18" spans="1:5" ht="15">
      <c r="A18" s="1962"/>
      <c r="B18" s="2970"/>
      <c r="C18" s="1966" t="s">
        <v>1625</v>
      </c>
      <c r="D18" s="1055" t="str">
        <f>结果表!H110</f>
        <v>——</v>
      </c>
      <c r="E18" s="1962"/>
    </row>
    <row r="19" spans="1:5" ht="15.75">
      <c r="A19" s="1962"/>
      <c r="B19" s="2961" t="str">
        <f>结果表!E111</f>
        <v>——</v>
      </c>
      <c r="C19" s="1970" t="s">
        <v>1623</v>
      </c>
      <c r="D19" s="1044" t="str">
        <f>结果表!H111</f>
        <v>——</v>
      </c>
      <c r="E19" s="1962"/>
    </row>
    <row r="20" spans="1:5" ht="15.75">
      <c r="A20" s="1962"/>
      <c r="B20" s="2962"/>
      <c r="C20" s="1965" t="s">
        <v>1636</v>
      </c>
      <c r="D20" s="1043" t="e">
        <f>NUMBERSTRING(INT(D19*10000),2)&amp;"元整"</f>
        <v>#VALUE!</v>
      </c>
      <c r="E20" s="1962"/>
    </row>
    <row r="21" spans="1:5" ht="15.75" thickBot="1">
      <c r="A21" s="1962"/>
      <c r="B21" s="2963"/>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49" sqref="B49"/>
      <selection pane="bottomLeft" activeCell="B49" sqref="B4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2990</v>
      </c>
      <c r="C1" s="3278" t="s">
        <v>2991</v>
      </c>
      <c r="D1" s="3279"/>
      <c r="E1" s="3279"/>
      <c r="F1" s="3279"/>
      <c r="G1" s="3279"/>
      <c r="H1" s="3279"/>
      <c r="I1" s="3279"/>
      <c r="J1" s="3279"/>
      <c r="K1" s="3279"/>
      <c r="L1" s="3279"/>
      <c r="M1" s="3279"/>
      <c r="N1" s="3279"/>
      <c r="O1" s="3279"/>
      <c r="P1" s="3279"/>
      <c r="Q1" s="3279"/>
      <c r="R1" s="3279"/>
      <c r="S1" s="3280"/>
      <c r="T1" s="1207" t="s">
        <v>2992</v>
      </c>
    </row>
    <row r="2" spans="1:45" s="707" customFormat="1">
      <c r="A2" s="1208"/>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2996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2997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2998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2999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3000</v>
      </c>
      <c r="B17" s="2917" t="s">
        <v>3001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3002</v>
      </c>
      <c r="E19" s="1795"/>
      <c r="F19" s="1795"/>
      <c r="G19" s="1795"/>
      <c r="H19" s="1283"/>
      <c r="I19" s="168"/>
      <c r="J19" s="168"/>
      <c r="K19" s="168"/>
      <c r="L19" s="168"/>
      <c r="M19" s="168"/>
      <c r="N19" s="168"/>
      <c r="O19" s="168"/>
      <c r="P19" s="168"/>
      <c r="Q19" s="168"/>
      <c r="R19" s="788"/>
      <c r="S19" s="138"/>
    </row>
    <row r="20" spans="1:45" ht="16.5" thickBot="1">
      <c r="A20" s="715" t="s">
        <v>3003</v>
      </c>
      <c r="B20" s="338" t="e">
        <f ca="1">IF(D20="——",S22,S22-F20)</f>
        <v>#REF!</v>
      </c>
      <c r="C20" s="168"/>
      <c r="D20" s="2919" t="s">
        <v>3004</v>
      </c>
      <c r="E20" s="1796"/>
      <c r="F20" s="1207" t="e">
        <f ca="1">SUMIF(INDIRECT("'"&amp;H20&amp;"'"&amp;"!A:A"),"承租人权益价值",INDIRECT("'"&amp;H20&amp;"'"&amp;"!c:c"))</f>
        <v>#REF!</v>
      </c>
      <c r="G20" s="1207" t="s">
        <v>3005</v>
      </c>
      <c r="H20" s="2920"/>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141" t="s">
        <v>33</v>
      </c>
      <c r="D22" s="3142"/>
      <c r="E22" s="3142"/>
      <c r="F22" s="3142"/>
      <c r="G22" s="3142"/>
      <c r="H22" s="3142"/>
      <c r="I22" s="3142"/>
      <c r="J22" s="3142"/>
      <c r="K22" s="3142"/>
      <c r="L22" s="3142"/>
      <c r="M22" s="3142"/>
      <c r="N22" s="3142"/>
      <c r="O22" s="3142"/>
      <c r="P22" s="3142"/>
      <c r="Q22" s="3277"/>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38632</v>
      </c>
      <c r="C2" s="2" t="s">
        <v>133</v>
      </c>
      <c r="D2" s="243"/>
      <c r="E2" s="243"/>
      <c r="F2" s="243"/>
      <c r="G2" s="243"/>
    </row>
    <row r="3" spans="1:7" s="244" customFormat="1" ht="18" customHeight="1" thickBot="1">
      <c r="A3" s="247" t="s">
        <v>85</v>
      </c>
      <c r="B3" s="248">
        <f ca="1">ROUND(B2*10000/'数据-汇总表'!E3,0)</f>
        <v>10489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737</v>
      </c>
      <c r="D10" s="1035">
        <f>'数据-汇总表'!E6</f>
        <v>36832.270000000004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737</v>
      </c>
      <c r="D19" s="1039">
        <f>'数据-汇总表'!E3</f>
        <v>36832.270000000004</v>
      </c>
      <c r="E19" s="255">
        <f>'数据-取费表'!B31</f>
        <v>200</v>
      </c>
      <c r="F19" s="275"/>
      <c r="G19" s="1" t="s">
        <v>1074</v>
      </c>
    </row>
    <row r="20" spans="1:7" s="258" customFormat="1" ht="13.5" customHeight="1">
      <c r="A20" s="951" t="s">
        <v>1057</v>
      </c>
      <c r="B20" s="254" t="s">
        <v>104</v>
      </c>
      <c r="C20" s="276">
        <f>ROUND((C5+C19)*F20,0)</f>
        <v>427</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1341</v>
      </c>
      <c r="D22" s="279">
        <f ca="1">C26</f>
        <v>5.9999999999999995E-4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1282</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46</v>
      </c>
      <c r="D24" s="282"/>
      <c r="E24" s="282"/>
      <c r="F24" s="283"/>
      <c r="G24" s="284" t="s">
        <v>109</v>
      </c>
    </row>
    <row r="25" spans="1:7" s="258" customFormat="1" ht="24">
      <c r="A25" s="954" t="s">
        <v>793</v>
      </c>
      <c r="B25" s="259" t="s">
        <v>1058</v>
      </c>
      <c r="C25" s="1358">
        <f ca="1">ROUND(IF('数据-取费表'!B22&lt;=1,C20*F22*'数据-取费表'!B23/2,C20*(POWER((1+F22),'数据-取费表'!B23/2)-1)),0)</f>
        <v>13</v>
      </c>
      <c r="D25" s="282"/>
      <c r="E25" s="285"/>
      <c r="F25" s="283"/>
      <c r="G25" s="286" t="s">
        <v>110</v>
      </c>
    </row>
    <row r="26" spans="1:7" s="258" customFormat="1">
      <c r="A26" s="954" t="s">
        <v>795</v>
      </c>
      <c r="B26" s="259" t="s">
        <v>1060</v>
      </c>
      <c r="C26" s="282">
        <f ca="1">ROUND(IF('数据-取费表'!B22&lt;=1,F21*F22*'数据-取费表'!B23/2,F21*(POWER((1+F22),'数据-取费表'!B23/2)-1)),4)</f>
        <v>5.9999999999999995E-4</v>
      </c>
      <c r="D26" s="282"/>
      <c r="E26" s="285"/>
      <c r="F26" s="283"/>
      <c r="G26" s="287"/>
    </row>
    <row r="27" spans="1:7" s="258" customFormat="1" ht="24.75">
      <c r="A27" s="951" t="s">
        <v>787</v>
      </c>
      <c r="B27" s="288" t="s">
        <v>112</v>
      </c>
      <c r="C27" s="289">
        <f>C28</f>
        <v>1887</v>
      </c>
      <c r="D27" s="279">
        <f>C29</f>
        <v>1.6999999999999999E-3</v>
      </c>
      <c r="E27" s="280" t="s">
        <v>126</v>
      </c>
      <c r="F27" s="290">
        <f>'数据-取费表'!Q16</f>
        <v>0.1</v>
      </c>
      <c r="G27" s="291" t="s">
        <v>1069</v>
      </c>
    </row>
    <row r="28" spans="1:7" s="258" customFormat="1" ht="13.5" customHeight="1">
      <c r="A28" s="954" t="s">
        <v>794</v>
      </c>
      <c r="B28" s="292" t="s">
        <v>1062</v>
      </c>
      <c r="C28" s="293">
        <f>ROUND((C5+C19+C20)*F27*'数据-取费表'!B21/'数据-取费表'!B20,0)</f>
        <v>1887</v>
      </c>
      <c r="D28" s="279"/>
      <c r="E28" s="280"/>
      <c r="F28" s="290"/>
      <c r="G28" s="291"/>
    </row>
    <row r="29" spans="1:7" s="258" customFormat="1" ht="13.5" customHeight="1">
      <c r="A29" s="954" t="s">
        <v>792</v>
      </c>
      <c r="B29" s="292" t="s">
        <v>1063</v>
      </c>
      <c r="C29" s="282">
        <f>ROUND(C21*F27*'数据-取费表'!B21/'数据-取费表'!B20,4)</f>
        <v>1.6999999999999999E-3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27020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9314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8273</v>
      </c>
      <c r="D34" s="261"/>
      <c r="E34" s="264"/>
      <c r="F34" s="301">
        <f>IF('数据-取费表'!B24=0,1,'数据-取费表'!N16)</f>
        <v>0.90800000000000003</v>
      </c>
      <c r="G34" s="263" t="s">
        <v>116</v>
      </c>
    </row>
    <row r="35" spans="1:7" ht="13.5" customHeight="1">
      <c r="A35" s="954" t="s">
        <v>796</v>
      </c>
      <c r="B35" s="259" t="s">
        <v>60</v>
      </c>
      <c r="C35" s="264">
        <f>ROUND(C34*F35,0)</f>
        <v>248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669</v>
      </c>
      <c r="D37" s="261">
        <f>'数据-汇总表'!E3</f>
        <v>36832.270000000004</v>
      </c>
      <c r="E37" s="293">
        <f>'数据-取费表'!B35</f>
        <v>200</v>
      </c>
      <c r="F37" s="303"/>
      <c r="G37" s="305" t="s">
        <v>119</v>
      </c>
    </row>
    <row r="38" spans="1:7" ht="13.5" customHeight="1">
      <c r="A38" s="954" t="s">
        <v>799</v>
      </c>
      <c r="B38" s="259" t="s">
        <v>63</v>
      </c>
      <c r="C38" s="264">
        <f>ROUND(C34*F38,0)</f>
        <v>124</v>
      </c>
      <c r="D38" s="264"/>
      <c r="E38" s="264"/>
      <c r="F38" s="303">
        <f>'数据-取费表'!B36</f>
        <v>1.4999999999999999E-2</v>
      </c>
      <c r="G38" s="263" t="s">
        <v>117</v>
      </c>
    </row>
    <row r="39" spans="1:7" s="258" customFormat="1" ht="13.5" customHeight="1">
      <c r="A39" s="951" t="s">
        <v>783</v>
      </c>
      <c r="B39" s="254" t="s">
        <v>104</v>
      </c>
      <c r="C39" s="276">
        <f>ROUND(C33*F20,0)</f>
        <v>186</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291</v>
      </c>
      <c r="D41" s="279">
        <f ca="1">C44</f>
        <v>5.9999999999999995E-4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285</v>
      </c>
      <c r="D42" s="282"/>
      <c r="E42" s="282"/>
      <c r="F42" s="283"/>
      <c r="G42" s="3166" t="s">
        <v>121</v>
      </c>
    </row>
    <row r="43" spans="1:7" ht="13.5" customHeight="1">
      <c r="A43" s="954" t="s">
        <v>792</v>
      </c>
      <c r="B43" s="259" t="s">
        <v>1064</v>
      </c>
      <c r="C43" s="282">
        <f ca="1">ROUND(IF('数据-取费表'!B22&lt;=1,C39*F22*'数据-取费表'!B21/2,C39*(POWER((1+F22),'数据-取费表'!B21/2)-1)),0)</f>
        <v>6</v>
      </c>
      <c r="D43" s="282"/>
      <c r="E43" s="282"/>
      <c r="F43" s="283"/>
      <c r="G43" s="3167"/>
    </row>
    <row r="44" spans="1:7" ht="13.5" customHeight="1">
      <c r="A44" s="954" t="s">
        <v>793</v>
      </c>
      <c r="B44" s="259" t="s">
        <v>1066</v>
      </c>
      <c r="C44" s="282">
        <f ca="1">ROUND(IF('数据-取费表'!B22&lt;=1,C40*F22*'数据-取费表'!B21/2,C40*(POWER((1+F22),'数据-取费表'!B21/2)-1)),4)</f>
        <v>5.9999999999999995E-4</v>
      </c>
      <c r="D44" s="282"/>
      <c r="E44" s="282"/>
      <c r="F44" s="283"/>
      <c r="G44" s="3168"/>
    </row>
    <row r="45" spans="1:7" s="258" customFormat="1" ht="13.5" customHeight="1">
      <c r="A45" s="951" t="s">
        <v>786</v>
      </c>
      <c r="B45" s="288" t="s">
        <v>112</v>
      </c>
      <c r="C45" s="289">
        <f>C46</f>
        <v>950</v>
      </c>
      <c r="D45" s="279">
        <f>C47</f>
        <v>2E-3</v>
      </c>
      <c r="E45" s="280" t="s">
        <v>129</v>
      </c>
      <c r="F45" s="290"/>
      <c r="G45" s="291" t="s">
        <v>1072</v>
      </c>
    </row>
    <row r="46" spans="1:7" s="258" customFormat="1" ht="13.5" customHeight="1">
      <c r="A46" s="954" t="s">
        <v>794</v>
      </c>
      <c r="B46" s="292" t="s">
        <v>1065</v>
      </c>
      <c r="C46" s="293">
        <f>ROUND((C33+C39)*F27,0)</f>
        <v>950</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11612</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11612</v>
      </c>
      <c r="D51" s="276"/>
      <c r="E51" s="276"/>
      <c r="F51" s="308"/>
      <c r="G51" s="278" t="s">
        <v>64</v>
      </c>
    </row>
    <row r="52" spans="1:7" s="252" customFormat="1" ht="16.5" thickBot="1">
      <c r="A52" s="309" t="s">
        <v>65</v>
      </c>
      <c r="B52" s="310"/>
      <c r="C52" s="311">
        <f ca="1">C31+C51</f>
        <v>38632</v>
      </c>
      <c r="D52" s="310"/>
      <c r="E52" s="310"/>
      <c r="F52" s="310"/>
      <c r="G52" s="312"/>
    </row>
    <row r="55" spans="1:7" ht="15">
      <c r="B55" s="314" t="s">
        <v>66</v>
      </c>
      <c r="C55" s="315"/>
    </row>
    <row r="56" spans="1:7">
      <c r="B56" s="317" t="s">
        <v>67</v>
      </c>
      <c r="C56" s="318">
        <f ca="1">ROUND(C51/C52,3)</f>
        <v>0.30099999999999999</v>
      </c>
    </row>
    <row r="57" spans="1:7">
      <c r="B57" s="317" t="s">
        <v>68</v>
      </c>
      <c r="C57" s="319">
        <f ca="1">1-C56</f>
        <v>0.69900000000000007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871</v>
      </c>
      <c r="B1" s="328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43430</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1641</v>
      </c>
      <c r="B2" s="2981" t="s">
        <v>1642</v>
      </c>
      <c r="C2" s="2981" t="s">
        <v>1643</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75"/>
      <c r="B3" s="2975"/>
      <c r="C3" s="2975"/>
      <c r="D3" s="1047" t="s">
        <v>1638</v>
      </c>
      <c r="E3" s="1047" t="s">
        <v>1644</v>
      </c>
      <c r="F3" s="1047" t="s">
        <v>1638</v>
      </c>
      <c r="G3" s="1047" t="s">
        <v>1639</v>
      </c>
      <c r="H3" s="1047" t="s">
        <v>1638</v>
      </c>
      <c r="I3" s="1047" t="s">
        <v>1639</v>
      </c>
    </row>
    <row r="4" spans="1:9" ht="75">
      <c r="A4" s="1976" t="str">
        <f>项目基本情况!S2</f>
        <v>北京市大兴区中关村科技园区大兴生物医药基地北京生物医药企业港项目工业用房出让国有建设用地使用权及在建建筑物房地产</v>
      </c>
      <c r="B4" s="1047">
        <f>项目基本情况!C17</f>
        <v>36832.270000000004</v>
      </c>
      <c r="C4" s="1047">
        <f>项目基本情况!C18</f>
        <v>23303.32</v>
      </c>
      <c r="D4" s="1047">
        <f ca="1">结果表!D118</f>
        <v>6012</v>
      </c>
      <c r="E4" s="1047">
        <f ca="1">结果表!E118</f>
        <v>1632</v>
      </c>
      <c r="F4" s="1047">
        <f ca="1">结果表!F118</f>
        <v>12206</v>
      </c>
      <c r="G4" s="1047">
        <f ca="1">结果表!G118</f>
        <v>3314</v>
      </c>
      <c r="H4" s="1047">
        <f ca="1">结果表!H118</f>
        <v>18218</v>
      </c>
      <c r="I4" s="1047">
        <f ca="1">结果表!I118</f>
        <v>4946</v>
      </c>
    </row>
    <row r="5" spans="1:9" ht="30" customHeight="1">
      <c r="A5" s="2975" t="s">
        <v>1640</v>
      </c>
      <c r="B5" s="2975"/>
      <c r="C5" s="2975"/>
      <c r="D5" s="2976" t="str">
        <f ca="1">结果表!D119</f>
        <v>陆仟零壹拾贰万元整</v>
      </c>
      <c r="E5" s="2976"/>
      <c r="F5" s="2976" t="str">
        <f ca="1">结果表!F119</f>
        <v>壹亿贰仟贰佰零陆万元整</v>
      </c>
      <c r="G5" s="2976"/>
      <c r="H5" s="2976" t="str">
        <f ca="1">结果表!H119</f>
        <v>壹亿捌仟贰佰壹拾捌万元整</v>
      </c>
      <c r="I5" s="2976"/>
    </row>
    <row r="6" spans="1:9" ht="15.75">
      <c r="A6" s="2974" t="str">
        <f>结果表!A120</f>
        <v>估价师知悉的法定优先受偿款</v>
      </c>
      <c r="B6" s="2974"/>
      <c r="C6" s="2974"/>
      <c r="D6" s="2974">
        <f>结果表!D120</f>
        <v>0</v>
      </c>
      <c r="E6" s="2974"/>
      <c r="F6" s="2974"/>
      <c r="G6" s="2974"/>
      <c r="H6" s="2974"/>
      <c r="I6" s="2974"/>
    </row>
    <row r="7" spans="1:9" ht="15">
      <c r="A7" s="2975" t="s">
        <v>1640</v>
      </c>
      <c r="B7" s="2975"/>
      <c r="C7" s="2975"/>
      <c r="D7" s="2977" t="str">
        <f>结果表!D121</f>
        <v>零元整</v>
      </c>
      <c r="E7" s="2978"/>
      <c r="F7" s="2978"/>
      <c r="G7" s="2978"/>
      <c r="H7" s="2978"/>
      <c r="I7" s="2979"/>
    </row>
    <row r="8" spans="1:9" ht="15.75">
      <c r="A8" s="2974" t="str">
        <f>结果表!A122</f>
        <v>房地产抵押价值</v>
      </c>
      <c r="B8" s="2974"/>
      <c r="C8" s="2974"/>
      <c r="D8" s="2974">
        <f ca="1">结果表!D122</f>
        <v>18218</v>
      </c>
      <c r="E8" s="2974"/>
      <c r="F8" s="2974"/>
      <c r="G8" s="2974"/>
      <c r="H8" s="2974"/>
      <c r="I8" s="2974"/>
    </row>
    <row r="9" spans="1:9" ht="15">
      <c r="A9" s="2975" t="s">
        <v>1640</v>
      </c>
      <c r="B9" s="2975"/>
      <c r="C9" s="2975"/>
      <c r="D9" s="2976" t="str">
        <f ca="1">结果表!D123</f>
        <v>壹亿捌仟贰佰壹拾捌万元整</v>
      </c>
      <c r="E9" s="2976"/>
      <c r="F9" s="2976"/>
      <c r="G9" s="2976"/>
      <c r="H9" s="2976"/>
      <c r="I9" s="2976"/>
    </row>
    <row r="10" spans="1:9" ht="15.75">
      <c r="A10" s="2974" t="str">
        <f>结果表!A124</f>
        <v/>
      </c>
      <c r="B10" s="2974"/>
      <c r="C10" s="2974"/>
      <c r="D10" s="2974" t="str">
        <f>结果表!D124</f>
        <v>——</v>
      </c>
      <c r="E10" s="2974"/>
      <c r="F10" s="2974"/>
      <c r="G10" s="2974"/>
      <c r="H10" s="2974"/>
      <c r="I10" s="2974"/>
    </row>
    <row r="11" spans="1:9" ht="15">
      <c r="A11" s="2975" t="s">
        <v>1640</v>
      </c>
      <c r="B11" s="2975"/>
      <c r="C11" s="2975"/>
      <c r="D11" s="2976" t="e">
        <f>结果表!D125</f>
        <v>#VALUE!</v>
      </c>
      <c r="E11" s="2976"/>
      <c r="F11" s="2976"/>
      <c r="G11" s="2976"/>
      <c r="H11" s="2976"/>
      <c r="I11" s="2976"/>
    </row>
    <row r="12" spans="1:9" ht="15.75">
      <c r="A12" s="2974" t="str">
        <f>结果表!A126</f>
        <v/>
      </c>
      <c r="B12" s="2974"/>
      <c r="C12" s="2974"/>
      <c r="D12" s="2974" t="str">
        <f>结果表!D126</f>
        <v>——</v>
      </c>
      <c r="E12" s="2974"/>
      <c r="F12" s="2974"/>
      <c r="G12" s="2974"/>
      <c r="H12" s="2974"/>
      <c r="I12" s="2974"/>
    </row>
    <row r="13" spans="1:9" ht="15.75" thickBot="1">
      <c r="A13" s="2971" t="s">
        <v>1640</v>
      </c>
      <c r="B13" s="2971"/>
      <c r="C13" s="2971"/>
      <c r="D13" s="2972" t="e">
        <f>结果表!D127</f>
        <v>#VALUE!</v>
      </c>
      <c r="E13" s="2972"/>
      <c r="F13" s="2972"/>
      <c r="G13" s="2972"/>
      <c r="H13" s="2972"/>
      <c r="I13" s="2972"/>
    </row>
    <row r="14" spans="1:9" ht="15" thickTop="1">
      <c r="A14" s="2973" t="s">
        <v>1645</v>
      </c>
      <c r="B14" s="2973"/>
      <c r="C14" s="2973"/>
      <c r="D14" s="2973"/>
      <c r="E14" s="2973"/>
      <c r="F14" s="2973"/>
      <c r="G14" s="2973"/>
      <c r="H14" s="2973"/>
      <c r="I14" s="2973"/>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8" t="s">
        <v>1662</v>
      </c>
      <c r="B1" s="2988"/>
      <c r="C1" s="2988"/>
      <c r="D1" s="2988"/>
    </row>
    <row r="2" spans="1:4" ht="18">
      <c r="A2" s="2989" t="s">
        <v>1646</v>
      </c>
      <c r="B2" s="2989"/>
      <c r="C2" s="2989"/>
      <c r="D2" s="2989"/>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2989" t="s">
        <v>1652</v>
      </c>
      <c r="B6" s="2989"/>
      <c r="C6" s="2989"/>
      <c r="D6" s="2989"/>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0" t="s">
        <v>1655</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2" t="str">
        <f>IF(项目基本情况!B8="抵押","4.本次评估估价师所知悉的法定优先受偿款情况说明如下：","——")</f>
        <v>4.本次评估估价师所知悉的法定优先受偿款情况说明如下：</v>
      </c>
      <c r="B14" s="2987"/>
      <c r="C14" s="2987"/>
      <c r="D14" s="2987"/>
    </row>
    <row r="15" spans="1:4" ht="42" customHeight="1">
      <c r="A15" s="2982" t="str">
        <f>IF(项目基本情况!B8="抵押","（1）"&amp;CONCATENATE(项目基本情况!L20,项目基本情况!L21,项目基本情况!L22),"——")</f>
        <v>（1）根据估价对象《不动产权证书》原件、，截至价值时点，估价对象已设定抵押。上述抵押权设定日期为2017年3月3日，权利人为，权利范围为，权利价值为。</v>
      </c>
      <c r="B15" s="2982"/>
      <c r="C15" s="2982"/>
      <c r="D15" s="2982"/>
    </row>
    <row r="16" spans="1:4" ht="30" customHeight="1">
      <c r="A16" s="2984" t="s">
        <v>1656</v>
      </c>
      <c r="B16" s="2984"/>
      <c r="C16" s="2984"/>
      <c r="D16" s="2984"/>
    </row>
    <row r="17" spans="1:4" ht="144" customHeight="1">
      <c r="A17" s="2984" t="s">
        <v>1657</v>
      </c>
      <c r="B17" s="2984"/>
      <c r="C17" s="2984"/>
      <c r="D17" s="2984"/>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2"/>
      <c r="C20" s="2982"/>
      <c r="D20" s="2982"/>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5"/>
      <c r="C21" s="2985"/>
      <c r="D21" s="2985"/>
    </row>
    <row r="22" spans="1:4" ht="18.75" customHeight="1">
      <c r="A22" s="2986" t="s">
        <v>1658</v>
      </c>
      <c r="B22" s="2986"/>
      <c r="C22" s="2986"/>
      <c r="D22" s="2986"/>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3">
        <v>42551</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6" t="s">
        <v>1669</v>
      </c>
      <c r="B15" s="2991" t="s">
        <v>136</v>
      </c>
      <c r="C15" s="2992"/>
    </row>
    <row r="16" spans="1:7" ht="13.5">
      <c r="A16" s="2997"/>
      <c r="B16" s="2991" t="s">
        <v>69</v>
      </c>
      <c r="C16" s="2992"/>
    </row>
    <row r="17" spans="1:3" ht="13.5">
      <c r="A17" s="2997"/>
      <c r="B17" s="2994" t="s">
        <v>1670</v>
      </c>
      <c r="C17" s="2003" t="s">
        <v>1669</v>
      </c>
    </row>
    <row r="18" spans="1:3" ht="13.5">
      <c r="A18" s="2997"/>
      <c r="B18" s="2994"/>
      <c r="C18" s="2003" t="s">
        <v>1671</v>
      </c>
    </row>
    <row r="19" spans="1:3" ht="13.5">
      <c r="A19" s="2997"/>
      <c r="B19" s="2994"/>
      <c r="C19" s="2003" t="s">
        <v>1672</v>
      </c>
    </row>
    <row r="20" spans="1:3" ht="13.5">
      <c r="A20" s="2998"/>
      <c r="B20" s="2993" t="s">
        <v>1673</v>
      </c>
      <c r="C20" s="2992"/>
    </row>
    <row r="21" spans="1:3" ht="13.5">
      <c r="A21" s="2004" t="s">
        <v>1674</v>
      </c>
      <c r="B21" s="2005"/>
      <c r="C21" s="2006"/>
    </row>
    <row r="22" spans="1:3" ht="13.5">
      <c r="A22" s="2995" t="s">
        <v>1675</v>
      </c>
      <c r="B22" s="2993" t="s">
        <v>1676</v>
      </c>
      <c r="C22" s="2992"/>
    </row>
    <row r="23" spans="1:3" ht="13.5">
      <c r="A23" s="2995"/>
      <c r="B23" s="2993" t="s">
        <v>1677</v>
      </c>
      <c r="C23" s="2992"/>
    </row>
    <row r="24" spans="1:3" ht="13.5">
      <c r="A24" s="2995"/>
      <c r="B24" s="2993" t="s">
        <v>1678</v>
      </c>
      <c r="C24" s="2992"/>
    </row>
    <row r="25" spans="1:3" ht="13.5">
      <c r="A25" s="2995"/>
      <c r="B25" s="2994" t="s">
        <v>1679</v>
      </c>
      <c r="C25" s="2003" t="s">
        <v>1680</v>
      </c>
    </row>
    <row r="26" spans="1:3" ht="13.5">
      <c r="A26" s="2995"/>
      <c r="B26" s="2994"/>
      <c r="C26" s="2003" t="s">
        <v>1681</v>
      </c>
    </row>
    <row r="27" spans="1:3" ht="13.5">
      <c r="A27" s="2995"/>
      <c r="B27" s="2994"/>
      <c r="C27" s="2003" t="s">
        <v>1682</v>
      </c>
    </row>
    <row r="28" spans="1:3" ht="13.5">
      <c r="A28" s="2995"/>
      <c r="B28" s="2994"/>
      <c r="C28" s="2003" t="s">
        <v>1683</v>
      </c>
    </row>
    <row r="29" spans="1:3" ht="13.5">
      <c r="A29" s="2995"/>
      <c r="B29" s="2994"/>
      <c r="C29" s="2003" t="s">
        <v>1684</v>
      </c>
    </row>
    <row r="30" spans="1:3" ht="13.5">
      <c r="A30" s="2995"/>
      <c r="B30" s="2994"/>
      <c r="C30" s="2003" t="s">
        <v>1685</v>
      </c>
    </row>
    <row r="31" spans="1:3" ht="13.5">
      <c r="A31" s="2995"/>
      <c r="B31" s="2994"/>
      <c r="C31" s="2003" t="s">
        <v>1686</v>
      </c>
    </row>
    <row r="32" spans="1:3" ht="13.5">
      <c r="A32" s="2995"/>
      <c r="B32" s="2994"/>
      <c r="C32" s="2003" t="s">
        <v>1687</v>
      </c>
    </row>
    <row r="33" spans="1:3" ht="13.5">
      <c r="A33" s="2995"/>
      <c r="B33" s="2994"/>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43432</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t="s">
        <v>3029</v>
      </c>
      <c r="B12" s="1025">
        <v>1120110054</v>
      </c>
      <c r="C12" s="2940">
        <v>43937</v>
      </c>
      <c r="D12" s="1705" t="s">
        <v>3029</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940">
        <v>44339</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2999" t="s">
        <v>846</v>
      </c>
      <c r="B25" s="2999"/>
      <c r="C25" s="2999"/>
      <c r="D25" s="2999"/>
      <c r="E25" s="2999"/>
      <c r="F25" s="2999"/>
      <c r="G25" s="2999"/>
    </row>
    <row r="26" spans="1:7" s="1028" customFormat="1" ht="24" customHeight="1">
      <c r="A26" s="3000" t="s">
        <v>847</v>
      </c>
      <c r="B26" s="3000"/>
      <c r="C26" s="3001"/>
      <c r="D26" s="3002" t="s">
        <v>848</v>
      </c>
      <c r="E26" s="3000"/>
      <c r="F26" s="3000"/>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基准地价修正-一期</vt:lpstr>
      <vt:lpstr>成本法</vt:lpstr>
      <vt:lpstr>成本法 (元)</vt:lpstr>
      <vt:lpstr>假设开发法</vt:lpstr>
      <vt:lpstr>收益法</vt:lpstr>
      <vt:lpstr>收益法 (元)</vt:lpstr>
      <vt:lpstr>收益法（汇总）</vt:lpstr>
      <vt:lpstr>土地案例</vt:lpstr>
      <vt:lpstr>土地比较法-工业</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2018-11-28T01:46:19Z</dcterms:modified>
</cp:coreProperties>
</file>