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1430" windowHeight="750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s>
  <externalReferences>
    <externalReference r:id="rId44"/>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P41" i="9" l="1"/>
  <c r="C106" i="9" l="1"/>
  <c r="G15" i="66" l="1"/>
  <c r="AH19" i="1" l="1"/>
  <c r="A13" i="3"/>
  <c r="G40" i="39" l="1"/>
  <c r="D119" i="39"/>
  <c r="E119" i="39" s="1"/>
  <c r="F119" i="39" s="1"/>
  <c r="G119" i="39" s="1"/>
  <c r="H119" i="39" s="1"/>
  <c r="I119" i="39" s="1"/>
  <c r="J119" i="39" s="1"/>
  <c r="E118" i="39"/>
  <c r="F118" i="39" s="1"/>
  <c r="G118" i="39" s="1"/>
  <c r="H118" i="39" s="1"/>
  <c r="I118" i="39" s="1"/>
  <c r="J118" i="39" s="1"/>
  <c r="D118" i="39"/>
  <c r="I40" i="39"/>
  <c r="E40" i="39"/>
  <c r="I48" i="39"/>
  <c r="G48" i="39"/>
  <c r="E48" i="39"/>
  <c r="I9" i="39"/>
  <c r="G9" i="39"/>
  <c r="E9" i="39"/>
  <c r="I7" i="39"/>
  <c r="G7" i="39"/>
  <c r="E7" i="39"/>
  <c r="D72" i="39"/>
  <c r="E72" i="39" s="1"/>
  <c r="F72" i="39" s="1"/>
  <c r="G72" i="39" s="1"/>
  <c r="H72" i="39" s="1"/>
  <c r="I72" i="39" s="1"/>
  <c r="J72" i="39" s="1"/>
  <c r="K72" i="39" s="1"/>
  <c r="L72" i="39" s="1"/>
  <c r="M72" i="39" s="1"/>
  <c r="N72" i="39" s="1"/>
  <c r="L14" i="1" l="1"/>
  <c r="D103" i="21"/>
  <c r="E103" i="21" s="1"/>
  <c r="F103" i="21" s="1"/>
  <c r="G103" i="21" s="1"/>
  <c r="H103" i="21" s="1"/>
  <c r="I103" i="21" s="1"/>
  <c r="J103" i="21" s="1"/>
  <c r="K103" i="21" s="1"/>
  <c r="L103" i="21" s="1"/>
  <c r="M103" i="21" s="1"/>
  <c r="E104" i="21"/>
  <c r="F104" i="21" s="1"/>
  <c r="G104" i="21" s="1"/>
  <c r="H104" i="21" s="1"/>
  <c r="I104" i="21" s="1"/>
  <c r="J104" i="21" s="1"/>
  <c r="K104" i="21" s="1"/>
  <c r="L104" i="21" s="1"/>
  <c r="M104" i="21" s="1"/>
  <c r="D104" i="21"/>
  <c r="I29" i="35"/>
  <c r="G29" i="35"/>
  <c r="E29" i="35"/>
  <c r="C5" i="35"/>
  <c r="C7" i="39" s="1"/>
  <c r="D17" i="4"/>
  <c r="G20" i="6"/>
  <c r="F19" i="6"/>
  <c r="AT13" i="3"/>
  <c r="AD13" i="3"/>
  <c r="A3" i="3"/>
  <c r="C5" i="21" l="1"/>
  <c r="K3" i="69"/>
  <c r="O3" i="69" s="1"/>
  <c r="K2" i="69"/>
  <c r="O2" i="69" s="1"/>
  <c r="J62" i="69" l="1"/>
  <c r="I62" i="69"/>
  <c r="K61" i="69"/>
  <c r="K60" i="69"/>
  <c r="K59" i="69"/>
  <c r="K55" i="69"/>
  <c r="K54" i="69"/>
  <c r="K58" i="69"/>
  <c r="K57" i="69"/>
  <c r="K56" i="69"/>
  <c r="K52" i="69"/>
  <c r="K51" i="69"/>
  <c r="K50" i="69"/>
  <c r="K49" i="69"/>
  <c r="K48" i="69"/>
  <c r="K47" i="69"/>
  <c r="K53" i="69"/>
  <c r="K46" i="69"/>
  <c r="K45" i="69"/>
  <c r="K44" i="69"/>
  <c r="K43" i="69"/>
  <c r="K42" i="69"/>
  <c r="K41" i="69"/>
  <c r="K40" i="69"/>
  <c r="K39" i="69"/>
  <c r="K38" i="69"/>
  <c r="K37" i="69"/>
  <c r="K36" i="69"/>
  <c r="K35" i="69"/>
  <c r="K34" i="69"/>
  <c r="K33" i="69"/>
  <c r="K32" i="69"/>
  <c r="K31" i="69"/>
  <c r="K30" i="69"/>
  <c r="K29" i="69"/>
  <c r="K28" i="69"/>
  <c r="K26" i="69"/>
  <c r="K25" i="69"/>
  <c r="K24" i="69"/>
  <c r="K23" i="69"/>
  <c r="K22" i="69"/>
  <c r="K21" i="69"/>
  <c r="K20" i="69"/>
  <c r="K19" i="69"/>
  <c r="K18" i="69"/>
  <c r="K17" i="69"/>
  <c r="K16" i="69"/>
  <c r="K27" i="69"/>
  <c r="K15" i="69"/>
  <c r="K14" i="69"/>
  <c r="K13" i="69"/>
  <c r="K12" i="69"/>
  <c r="K11" i="69"/>
  <c r="K10" i="69"/>
  <c r="K9" i="69"/>
  <c r="K62" i="69" s="1"/>
  <c r="K8" i="69"/>
  <c r="C76" i="69"/>
  <c r="B76" i="69"/>
  <c r="D65" i="69"/>
  <c r="D66" i="69"/>
  <c r="D67" i="69"/>
  <c r="D68" i="69"/>
  <c r="D69" i="69"/>
  <c r="D70" i="69"/>
  <c r="D71" i="69"/>
  <c r="D72" i="69"/>
  <c r="D73" i="69"/>
  <c r="D74" i="69"/>
  <c r="D75" i="69"/>
  <c r="D64" i="69"/>
  <c r="D63" i="69"/>
  <c r="D62" i="69"/>
  <c r="D61" i="69"/>
  <c r="D60" i="69"/>
  <c r="D59" i="69"/>
  <c r="D58" i="69"/>
  <c r="D57" i="69"/>
  <c r="D56" i="69"/>
  <c r="D55" i="69"/>
  <c r="D54" i="69"/>
  <c r="D53" i="69"/>
  <c r="D52" i="69"/>
  <c r="D51" i="69"/>
  <c r="D50" i="69"/>
  <c r="D49" i="69"/>
  <c r="D48" i="69"/>
  <c r="D47" i="69"/>
  <c r="D46" i="69"/>
  <c r="D45" i="69"/>
  <c r="D44" i="69"/>
  <c r="D43" i="69"/>
  <c r="D42" i="69"/>
  <c r="D41" i="69"/>
  <c r="D38" i="69"/>
  <c r="D36" i="69"/>
  <c r="D35" i="69"/>
  <c r="D34" i="69"/>
  <c r="D33" i="69"/>
  <c r="D40" i="69"/>
  <c r="D39" i="69"/>
  <c r="D37" i="69"/>
  <c r="D32" i="69"/>
  <c r="D31" i="69"/>
  <c r="D30" i="69"/>
  <c r="D29" i="69"/>
  <c r="D28" i="69"/>
  <c r="D27" i="69"/>
  <c r="D26" i="69"/>
  <c r="D25" i="69"/>
  <c r="D24" i="69"/>
  <c r="D23" i="69"/>
  <c r="D22" i="69"/>
  <c r="D21" i="69"/>
  <c r="D20" i="69"/>
  <c r="D19" i="69"/>
  <c r="D18" i="69"/>
  <c r="D17" i="69"/>
  <c r="D16" i="69"/>
  <c r="D15" i="69"/>
  <c r="D14" i="69"/>
  <c r="D13" i="69"/>
  <c r="D12" i="69"/>
  <c r="D11" i="69"/>
  <c r="D10" i="69"/>
  <c r="D9" i="69"/>
  <c r="D8" i="69"/>
  <c r="D76" i="69" s="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5" l="1"/>
  <c r="F14" i="65"/>
  <c r="E14"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5" i="68" s="1"/>
  <c r="R24" i="68"/>
  <c r="R19" i="68"/>
  <c r="D29" i="68"/>
  <c r="E23" i="68"/>
  <c r="D26" i="68"/>
  <c r="D32" i="68" s="1"/>
  <c r="C29" i="68"/>
  <c r="C32" i="68" s="1"/>
  <c r="C38" i="68" s="1"/>
  <c r="C39" i="68" s="1"/>
  <c r="R35" i="68"/>
  <c r="U34" i="68" s="1"/>
  <c r="F26" i="43"/>
  <c r="R5" i="68" l="1"/>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E25" i="59" s="1"/>
  <c r="U25" i="59" s="1"/>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B53" i="63" s="1"/>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B17" i="63" s="1"/>
  <c r="Y12" i="46"/>
  <c r="AA9" i="46"/>
  <c r="AA10" i="46" s="1"/>
  <c r="AB9" i="46"/>
  <c r="AB10" i="46" s="1"/>
  <c r="AC9" i="46"/>
  <c r="AC10" i="46" s="1"/>
  <c r="AD9" i="46"/>
  <c r="AD10" i="46" s="1"/>
  <c r="AE9" i="46"/>
  <c r="AF9" i="46"/>
  <c r="AF10" i="46" s="1"/>
  <c r="AG9" i="46"/>
  <c r="AG10" i="46" s="1"/>
  <c r="AH9" i="46"/>
  <c r="AH10" i="46" s="1"/>
  <c r="AI9" i="46"/>
  <c r="AJ9" i="46"/>
  <c r="AJ10" i="46" s="1"/>
  <c r="Z9" i="46"/>
  <c r="Z10" i="46" s="1"/>
  <c r="AE10" i="46"/>
  <c r="Y10" i="46"/>
  <c r="Z12" i="46"/>
  <c r="AG12" i="46"/>
  <c r="AE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c r="B40" i="50"/>
  <c r="B3" i="63" s="1"/>
  <c r="B67" i="63"/>
  <c r="I19" i="46"/>
  <c r="Q29" i="59"/>
  <c r="F29" i="59" s="1"/>
  <c r="P29" i="59"/>
  <c r="E29" i="59" s="1"/>
  <c r="O29" i="59"/>
  <c r="N29" i="59"/>
  <c r="B29" i="59" s="1"/>
  <c r="D90" i="59"/>
  <c r="F89" i="59"/>
  <c r="F88" i="59" s="1"/>
  <c r="F87" i="59" s="1"/>
  <c r="E89" i="59"/>
  <c r="E88" i="59" s="1"/>
  <c r="E87" i="59" s="1"/>
  <c r="C89" i="59"/>
  <c r="D89" i="59"/>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B72" i="59"/>
  <c r="B71" i="59" s="1"/>
  <c r="Q71" i="59"/>
  <c r="P71" i="59"/>
  <c r="O71" i="59"/>
  <c r="N71" i="59"/>
  <c r="Q70" i="59"/>
  <c r="P70" i="59"/>
  <c r="O70" i="59"/>
  <c r="N70" i="59"/>
  <c r="D70" i="59"/>
  <c r="F69" i="59"/>
  <c r="V69" i="59" s="1"/>
  <c r="E69" i="59"/>
  <c r="C69" i="59"/>
  <c r="C68" i="59" s="1"/>
  <c r="B69" i="59"/>
  <c r="N69" i="59" s="1"/>
  <c r="F68" i="59"/>
  <c r="D66" i="59"/>
  <c r="Q65" i="59"/>
  <c r="P65" i="59"/>
  <c r="O65" i="59"/>
  <c r="N65" i="59"/>
  <c r="Q64" i="59"/>
  <c r="P64" i="59"/>
  <c r="O64" i="59"/>
  <c r="N64" i="59"/>
  <c r="Q63" i="59"/>
  <c r="P63" i="59"/>
  <c r="O63" i="59"/>
  <c r="N63" i="59"/>
  <c r="Q62" i="59"/>
  <c r="F63" i="59" s="1"/>
  <c r="P62" i="59"/>
  <c r="E63" i="59" s="1"/>
  <c r="E64" i="59" s="1"/>
  <c r="E65" i="59" s="1"/>
  <c r="U65" i="59" s="1"/>
  <c r="O62" i="59"/>
  <c r="C63" i="59"/>
  <c r="C64" i="59" s="1"/>
  <c r="C65" i="59" s="1"/>
  <c r="D65" i="59" s="1"/>
  <c r="N62" i="59"/>
  <c r="B63" i="59" s="1"/>
  <c r="B64" i="59" s="1"/>
  <c r="B65" i="59" s="1"/>
  <c r="S65" i="59" s="1"/>
  <c r="D62" i="59"/>
  <c r="Q61" i="59"/>
  <c r="P61" i="59"/>
  <c r="O61" i="59"/>
  <c r="N61" i="59"/>
  <c r="Q60" i="59"/>
  <c r="P60" i="59"/>
  <c r="O60" i="59"/>
  <c r="N60" i="59"/>
  <c r="Q59" i="59"/>
  <c r="P59" i="59"/>
  <c r="O59" i="59"/>
  <c r="C60" i="59" s="1"/>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s="1"/>
  <c r="D51" i="59" s="1"/>
  <c r="N50" i="59"/>
  <c r="B51" i="59"/>
  <c r="D50" i="59"/>
  <c r="T49" i="59"/>
  <c r="Q49" i="59"/>
  <c r="P49" i="59"/>
  <c r="O49" i="59"/>
  <c r="N49" i="59"/>
  <c r="D49" i="59"/>
  <c r="Q48" i="59"/>
  <c r="P48" i="59"/>
  <c r="O48" i="59"/>
  <c r="N48" i="59"/>
  <c r="Q47" i="59"/>
  <c r="P47" i="59"/>
  <c r="O47" i="59"/>
  <c r="C48" i="59" s="1"/>
  <c r="D48" i="59" s="1"/>
  <c r="N47" i="59"/>
  <c r="Q46" i="59"/>
  <c r="F47" i="59"/>
  <c r="F48" i="59" s="1"/>
  <c r="P46" i="59"/>
  <c r="E47" i="59" s="1"/>
  <c r="O46" i="59"/>
  <c r="C47" i="59"/>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O42" i="59"/>
  <c r="C43" i="59" s="1"/>
  <c r="N42" i="59"/>
  <c r="B43" i="59" s="1"/>
  <c r="B44" i="59" s="1"/>
  <c r="B45" i="59" s="1"/>
  <c r="S45" i="59" s="1"/>
  <c r="D42" i="59"/>
  <c r="Q41" i="59"/>
  <c r="P41" i="59"/>
  <c r="O41" i="59"/>
  <c r="N41" i="59"/>
  <c r="Q40" i="59"/>
  <c r="P40" i="59"/>
  <c r="AA37" i="59" s="1"/>
  <c r="O40" i="59"/>
  <c r="Y40" i="59" s="1"/>
  <c r="Z40" i="59" s="1"/>
  <c r="N40" i="59"/>
  <c r="Q39" i="59"/>
  <c r="P39" i="59"/>
  <c r="AA39" i="59" s="1"/>
  <c r="O39" i="59"/>
  <c r="N39" i="59"/>
  <c r="Q38" i="59"/>
  <c r="P38" i="59"/>
  <c r="O38" i="59"/>
  <c r="C39" i="59"/>
  <c r="C40"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N34" i="59"/>
  <c r="B35" i="59" s="1"/>
  <c r="B36" i="59" s="1"/>
  <c r="B37" i="59" s="1"/>
  <c r="S37" i="59" s="1"/>
  <c r="D34" i="59"/>
  <c r="Q33" i="59"/>
  <c r="P33" i="59"/>
  <c r="O33" i="59"/>
  <c r="N33" i="59"/>
  <c r="X33" i="59" s="1"/>
  <c r="Q32" i="59"/>
  <c r="P32" i="59"/>
  <c r="O32" i="59"/>
  <c r="N32" i="59"/>
  <c r="X32" i="59" s="1"/>
  <c r="Q31" i="59"/>
  <c r="P31" i="59"/>
  <c r="O31" i="59"/>
  <c r="N31" i="59"/>
  <c r="X29" i="59" s="1"/>
  <c r="Q30" i="59"/>
  <c r="P30" i="59"/>
  <c r="O30" i="59"/>
  <c r="C31" i="59"/>
  <c r="C32" i="59" s="1"/>
  <c r="N30" i="59"/>
  <c r="B31" i="59" s="1"/>
  <c r="D30" i="59"/>
  <c r="E31" i="59"/>
  <c r="E32" i="59" s="1"/>
  <c r="E33" i="59"/>
  <c r="U33" i="59" s="1"/>
  <c r="B52" i="59"/>
  <c r="B53" i="59" s="1"/>
  <c r="S53" i="59" s="1"/>
  <c r="S69" i="59"/>
  <c r="AA40" i="59"/>
  <c r="F49" i="59"/>
  <c r="V49" i="59" s="1"/>
  <c r="F56" i="59"/>
  <c r="F57" i="59" s="1"/>
  <c r="V57" i="59" s="1"/>
  <c r="F64" i="59"/>
  <c r="F65" i="59" s="1"/>
  <c r="V65" i="59" s="1"/>
  <c r="C44" i="59"/>
  <c r="C45" i="59" s="1"/>
  <c r="T45" i="59" s="1"/>
  <c r="D43" i="59"/>
  <c r="D47" i="59"/>
  <c r="C52" i="59"/>
  <c r="C53" i="59" s="1"/>
  <c r="D53" i="59" s="1"/>
  <c r="D63" i="59"/>
  <c r="D69" i="59"/>
  <c r="P69" i="59"/>
  <c r="Q69" i="59"/>
  <c r="E72" i="59"/>
  <c r="E71" i="59" s="1"/>
  <c r="C76" i="59"/>
  <c r="D76" i="59" s="1"/>
  <c r="D77" i="59"/>
  <c r="C80" i="59"/>
  <c r="D80" i="59" s="1"/>
  <c r="D81" i="59"/>
  <c r="C88" i="59"/>
  <c r="U16" i="4"/>
  <c r="S16" i="4"/>
  <c r="Q16" i="4"/>
  <c r="O16" i="4"/>
  <c r="N16" i="4" s="1"/>
  <c r="M16" i="4"/>
  <c r="K16" i="4"/>
  <c r="D64" i="59"/>
  <c r="D44" i="59"/>
  <c r="T65" i="59"/>
  <c r="O27" i="6"/>
  <c r="N27" i="6"/>
  <c r="P26" i="6"/>
  <c r="L26" i="6"/>
  <c r="P25" i="6"/>
  <c r="L25" i="6"/>
  <c r="P24" i="6"/>
  <c r="L24" i="6"/>
  <c r="P23" i="6"/>
  <c r="L23" i="6"/>
  <c r="P22" i="6"/>
  <c r="L22" i="6"/>
  <c r="P21" i="6"/>
  <c r="L21" i="6"/>
  <c r="P20" i="6"/>
  <c r="P19" i="6"/>
  <c r="Z18" i="36"/>
  <c r="Q18" i="36"/>
  <c r="C18" i="36"/>
  <c r="D66" i="36"/>
  <c r="F18" i="36"/>
  <c r="Q18" i="35"/>
  <c r="Z18" i="35" s="1"/>
  <c r="F18" i="35"/>
  <c r="C18" i="35"/>
  <c r="D68" i="35"/>
  <c r="E68" i="35"/>
  <c r="F68" i="35" s="1"/>
  <c r="G68" i="35" s="1"/>
  <c r="Q21" i="37"/>
  <c r="Z21" i="37" s="1"/>
  <c r="F21" i="37"/>
  <c r="AA21" i="37" s="1"/>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G20" i="20"/>
  <c r="C22" i="20"/>
  <c r="C31" i="39" s="1"/>
  <c r="B74" i="46"/>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J50" i="46" s="1"/>
  <c r="D83" i="46"/>
  <c r="D77" i="46"/>
  <c r="B83" i="46"/>
  <c r="B82" i="46"/>
  <c r="B71" i="46"/>
  <c r="B60" i="46"/>
  <c r="B49" i="46"/>
  <c r="M87" i="46"/>
  <c r="N87" i="46" s="1"/>
  <c r="K87" i="46"/>
  <c r="J87" i="46" s="1"/>
  <c r="D87" i="46"/>
  <c r="M86" i="46"/>
  <c r="N86" i="46" s="1"/>
  <c r="D86" i="46"/>
  <c r="K86" i="46"/>
  <c r="J86" i="46"/>
  <c r="M85" i="46"/>
  <c r="N85" i="46"/>
  <c r="D85" i="46"/>
  <c r="K85" i="46"/>
  <c r="J85" i="46" s="1"/>
  <c r="M84" i="46"/>
  <c r="N84" i="46"/>
  <c r="K84" i="46"/>
  <c r="J84" i="46" s="1"/>
  <c r="M83" i="46"/>
  <c r="N83" i="46" s="1"/>
  <c r="K83" i="46"/>
  <c r="J83" i="46" s="1"/>
  <c r="M82" i="46"/>
  <c r="N82" i="46"/>
  <c r="K82" i="46"/>
  <c r="J82" i="46" s="1"/>
  <c r="D82" i="46"/>
  <c r="M81" i="46"/>
  <c r="N81" i="46"/>
  <c r="K81" i="46"/>
  <c r="J81" i="46"/>
  <c r="M80" i="46"/>
  <c r="N80" i="46"/>
  <c r="K80" i="46"/>
  <c r="J80" i="46"/>
  <c r="M77" i="46"/>
  <c r="N77" i="46"/>
  <c r="K77" i="46"/>
  <c r="J77" i="46"/>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c r="K64" i="46"/>
  <c r="J64" i="46"/>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c r="M49" i="46"/>
  <c r="N49" i="46" s="1"/>
  <c r="K49" i="46"/>
  <c r="J49" i="46" s="1"/>
  <c r="D49" i="46"/>
  <c r="M48" i="46"/>
  <c r="N48" i="46"/>
  <c r="K48" i="46"/>
  <c r="J48" i="46"/>
  <c r="D48" i="46"/>
  <c r="M47" i="46"/>
  <c r="N47" i="46" s="1"/>
  <c r="K47" i="46"/>
  <c r="J47" i="46" s="1"/>
  <c r="D47" i="46"/>
  <c r="D51" i="46"/>
  <c r="D55"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A111" i="3" s="1"/>
  <c r="AZ111" i="3" s="1"/>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A34" i="3" s="1"/>
  <c r="AZ34" i="3" s="1"/>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L204" i="3" s="1"/>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A290" i="3" s="1"/>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A438" i="3" s="1"/>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c r="C66" i="39" s="1"/>
  <c r="H65" i="39"/>
  <c r="I65" i="39" s="1"/>
  <c r="C65" i="39" s="1"/>
  <c r="H64" i="39"/>
  <c r="I64" i="39" s="1"/>
  <c r="C64" i="39" s="1"/>
  <c r="H63" i="39"/>
  <c r="I63" i="39" s="1"/>
  <c r="C63"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O19" i="46" s="1"/>
  <c r="R26" i="31"/>
  <c r="S26" i="31" s="1"/>
  <c r="R27" i="31"/>
  <c r="R28" i="31"/>
  <c r="S28" i="31" s="1"/>
  <c r="R29" i="31"/>
  <c r="R30" i="31"/>
  <c r="S30" i="31"/>
  <c r="R31" i="31"/>
  <c r="R32" i="31"/>
  <c r="S32" i="31" s="1"/>
  <c r="R33" i="31"/>
  <c r="R34" i="31"/>
  <c r="S34" i="31"/>
  <c r="R35" i="31"/>
  <c r="R36" i="31"/>
  <c r="S36" i="31" s="1"/>
  <c r="R37" i="31"/>
  <c r="R38" i="31"/>
  <c r="S38" i="31" s="1"/>
  <c r="R39" i="31"/>
  <c r="R40" i="31"/>
  <c r="S40" i="31"/>
  <c r="R41" i="31"/>
  <c r="R42" i="31"/>
  <c r="S42" i="31" s="1"/>
  <c r="R43" i="31"/>
  <c r="R44" i="31"/>
  <c r="S44" i="31" s="1"/>
  <c r="R45" i="31"/>
  <c r="R46" i="31"/>
  <c r="S46" i="31"/>
  <c r="R47" i="31"/>
  <c r="R48" i="31"/>
  <c r="S48" i="31" s="1"/>
  <c r="R49" i="31"/>
  <c r="R50" i="31"/>
  <c r="S50" i="31"/>
  <c r="R51" i="31"/>
  <c r="R52" i="31"/>
  <c r="S52" i="31" s="1"/>
  <c r="R53" i="31"/>
  <c r="R54" i="31"/>
  <c r="S54" i="31" s="1"/>
  <c r="R55" i="31"/>
  <c r="R56" i="31"/>
  <c r="S56" i="31"/>
  <c r="R57" i="31"/>
  <c r="S57" i="31" s="1"/>
  <c r="R58" i="31"/>
  <c r="S58" i="31" s="1"/>
  <c r="R59" i="31"/>
  <c r="R60" i="31"/>
  <c r="S60" i="31" s="1"/>
  <c r="R61" i="31"/>
  <c r="R62" i="31"/>
  <c r="S62" i="31"/>
  <c r="R63" i="31"/>
  <c r="R64" i="31"/>
  <c r="S64" i="31" s="1"/>
  <c r="R65" i="31"/>
  <c r="S65" i="31" s="1"/>
  <c r="R66" i="31"/>
  <c r="S66" i="31"/>
  <c r="R67" i="31"/>
  <c r="R68" i="31"/>
  <c r="S68" i="31" s="1"/>
  <c r="R69" i="31"/>
  <c r="R70" i="31"/>
  <c r="S70" i="31" s="1"/>
  <c r="R71" i="31"/>
  <c r="R72" i="31"/>
  <c r="S72" i="31"/>
  <c r="R73" i="31"/>
  <c r="S73" i="31" s="1"/>
  <c r="R74" i="31"/>
  <c r="S74" i="31" s="1"/>
  <c r="R75" i="31"/>
  <c r="R76" i="31"/>
  <c r="S76" i="31" s="1"/>
  <c r="R77" i="31"/>
  <c r="R78" i="31"/>
  <c r="S78" i="31"/>
  <c r="R79" i="31"/>
  <c r="R80" i="31"/>
  <c r="S80" i="31" s="1"/>
  <c r="R81" i="31"/>
  <c r="R82" i="31"/>
  <c r="S82" i="31"/>
  <c r="R83" i="31"/>
  <c r="R84" i="31"/>
  <c r="S84" i="31" s="1"/>
  <c r="R85" i="31"/>
  <c r="R86" i="31"/>
  <c r="S86" i="31" s="1"/>
  <c r="R87" i="31"/>
  <c r="R88" i="31"/>
  <c r="S88" i="3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c r="R105" i="31"/>
  <c r="R106" i="31"/>
  <c r="S106" i="31" s="1"/>
  <c r="R107" i="31"/>
  <c r="R108" i="31"/>
  <c r="S108" i="31" s="1"/>
  <c r="R109" i="31"/>
  <c r="R110" i="31"/>
  <c r="S110" i="31"/>
  <c r="R111" i="31"/>
  <c r="R112" i="31"/>
  <c r="S112" i="31" s="1"/>
  <c r="R113" i="31"/>
  <c r="R114" i="31"/>
  <c r="S114" i="31"/>
  <c r="R115" i="31"/>
  <c r="R116" i="31"/>
  <c r="S116" i="31" s="1"/>
  <c r="R117" i="31"/>
  <c r="R118" i="31"/>
  <c r="S118" i="31" s="1"/>
  <c r="R119" i="31"/>
  <c r="R120" i="31"/>
  <c r="S120" i="31"/>
  <c r="R121" i="31"/>
  <c r="R122" i="31"/>
  <c r="S122" i="31" s="1"/>
  <c r="R123" i="31"/>
  <c r="R124" i="31"/>
  <c r="S124" i="31" s="1"/>
  <c r="R125" i="31"/>
  <c r="R126" i="31"/>
  <c r="S126" i="31"/>
  <c r="R127" i="31"/>
  <c r="R128" i="31"/>
  <c r="S128" i="31" s="1"/>
  <c r="R129" i="31"/>
  <c r="S129" i="31" s="1"/>
  <c r="R130" i="31"/>
  <c r="S130" i="31"/>
  <c r="R131" i="31"/>
  <c r="R132" i="31"/>
  <c r="S132" i="31" s="1"/>
  <c r="R133" i="31"/>
  <c r="R134" i="31"/>
  <c r="S134" i="31" s="1"/>
  <c r="R135" i="31"/>
  <c r="R136" i="31"/>
  <c r="S136" i="31"/>
  <c r="R137" i="31"/>
  <c r="S137" i="31" s="1"/>
  <c r="R138" i="31"/>
  <c r="S138" i="31" s="1"/>
  <c r="R139" i="31"/>
  <c r="R140" i="31"/>
  <c r="S140" i="31" s="1"/>
  <c r="R141" i="31"/>
  <c r="R142" i="31"/>
  <c r="S142" i="31"/>
  <c r="R143" i="31"/>
  <c r="R144" i="31"/>
  <c r="S144" i="31" s="1"/>
  <c r="R145" i="31"/>
  <c r="S145" i="31" s="1"/>
  <c r="R146" i="31"/>
  <c r="S146" i="31"/>
  <c r="R147" i="31"/>
  <c r="R148" i="31"/>
  <c r="S148" i="31" s="1"/>
  <c r="R149" i="31"/>
  <c r="R150" i="31"/>
  <c r="S150" i="31" s="1"/>
  <c r="R151" i="31"/>
  <c r="R152" i="31"/>
  <c r="S152" i="31"/>
  <c r="R153" i="31"/>
  <c r="S153" i="31" s="1"/>
  <c r="R154" i="31"/>
  <c r="S154" i="31" s="1"/>
  <c r="R155" i="31"/>
  <c r="R156" i="31"/>
  <c r="S156" i="31" s="1"/>
  <c r="R157" i="31"/>
  <c r="R158" i="31"/>
  <c r="S158" i="31"/>
  <c r="R159" i="31"/>
  <c r="R160" i="31"/>
  <c r="S160" i="31" s="1"/>
  <c r="R161" i="31"/>
  <c r="S161" i="31" s="1"/>
  <c r="R162" i="31"/>
  <c r="S162" i="31"/>
  <c r="R163" i="31"/>
  <c r="R164" i="31"/>
  <c r="S164" i="31" s="1"/>
  <c r="R165" i="31"/>
  <c r="R166" i="31"/>
  <c r="S166" i="31" s="1"/>
  <c r="R167" i="31"/>
  <c r="R168" i="31"/>
  <c r="S168" i="31"/>
  <c r="R169" i="31"/>
  <c r="S169" i="31" s="1"/>
  <c r="R170" i="31"/>
  <c r="S170" i="31" s="1"/>
  <c r="R171" i="31"/>
  <c r="R172" i="31"/>
  <c r="S172" i="31" s="1"/>
  <c r="R173" i="31"/>
  <c r="R174" i="31"/>
  <c r="S174" i="31"/>
  <c r="R175" i="31"/>
  <c r="R176" i="31"/>
  <c r="S176" i="31" s="1"/>
  <c r="R177" i="31"/>
  <c r="S177" i="31" s="1"/>
  <c r="R178" i="31"/>
  <c r="S178" i="31"/>
  <c r="R179" i="31"/>
  <c r="R180" i="31"/>
  <c r="S180" i="31" s="1"/>
  <c r="R181" i="31"/>
  <c r="R182" i="31"/>
  <c r="S182" i="31" s="1"/>
  <c r="R183" i="31"/>
  <c r="R184" i="31"/>
  <c r="S184" i="31"/>
  <c r="R185" i="31"/>
  <c r="S185" i="31" s="1"/>
  <c r="R186" i="31"/>
  <c r="S186" i="31" s="1"/>
  <c r="R187" i="31"/>
  <c r="R188" i="31"/>
  <c r="S188" i="31" s="1"/>
  <c r="R189" i="31"/>
  <c r="R190" i="31"/>
  <c r="S190" i="31"/>
  <c r="R191" i="31"/>
  <c r="R192" i="31"/>
  <c r="S192" i="31" s="1"/>
  <c r="R193" i="31"/>
  <c r="S193" i="31" s="1"/>
  <c r="R194" i="31"/>
  <c r="S194" i="31"/>
  <c r="R195" i="31"/>
  <c r="R196" i="31"/>
  <c r="S196" i="31" s="1"/>
  <c r="R197" i="31"/>
  <c r="R198" i="31"/>
  <c r="S198" i="31" s="1"/>
  <c r="R199" i="31"/>
  <c r="R200" i="31"/>
  <c r="S200" i="31"/>
  <c r="R201" i="31"/>
  <c r="S201" i="31" s="1"/>
  <c r="R202" i="31"/>
  <c r="S202" i="31" s="1"/>
  <c r="R203" i="31"/>
  <c r="R204" i="31"/>
  <c r="S204" i="31" s="1"/>
  <c r="R205" i="31"/>
  <c r="R206" i="31"/>
  <c r="S206" i="31"/>
  <c r="R207" i="31"/>
  <c r="R208" i="31"/>
  <c r="S208" i="31" s="1"/>
  <c r="R209" i="31"/>
  <c r="S209" i="31" s="1"/>
  <c r="R210" i="31"/>
  <c r="S210" i="31"/>
  <c r="R211" i="31"/>
  <c r="R212" i="31"/>
  <c r="S212" i="31" s="1"/>
  <c r="R213" i="31"/>
  <c r="R214" i="31"/>
  <c r="S214" i="31" s="1"/>
  <c r="R215" i="31"/>
  <c r="R216" i="31"/>
  <c r="S216" i="31"/>
  <c r="R217" i="31"/>
  <c r="S217" i="31" s="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S406" i="31" s="1"/>
  <c r="R407" i="31"/>
  <c r="R408" i="31"/>
  <c r="R409" i="31"/>
  <c r="R410" i="31"/>
  <c r="S410" i="31" s="1"/>
  <c r="R411" i="31"/>
  <c r="R412" i="31"/>
  <c r="R413" i="31"/>
  <c r="R414" i="31"/>
  <c r="S414" i="31" s="1"/>
  <c r="R415" i="31"/>
  <c r="R416" i="31"/>
  <c r="R417" i="31"/>
  <c r="R418" i="31"/>
  <c r="S418" i="31" s="1"/>
  <c r="R419" i="31"/>
  <c r="R420" i="31"/>
  <c r="R421" i="31"/>
  <c r="R422" i="31"/>
  <c r="S422" i="31" s="1"/>
  <c r="R423" i="31"/>
  <c r="R424" i="31"/>
  <c r="R425" i="31"/>
  <c r="R426" i="31"/>
  <c r="S426" i="31" s="1"/>
  <c r="R427" i="31"/>
  <c r="R428" i="31"/>
  <c r="S428" i="31" s="1"/>
  <c r="R429" i="31"/>
  <c r="R430" i="31"/>
  <c r="S430" i="31"/>
  <c r="R431" i="31"/>
  <c r="S431" i="31" s="1"/>
  <c r="R432" i="31"/>
  <c r="S432" i="31" s="1"/>
  <c r="R433" i="31"/>
  <c r="R434" i="31"/>
  <c r="S434" i="31" s="1"/>
  <c r="R435" i="31"/>
  <c r="R436" i="31"/>
  <c r="S436" i="31"/>
  <c r="R437" i="31"/>
  <c r="R438" i="31"/>
  <c r="S438" i="31" s="1"/>
  <c r="R439" i="31"/>
  <c r="S439" i="31" s="1"/>
  <c r="R440" i="31"/>
  <c r="S440" i="31"/>
  <c r="R441" i="31"/>
  <c r="R442" i="31"/>
  <c r="S442" i="31" s="1"/>
  <c r="R443" i="31"/>
  <c r="R444" i="31"/>
  <c r="S444" i="31" s="1"/>
  <c r="R445" i="31"/>
  <c r="R446" i="31"/>
  <c r="S446" i="31"/>
  <c r="R447" i="31"/>
  <c r="R448" i="31"/>
  <c r="S448" i="31" s="1"/>
  <c r="R449" i="31"/>
  <c r="R450" i="31"/>
  <c r="S450" i="31" s="1"/>
  <c r="R451" i="31"/>
  <c r="R452" i="31"/>
  <c r="S452" i="31"/>
  <c r="R453" i="31"/>
  <c r="R454" i="31"/>
  <c r="S454" i="31" s="1"/>
  <c r="R455" i="31"/>
  <c r="S455" i="31" s="1"/>
  <c r="R456" i="31"/>
  <c r="S456" i="31"/>
  <c r="R457" i="31"/>
  <c r="R458" i="31"/>
  <c r="S458" i="31" s="1"/>
  <c r="R459" i="31"/>
  <c r="R460" i="31"/>
  <c r="S460" i="31" s="1"/>
  <c r="R461" i="31"/>
  <c r="R462" i="31"/>
  <c r="S462" i="31"/>
  <c r="R463" i="31"/>
  <c r="S463" i="31" s="1"/>
  <c r="R464" i="31"/>
  <c r="S464" i="31" s="1"/>
  <c r="R465" i="31"/>
  <c r="R466" i="31"/>
  <c r="S466" i="31" s="1"/>
  <c r="R467" i="31"/>
  <c r="R468" i="31"/>
  <c r="S468" i="31"/>
  <c r="R469" i="31"/>
  <c r="R470" i="31"/>
  <c r="S470" i="31" s="1"/>
  <c r="R471" i="31"/>
  <c r="S471" i="31" s="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R496" i="31"/>
  <c r="R497" i="31"/>
  <c r="S497" i="31" s="1"/>
  <c r="R498" i="31"/>
  <c r="S498" i="3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S513" i="31" s="1"/>
  <c r="R514" i="31"/>
  <c r="S514" i="3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D19" i="4"/>
  <c r="C12" i="39" s="1"/>
  <c r="I19" i="4"/>
  <c r="H19" i="4"/>
  <c r="G19" i="4"/>
  <c r="F7" i="1" s="1"/>
  <c r="G7" i="1" s="1"/>
  <c r="F9" i="1"/>
  <c r="AP9" i="1" s="1"/>
  <c r="F19" i="4"/>
  <c r="F8" i="1"/>
  <c r="AP8" i="1" s="1"/>
  <c r="E19" i="4"/>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C18" i="9" s="1"/>
  <c r="M43"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20" i="31"/>
  <c r="S419" i="31"/>
  <c r="S417" i="31"/>
  <c r="S416" i="31"/>
  <c r="S415" i="31"/>
  <c r="S413" i="31"/>
  <c r="S412" i="31"/>
  <c r="S411" i="31"/>
  <c r="S409" i="31"/>
  <c r="S408" i="31"/>
  <c r="S407"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5" i="31"/>
  <c r="S213" i="31"/>
  <c r="S211" i="31"/>
  <c r="S207" i="31"/>
  <c r="S205" i="31"/>
  <c r="S203" i="31"/>
  <c r="S199" i="31"/>
  <c r="S197" i="31"/>
  <c r="S195" i="31"/>
  <c r="S191" i="31"/>
  <c r="S189" i="31"/>
  <c r="S187" i="31"/>
  <c r="S183" i="31"/>
  <c r="S181" i="31"/>
  <c r="S179" i="31"/>
  <c r="S175" i="31"/>
  <c r="S173" i="31"/>
  <c r="S171" i="31"/>
  <c r="S167" i="31"/>
  <c r="S165" i="31"/>
  <c r="S163" i="31"/>
  <c r="S159" i="31"/>
  <c r="S157" i="31"/>
  <c r="S155" i="31"/>
  <c r="S151" i="31"/>
  <c r="S149" i="31"/>
  <c r="S147" i="31"/>
  <c r="S143" i="31"/>
  <c r="S141" i="31"/>
  <c r="S139" i="31"/>
  <c r="S135" i="31"/>
  <c r="S133" i="31"/>
  <c r="S131" i="31"/>
  <c r="S127" i="31"/>
  <c r="S125" i="31"/>
  <c r="S123" i="31"/>
  <c r="S496" i="31"/>
  <c r="S495" i="31"/>
  <c r="S494" i="31"/>
  <c r="S491" i="31"/>
  <c r="S490" i="31"/>
  <c r="S489" i="31"/>
  <c r="S488" i="31"/>
  <c r="S487" i="31"/>
  <c r="S486" i="31"/>
  <c r="S485" i="31"/>
  <c r="S484" i="31"/>
  <c r="S483" i="31"/>
  <c r="S482" i="31"/>
  <c r="S481" i="31"/>
  <c r="S480" i="31"/>
  <c r="S479" i="31"/>
  <c r="S478" i="31"/>
  <c r="S477" i="31"/>
  <c r="S476" i="31"/>
  <c r="S475" i="31"/>
  <c r="S474" i="31"/>
  <c r="S473" i="31"/>
  <c r="S469" i="31"/>
  <c r="S443" i="31"/>
  <c r="S441" i="31"/>
  <c r="S437" i="31"/>
  <c r="S435" i="31"/>
  <c r="S433" i="31"/>
  <c r="S121" i="31"/>
  <c r="S119" i="31"/>
  <c r="S117" i="31"/>
  <c r="S115" i="31"/>
  <c r="S113" i="31"/>
  <c r="S467" i="31"/>
  <c r="S465" i="31"/>
  <c r="S461" i="31"/>
  <c r="S459" i="31"/>
  <c r="S457" i="31"/>
  <c r="S453" i="31"/>
  <c r="S451" i="31"/>
  <c r="S53" i="31"/>
  <c r="S51" i="31"/>
  <c r="S49" i="31"/>
  <c r="S47" i="31"/>
  <c r="S45" i="31"/>
  <c r="S43" i="31"/>
  <c r="S41" i="31"/>
  <c r="S39" i="31"/>
  <c r="S37" i="31"/>
  <c r="S35" i="31"/>
  <c r="S33" i="31"/>
  <c r="S77" i="31"/>
  <c r="S75" i="31"/>
  <c r="S71" i="31"/>
  <c r="S69" i="31"/>
  <c r="S67" i="31"/>
  <c r="S63" i="31"/>
  <c r="S61" i="31"/>
  <c r="S59"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B52" i="1"/>
  <c r="F34" i="15" s="1"/>
  <c r="F61" i="15" s="1"/>
  <c r="I48" i="37"/>
  <c r="J48" i="37" s="1"/>
  <c r="G48" i="37"/>
  <c r="H48" i="37"/>
  <c r="E48" i="37"/>
  <c r="F48" i="37" s="1"/>
  <c r="I55" i="34"/>
  <c r="J55" i="34"/>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AC493" i="3"/>
  <c r="BB493" i="3"/>
  <c r="BC493" i="3"/>
  <c r="BD493" i="3"/>
  <c r="BA493" i="3" s="1"/>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L495" i="3" s="1"/>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L500" i="3" s="1"/>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L527" i="3" s="1"/>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G532" i="3" s="1"/>
  <c r="AC532" i="3"/>
  <c r="BB532" i="3"/>
  <c r="BA532" i="3" s="1"/>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L533" i="3" s="1"/>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s="1"/>
  <c r="H30" i="37"/>
  <c r="AB30" i="37"/>
  <c r="F30" i="37"/>
  <c r="Q29" i="37"/>
  <c r="Z29" i="37"/>
  <c r="H29" i="37"/>
  <c r="U29" i="37" s="1"/>
  <c r="Q28" i="37"/>
  <c r="Z28" i="37" s="1"/>
  <c r="Q27" i="37"/>
  <c r="Z27" i="37" s="1"/>
  <c r="Q26" i="37"/>
  <c r="Z26" i="37" s="1"/>
  <c r="F26" i="37"/>
  <c r="AA26" i="37"/>
  <c r="Q25" i="37"/>
  <c r="Z25" i="37" s="1"/>
  <c r="Q23" i="37"/>
  <c r="Z23" i="37" s="1"/>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C7" i="37"/>
  <c r="C52" i="37" s="1"/>
  <c r="D52" i="37" s="1"/>
  <c r="E52" i="37" s="1"/>
  <c r="F52" i="37" s="1"/>
  <c r="G52" i="37" s="1"/>
  <c r="H52" i="37" s="1"/>
  <c r="I52" i="37" s="1"/>
  <c r="J52" i="37" s="1"/>
  <c r="K52" i="37" s="1"/>
  <c r="J31" i="36"/>
  <c r="W31" i="36" s="1"/>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c r="B95" i="36"/>
  <c r="H34" i="36" s="1"/>
  <c r="D83" i="36"/>
  <c r="E83" i="36" s="1"/>
  <c r="F83" i="36" s="1"/>
  <c r="G83" i="36" s="1"/>
  <c r="H83" i="36" s="1"/>
  <c r="I83" i="36" s="1"/>
  <c r="J83" i="36" s="1"/>
  <c r="K83" i="36" s="1"/>
  <c r="L83" i="36" s="1"/>
  <c r="M83" i="36" s="1"/>
  <c r="D78" i="36"/>
  <c r="J26" i="36"/>
  <c r="W26" i="36" s="1"/>
  <c r="B75" i="36"/>
  <c r="F25" i="36" s="1"/>
  <c r="AA25" i="36" s="1"/>
  <c r="B73" i="36"/>
  <c r="J24" i="36" s="1"/>
  <c r="W24" i="36" s="1"/>
  <c r="B71" i="36"/>
  <c r="H23" i="36" s="1"/>
  <c r="AB23" i="36" s="1"/>
  <c r="D70" i="36"/>
  <c r="H22" i="36"/>
  <c r="D68" i="36"/>
  <c r="E68" i="36" s="1"/>
  <c r="D64" i="36"/>
  <c r="E64" i="36"/>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J23" i="36"/>
  <c r="AC23" i="36" s="1"/>
  <c r="Q22" i="36"/>
  <c r="Z22" i="36" s="1"/>
  <c r="J22" i="36"/>
  <c r="Q20" i="36"/>
  <c r="Z20" i="36"/>
  <c r="Q16" i="36"/>
  <c r="Z16" i="36" s="1"/>
  <c r="Q14" i="36"/>
  <c r="Z14" i="36" s="1"/>
  <c r="Q13" i="36"/>
  <c r="Z13" i="36" s="1"/>
  <c r="Q12" i="36"/>
  <c r="Z12" i="36" s="1"/>
  <c r="Q11" i="36"/>
  <c r="Z11" i="36" s="1"/>
  <c r="Q10" i="36"/>
  <c r="Z10" i="36" s="1"/>
  <c r="F10" i="36"/>
  <c r="AA10" i="36"/>
  <c r="Q9" i="36"/>
  <c r="Z9" i="36" s="1"/>
  <c r="J8" i="36"/>
  <c r="AC8" i="36" s="1"/>
  <c r="H8" i="36"/>
  <c r="U8" i="36" s="1"/>
  <c r="F8" i="36"/>
  <c r="AA8" i="36" s="1"/>
  <c r="C7" i="36"/>
  <c r="C46" i="36" s="1"/>
  <c r="D46" i="36" s="1"/>
  <c r="E46" i="36" s="1"/>
  <c r="F46" i="36" s="1"/>
  <c r="G46" i="36" s="1"/>
  <c r="H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B57" i="35"/>
  <c r="F11" i="35" s="1"/>
  <c r="S11" i="35" s="1"/>
  <c r="B61" i="35"/>
  <c r="B59" i="35"/>
  <c r="B131" i="34"/>
  <c r="B129" i="34"/>
  <c r="B127" i="34"/>
  <c r="B99" i="34"/>
  <c r="B97" i="34"/>
  <c r="B95" i="34"/>
  <c r="B93" i="34"/>
  <c r="B75" i="34"/>
  <c r="B73" i="34"/>
  <c r="B71" i="34"/>
  <c r="B130" i="33"/>
  <c r="B128" i="33"/>
  <c r="H45" i="33" s="1"/>
  <c r="U45" i="33" s="1"/>
  <c r="B126" i="33"/>
  <c r="B98" i="33"/>
  <c r="F31" i="33" s="1"/>
  <c r="B96" i="33"/>
  <c r="B94" i="33"/>
  <c r="B74" i="33"/>
  <c r="J14" i="33" s="1"/>
  <c r="AC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P39" i="35"/>
  <c r="P38" i="35"/>
  <c r="V37" i="35"/>
  <c r="T37" i="35"/>
  <c r="R37" i="35"/>
  <c r="P37" i="35"/>
  <c r="Q36" i="35"/>
  <c r="Z36" i="35" s="1"/>
  <c r="J36" i="35"/>
  <c r="AC36" i="35" s="1"/>
  <c r="Q35" i="35"/>
  <c r="Z35" i="35" s="1"/>
  <c r="Q34" i="35"/>
  <c r="Z34" i="35" s="1"/>
  <c r="J34" i="35"/>
  <c r="AC34" i="35" s="1"/>
  <c r="F34" i="35"/>
  <c r="Q33" i="35"/>
  <c r="Z33" i="35" s="1"/>
  <c r="Q32" i="35"/>
  <c r="Z32" i="35" s="1"/>
  <c r="H32" i="35"/>
  <c r="AB32" i="35" s="1"/>
  <c r="F32" i="35"/>
  <c r="AA32" i="35" s="1"/>
  <c r="Q31" i="35"/>
  <c r="Z31" i="35" s="1"/>
  <c r="AC31" i="35"/>
  <c r="Q30" i="35"/>
  <c r="Z30" i="35"/>
  <c r="Q29" i="35"/>
  <c r="Z29" i="35" s="1"/>
  <c r="Q28" i="35"/>
  <c r="Z28" i="35" s="1"/>
  <c r="J28" i="35"/>
  <c r="H28" i="35"/>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c r="Q43" i="34"/>
  <c r="Z43" i="34" s="1"/>
  <c r="F43" i="34"/>
  <c r="AA43" i="34" s="1"/>
  <c r="Q42" i="34"/>
  <c r="Z42" i="34" s="1"/>
  <c r="Q41" i="34"/>
  <c r="Z41" i="34" s="1"/>
  <c r="Q40" i="34"/>
  <c r="Z40" i="34" s="1"/>
  <c r="F40" i="34"/>
  <c r="S40" i="34" s="1"/>
  <c r="Q39" i="34"/>
  <c r="Z39" i="34" s="1"/>
  <c r="J39" i="34"/>
  <c r="AC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c r="H38" i="33"/>
  <c r="AB38" i="33" s="1"/>
  <c r="F38" i="33"/>
  <c r="AA38" i="33" s="1"/>
  <c r="Q37" i="33"/>
  <c r="Z37" i="33" s="1"/>
  <c r="Q36" i="33"/>
  <c r="Z36" i="33" s="1"/>
  <c r="Q35" i="33"/>
  <c r="Z35" i="33" s="1"/>
  <c r="H35" i="33"/>
  <c r="AB35" i="33" s="1"/>
  <c r="Q34" i="33"/>
  <c r="Z34" i="33" s="1"/>
  <c r="Q33" i="33"/>
  <c r="Z33" i="33"/>
  <c r="J33" i="33"/>
  <c r="AC33" i="33" s="1"/>
  <c r="H33" i="33"/>
  <c r="AB33" i="33" s="1"/>
  <c r="F33" i="33"/>
  <c r="Q32" i="33"/>
  <c r="Z32" i="33" s="1"/>
  <c r="Q31" i="33"/>
  <c r="Z31" i="33" s="1"/>
  <c r="Q30" i="33"/>
  <c r="Z30" i="33" s="1"/>
  <c r="Q29" i="33"/>
  <c r="Z29" i="33" s="1"/>
  <c r="Q28" i="33"/>
  <c r="Z28" i="33"/>
  <c r="Q27" i="33"/>
  <c r="Z27" i="33" s="1"/>
  <c r="Q26" i="33"/>
  <c r="Z26" i="33" s="1"/>
  <c r="Q25" i="33"/>
  <c r="Z25" i="33" s="1"/>
  <c r="Q23" i="33"/>
  <c r="Z23" i="33" s="1"/>
  <c r="Q19" i="33"/>
  <c r="Z19" i="33" s="1"/>
  <c r="Q17" i="33"/>
  <c r="Z17" i="33" s="1"/>
  <c r="Q15" i="33"/>
  <c r="Z15" i="33" s="1"/>
  <c r="F15" i="33"/>
  <c r="AA15" i="33"/>
  <c r="Q14" i="33"/>
  <c r="Z14" i="33" s="1"/>
  <c r="Q13" i="33"/>
  <c r="Z13" i="33" s="1"/>
  <c r="Q12" i="33"/>
  <c r="Z12" i="33" s="1"/>
  <c r="J12" i="33"/>
  <c r="W12" i="33" s="1"/>
  <c r="F12" i="33"/>
  <c r="S12" i="33" s="1"/>
  <c r="Q11" i="33"/>
  <c r="Z11" i="33" s="1"/>
  <c r="Q10" i="33"/>
  <c r="Z10" i="33" s="1"/>
  <c r="Q9" i="33"/>
  <c r="Z9" i="33" s="1"/>
  <c r="H9" i="33"/>
  <c r="J8" i="33"/>
  <c r="W8" i="33" s="1"/>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H44" i="21" s="1"/>
  <c r="U44" i="21" s="1"/>
  <c r="B98" i="21"/>
  <c r="B96" i="21"/>
  <c r="B94" i="21"/>
  <c r="B92" i="21"/>
  <c r="H28" i="21" s="1"/>
  <c r="AB28" i="21" s="1"/>
  <c r="B90" i="21"/>
  <c r="B74" i="21"/>
  <c r="B72" i="21"/>
  <c r="H13" i="21" s="1"/>
  <c r="B70" i="21"/>
  <c r="F12"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F43" i="21"/>
  <c r="S43" i="21" s="1"/>
  <c r="H38" i="21"/>
  <c r="AB38" i="21" s="1"/>
  <c r="H43" i="21"/>
  <c r="AB43" i="21" s="1"/>
  <c r="F38" i="21"/>
  <c r="S38" i="21" s="1"/>
  <c r="F36" i="21"/>
  <c r="S36" i="21" s="1"/>
  <c r="F39" i="21"/>
  <c r="AA39" i="21" s="1"/>
  <c r="J40" i="21"/>
  <c r="AC40" i="21" s="1"/>
  <c r="H35" i="21"/>
  <c r="U35" i="21" s="1"/>
  <c r="J8" i="21"/>
  <c r="AC8" i="21" s="1"/>
  <c r="H8" i="21"/>
  <c r="U8" i="21" s="1"/>
  <c r="H10" i="21"/>
  <c r="U10" i="21" s="1"/>
  <c r="H39" i="21"/>
  <c r="AB39" i="21" s="1"/>
  <c r="J34" i="21"/>
  <c r="W34" i="21" s="1"/>
  <c r="H36" i="21"/>
  <c r="U36" i="21" s="1"/>
  <c r="F35" i="21"/>
  <c r="AA35" i="21" s="1"/>
  <c r="J10" i="21"/>
  <c r="AC10" i="21" s="1"/>
  <c r="H26" i="21"/>
  <c r="H19" i="21"/>
  <c r="AB19" i="21" s="1"/>
  <c r="J19" i="21"/>
  <c r="W19" i="21" s="1"/>
  <c r="J26" i="21"/>
  <c r="W26" i="21" s="1"/>
  <c r="F26" i="21"/>
  <c r="AA26" i="21" s="1"/>
  <c r="AB41" i="21"/>
  <c r="S41" i="21"/>
  <c r="AA41" i="21"/>
  <c r="W41" i="21"/>
  <c r="U30" i="37"/>
  <c r="E103" i="37"/>
  <c r="F103" i="37"/>
  <c r="G103" i="37" s="1"/>
  <c r="F39" i="37"/>
  <c r="S39" i="37" s="1"/>
  <c r="F29" i="36"/>
  <c r="AA29" i="36" s="1"/>
  <c r="F16" i="36"/>
  <c r="AA16" i="36" s="1"/>
  <c r="W23" i="36"/>
  <c r="U26" i="36"/>
  <c r="AC31" i="36"/>
  <c r="J33" i="36"/>
  <c r="W33" i="36" s="1"/>
  <c r="U31" i="35"/>
  <c r="W36" i="35"/>
  <c r="S31" i="35"/>
  <c r="W31" i="35"/>
  <c r="U34" i="35"/>
  <c r="F36" i="34"/>
  <c r="S36" i="34" s="1"/>
  <c r="W9" i="34"/>
  <c r="S34" i="34"/>
  <c r="W39" i="34"/>
  <c r="H39" i="33"/>
  <c r="AB39" i="33" s="1"/>
  <c r="U33" i="33"/>
  <c r="W38" i="33"/>
  <c r="W33" i="33"/>
  <c r="U38" i="33"/>
  <c r="H39" i="37"/>
  <c r="AB39" i="37" s="1"/>
  <c r="AB27" i="35"/>
  <c r="W10" i="40"/>
  <c r="U11" i="40"/>
  <c r="U36" i="40"/>
  <c r="U36" i="39"/>
  <c r="H32" i="33"/>
  <c r="AB32" i="33" s="1"/>
  <c r="AA12" i="33"/>
  <c r="J27" i="36"/>
  <c r="W27" i="36" s="1"/>
  <c r="J34" i="36"/>
  <c r="J30" i="35"/>
  <c r="W30" i="35" s="1"/>
  <c r="F22" i="35"/>
  <c r="AA22" i="35" s="1"/>
  <c r="U29" i="36"/>
  <c r="E85" i="36"/>
  <c r="F85" i="36" s="1"/>
  <c r="G85" i="36" s="1"/>
  <c r="H85" i="36" s="1"/>
  <c r="I85" i="36" s="1"/>
  <c r="J85" i="36" s="1"/>
  <c r="K85" i="36" s="1"/>
  <c r="L85" i="36" s="1"/>
  <c r="M85" i="36" s="1"/>
  <c r="J29" i="36"/>
  <c r="AC29" i="36" s="1"/>
  <c r="F12" i="36"/>
  <c r="S12" i="36" s="1"/>
  <c r="F24" i="36"/>
  <c r="AA24" i="36" s="1"/>
  <c r="F34" i="36"/>
  <c r="S34" i="36" s="1"/>
  <c r="S10" i="36"/>
  <c r="AB8" i="36"/>
  <c r="H33" i="35"/>
  <c r="AB33" i="35" s="1"/>
  <c r="W8" i="35"/>
  <c r="F35" i="37"/>
  <c r="S35" i="37" s="1"/>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s="1"/>
  <c r="J10" i="34"/>
  <c r="AC10" i="34" s="1"/>
  <c r="U9" i="34"/>
  <c r="W8" i="34"/>
  <c r="S38" i="33"/>
  <c r="E113" i="33"/>
  <c r="F113" i="33" s="1"/>
  <c r="G113" i="33" s="1"/>
  <c r="H113" i="33" s="1"/>
  <c r="I113" i="33" s="1"/>
  <c r="J113" i="33" s="1"/>
  <c r="K113" i="33" s="1"/>
  <c r="L113" i="33" s="1"/>
  <c r="M113" i="33" s="1"/>
  <c r="F36" i="33"/>
  <c r="S36" i="33" s="1"/>
  <c r="F19" i="33"/>
  <c r="S19" i="33" s="1"/>
  <c r="J19" i="33"/>
  <c r="AB30" i="36"/>
  <c r="H29" i="35"/>
  <c r="AB29" i="35" s="1"/>
  <c r="U34" i="37"/>
  <c r="S34" i="37"/>
  <c r="AA34" i="37"/>
  <c r="AB42" i="34"/>
  <c r="AB40" i="34"/>
  <c r="W36" i="34"/>
  <c r="J19" i="34"/>
  <c r="AC19" i="34" s="1"/>
  <c r="H37" i="33"/>
  <c r="AB37" i="33"/>
  <c r="AC42" i="34"/>
  <c r="W42" i="34"/>
  <c r="AA42" i="34"/>
  <c r="S42" i="34"/>
  <c r="AC38" i="34"/>
  <c r="W38" i="34"/>
  <c r="AA38" i="34"/>
  <c r="S38" i="34"/>
  <c r="J37" i="33"/>
  <c r="W37" i="33" s="1"/>
  <c r="J42" i="21"/>
  <c r="AC42" i="21" s="1"/>
  <c r="J44" i="34"/>
  <c r="AC44" i="34"/>
  <c r="F44" i="34"/>
  <c r="S44" i="34" s="1"/>
  <c r="AL5" i="3"/>
  <c r="BQ13" i="3"/>
  <c r="J14" i="21"/>
  <c r="W14" i="21" s="1"/>
  <c r="F14" i="21"/>
  <c r="AA14" i="21" s="1"/>
  <c r="H14" i="21"/>
  <c r="F28" i="21"/>
  <c r="S28" i="21" s="1"/>
  <c r="J28" i="21"/>
  <c r="AC28" i="21" s="1"/>
  <c r="H30" i="21"/>
  <c r="F30" i="21"/>
  <c r="S30" i="21" s="1"/>
  <c r="J30" i="21"/>
  <c r="J44" i="21"/>
  <c r="AC44" i="21" s="1"/>
  <c r="F44" i="21"/>
  <c r="AA44" i="21" s="1"/>
  <c r="H46" i="21"/>
  <c r="AB46" i="21" s="1"/>
  <c r="J46" i="21"/>
  <c r="W46" i="21" s="1"/>
  <c r="F46" i="21"/>
  <c r="S46" i="21" s="1"/>
  <c r="F33" i="35"/>
  <c r="S33" i="35" s="1"/>
  <c r="J33" i="35"/>
  <c r="W33" i="35" s="1"/>
  <c r="F30" i="35"/>
  <c r="H10" i="36"/>
  <c r="AB10" i="36" s="1"/>
  <c r="F28" i="36"/>
  <c r="S28" i="36"/>
  <c r="F27" i="36"/>
  <c r="S27" i="36" s="1"/>
  <c r="J13" i="21"/>
  <c r="AC13" i="21" s="1"/>
  <c r="F13" i="21"/>
  <c r="AA13" i="21" s="1"/>
  <c r="F29" i="21"/>
  <c r="S29" i="21" s="1"/>
  <c r="F45" i="21"/>
  <c r="S45" i="21" s="1"/>
  <c r="J27" i="33"/>
  <c r="AC27" i="33" s="1"/>
  <c r="F27" i="33"/>
  <c r="S27" i="33" s="1"/>
  <c r="F13" i="33"/>
  <c r="AA13" i="33" s="1"/>
  <c r="S13" i="33"/>
  <c r="J29" i="33"/>
  <c r="W29" i="33" s="1"/>
  <c r="J31" i="33"/>
  <c r="AC31" i="33" s="1"/>
  <c r="H31" i="33"/>
  <c r="U31" i="33" s="1"/>
  <c r="J45" i="33"/>
  <c r="F45" i="33"/>
  <c r="S45" i="33" s="1"/>
  <c r="H28" i="36"/>
  <c r="U28" i="36" s="1"/>
  <c r="H32" i="36"/>
  <c r="AB32" i="36" s="1"/>
  <c r="J32" i="36"/>
  <c r="J13" i="36"/>
  <c r="AC13" i="36" s="1"/>
  <c r="E89" i="37"/>
  <c r="F89" i="37" s="1"/>
  <c r="G89" i="37" s="1"/>
  <c r="H89" i="37" s="1"/>
  <c r="I89" i="37" s="1"/>
  <c r="J89" i="37" s="1"/>
  <c r="K89" i="37" s="1"/>
  <c r="L89" i="37" s="1"/>
  <c r="M89" i="37" s="1"/>
  <c r="J29" i="37"/>
  <c r="W29" i="37" s="1"/>
  <c r="F29" i="37"/>
  <c r="AA29" i="37" s="1"/>
  <c r="F105" i="37"/>
  <c r="G105" i="37" s="1"/>
  <c r="AB36" i="37"/>
  <c r="F107" i="37"/>
  <c r="J37" i="37"/>
  <c r="AC37" i="37"/>
  <c r="H37" i="37"/>
  <c r="U37" i="37" s="1"/>
  <c r="H40" i="37"/>
  <c r="AB40" i="37" s="1"/>
  <c r="U40" i="37"/>
  <c r="J40" i="37"/>
  <c r="F40" i="37"/>
  <c r="AA40" i="37" s="1"/>
  <c r="H14" i="33"/>
  <c r="U14" i="33" s="1"/>
  <c r="F14" i="33"/>
  <c r="AA14" i="33" s="1"/>
  <c r="H30" i="33"/>
  <c r="AB30" i="33" s="1"/>
  <c r="F30" i="33"/>
  <c r="J30" i="33"/>
  <c r="J44" i="33"/>
  <c r="AC44" i="33"/>
  <c r="H13" i="34"/>
  <c r="U13" i="34"/>
  <c r="J13" i="34"/>
  <c r="W13" i="34" s="1"/>
  <c r="F13" i="34"/>
  <c r="AA13" i="34" s="1"/>
  <c r="J31" i="34"/>
  <c r="AC31" i="34" s="1"/>
  <c r="H31" i="34"/>
  <c r="AB31" i="34"/>
  <c r="F31" i="34"/>
  <c r="S31" i="34" s="1"/>
  <c r="H47" i="34"/>
  <c r="U47" i="34"/>
  <c r="F47" i="34"/>
  <c r="AA47" i="34" s="1"/>
  <c r="J47" i="34"/>
  <c r="AC47" i="34"/>
  <c r="F25" i="35"/>
  <c r="AA25" i="35"/>
  <c r="J25" i="36"/>
  <c r="W25" i="36"/>
  <c r="H25" i="36"/>
  <c r="AB25" i="36"/>
  <c r="H13" i="37"/>
  <c r="AB13" i="37" s="1"/>
  <c r="F13" i="37"/>
  <c r="S13" i="37"/>
  <c r="J13" i="37"/>
  <c r="AC13" i="37" s="1"/>
  <c r="H38" i="37"/>
  <c r="AB38" i="37"/>
  <c r="J38" i="37"/>
  <c r="AC38" i="37" s="1"/>
  <c r="F38" i="37"/>
  <c r="AA38" i="37" s="1"/>
  <c r="F27" i="37"/>
  <c r="AA27" i="37" s="1"/>
  <c r="J27" i="37"/>
  <c r="W27" i="37"/>
  <c r="J36" i="37"/>
  <c r="AC36" i="37" s="1"/>
  <c r="AB28" i="36"/>
  <c r="AC14" i="21"/>
  <c r="W31" i="34"/>
  <c r="U36" i="37"/>
  <c r="AB45" i="33"/>
  <c r="AB31" i="33"/>
  <c r="AA27" i="33"/>
  <c r="AB27" i="33"/>
  <c r="U28" i="21"/>
  <c r="AB44" i="21"/>
  <c r="G529" i="3"/>
  <c r="G499" i="3"/>
  <c r="G493" i="3"/>
  <c r="G485" i="3"/>
  <c r="G565" i="3"/>
  <c r="G561" i="3"/>
  <c r="G557" i="3"/>
  <c r="G545" i="3"/>
  <c r="G539" i="3"/>
  <c r="BL545" i="3"/>
  <c r="BL535" i="3"/>
  <c r="BL491" i="3"/>
  <c r="G16" i="3"/>
  <c r="BL551" i="3"/>
  <c r="BL541" i="3"/>
  <c r="G518" i="3"/>
  <c r="BL503" i="3"/>
  <c r="G18" i="3"/>
  <c r="BA565" i="3"/>
  <c r="BA557" i="3"/>
  <c r="BA545" i="3"/>
  <c r="BA543" i="3"/>
  <c r="BA509" i="3"/>
  <c r="BA501" i="3"/>
  <c r="BA487" i="3"/>
  <c r="BA19" i="3"/>
  <c r="BA556" i="3"/>
  <c r="BA554" i="3"/>
  <c r="BA540" i="3"/>
  <c r="BA536" i="3"/>
  <c r="BA524" i="3"/>
  <c r="BA502" i="3"/>
  <c r="BA488" i="3"/>
  <c r="BA20" i="3"/>
  <c r="G566" i="3"/>
  <c r="G560" i="3"/>
  <c r="G558" i="3"/>
  <c r="G550" i="3"/>
  <c r="G546" i="3"/>
  <c r="AC542" i="3"/>
  <c r="G542" i="3"/>
  <c r="BQ542" i="3"/>
  <c r="BQ568" i="3"/>
  <c r="BQ566" i="3"/>
  <c r="BQ564" i="3"/>
  <c r="BQ562" i="3"/>
  <c r="BQ560" i="3"/>
  <c r="BQ558" i="3"/>
  <c r="BQ556" i="3"/>
  <c r="BL556" i="3"/>
  <c r="BQ554" i="3"/>
  <c r="BL554" i="3" s="1"/>
  <c r="AZ554" i="3" s="1"/>
  <c r="BQ552" i="3"/>
  <c r="BQ550" i="3"/>
  <c r="BL550" i="3"/>
  <c r="BQ548" i="3"/>
  <c r="BQ546" i="3"/>
  <c r="BQ544" i="3"/>
  <c r="BL544" i="3" s="1"/>
  <c r="G544" i="3"/>
  <c r="G538" i="3"/>
  <c r="G534" i="3"/>
  <c r="G530" i="3"/>
  <c r="G526" i="3"/>
  <c r="BQ540" i="3"/>
  <c r="BL540" i="3"/>
  <c r="BQ538" i="3"/>
  <c r="BQ536" i="3"/>
  <c r="BQ534" i="3"/>
  <c r="BL534" i="3" s="1"/>
  <c r="BQ532" i="3"/>
  <c r="BL532" i="3" s="1"/>
  <c r="BQ530" i="3"/>
  <c r="BQ528" i="3"/>
  <c r="BQ526" i="3"/>
  <c r="BL526" i="3" s="1"/>
  <c r="BQ524" i="3"/>
  <c r="BL524" i="3" s="1"/>
  <c r="AZ524" i="3" s="1"/>
  <c r="BQ522" i="3"/>
  <c r="BQ520" i="3"/>
  <c r="BQ518" i="3"/>
  <c r="BQ516" i="3"/>
  <c r="BQ514" i="3"/>
  <c r="BQ512" i="3"/>
  <c r="BQ510" i="3"/>
  <c r="BQ508" i="3"/>
  <c r="AC506" i="3"/>
  <c r="G506" i="3" s="1"/>
  <c r="BQ506" i="3"/>
  <c r="G502" i="3"/>
  <c r="BQ504" i="3"/>
  <c r="BQ502" i="3"/>
  <c r="BL502" i="3"/>
  <c r="BQ500" i="3"/>
  <c r="BQ498" i="3"/>
  <c r="BQ496" i="3"/>
  <c r="AC494" i="3"/>
  <c r="BQ494" i="3"/>
  <c r="BL493" i="3"/>
  <c r="G492" i="3"/>
  <c r="G488" i="3"/>
  <c r="G20" i="3"/>
  <c r="BQ492" i="3"/>
  <c r="BL492" i="3" s="1"/>
  <c r="AZ492" i="3" s="1"/>
  <c r="BQ490" i="3"/>
  <c r="BQ488" i="3"/>
  <c r="BL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F23" i="37"/>
  <c r="F79" i="37"/>
  <c r="G79" i="37" s="1"/>
  <c r="AB27" i="37"/>
  <c r="F39" i="33"/>
  <c r="AA39" i="33" s="1"/>
  <c r="F42" i="33"/>
  <c r="AA42" i="33" s="1"/>
  <c r="F22" i="36"/>
  <c r="S22" i="36" s="1"/>
  <c r="H35" i="34"/>
  <c r="U35" i="34" s="1"/>
  <c r="F41" i="34"/>
  <c r="S41" i="34"/>
  <c r="H41" i="34"/>
  <c r="U41" i="34" s="1"/>
  <c r="J41" i="34"/>
  <c r="W41" i="34" s="1"/>
  <c r="F10" i="35"/>
  <c r="S10" i="35" s="1"/>
  <c r="F24" i="35"/>
  <c r="AA24" i="35"/>
  <c r="H24" i="35"/>
  <c r="AB24" i="35" s="1"/>
  <c r="H23" i="37"/>
  <c r="AB23" i="37"/>
  <c r="J32" i="37"/>
  <c r="AC32" i="37" s="1"/>
  <c r="F36" i="37"/>
  <c r="S36" i="37"/>
  <c r="F37" i="37"/>
  <c r="AA37" i="37" s="1"/>
  <c r="U23" i="37"/>
  <c r="H42" i="33"/>
  <c r="U42" i="33" s="1"/>
  <c r="J43" i="33"/>
  <c r="AC43" i="33"/>
  <c r="J23" i="37"/>
  <c r="F17" i="37"/>
  <c r="AA17" i="37" s="1"/>
  <c r="D3" i="21"/>
  <c r="AC33" i="36"/>
  <c r="AC12" i="35"/>
  <c r="W23" i="35"/>
  <c r="S27" i="37"/>
  <c r="U39" i="37"/>
  <c r="AC8" i="37"/>
  <c r="AB8" i="34"/>
  <c r="AC37" i="33"/>
  <c r="F43" i="33"/>
  <c r="AA43" i="33" s="1"/>
  <c r="G107" i="37"/>
  <c r="H107" i="37"/>
  <c r="I107" i="37"/>
  <c r="J107" i="37" s="1"/>
  <c r="K107" i="37" s="1"/>
  <c r="L107" i="37" s="1"/>
  <c r="M107" i="37" s="1"/>
  <c r="H19" i="34"/>
  <c r="AB19" i="34" s="1"/>
  <c r="J10" i="37"/>
  <c r="F36" i="35"/>
  <c r="S36" i="35" s="1"/>
  <c r="J9" i="37"/>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U31" i="37" s="1"/>
  <c r="AB31" i="37"/>
  <c r="J15" i="37"/>
  <c r="W15" i="37" s="1"/>
  <c r="AB10" i="37"/>
  <c r="J11" i="37"/>
  <c r="W11" i="37"/>
  <c r="E89" i="40"/>
  <c r="F89" i="40" s="1"/>
  <c r="G89" i="40" s="1"/>
  <c r="F21" i="40"/>
  <c r="S21" i="40" s="1"/>
  <c r="J21" i="40"/>
  <c r="AC21" i="40" s="1"/>
  <c r="S27" i="31"/>
  <c r="AZ540" i="3"/>
  <c r="G483" i="3"/>
  <c r="G507" i="3"/>
  <c r="G501" i="3"/>
  <c r="BA15" i="3"/>
  <c r="BL17" i="3"/>
  <c r="BL15" i="3"/>
  <c r="BA14" i="3"/>
  <c r="AZ14" i="3"/>
  <c r="J57" i="39"/>
  <c r="H13" i="40"/>
  <c r="U13" i="40" s="1"/>
  <c r="H12" i="48"/>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AZ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BL127" i="3"/>
  <c r="G128" i="3"/>
  <c r="BA130" i="3"/>
  <c r="BL131" i="3"/>
  <c r="AZ131" i="3" s="1"/>
  <c r="G132" i="3"/>
  <c r="BA134" i="3"/>
  <c r="BL135" i="3"/>
  <c r="G136" i="3"/>
  <c r="BA138" i="3"/>
  <c r="BL139" i="3"/>
  <c r="G140" i="3"/>
  <c r="BA142" i="3"/>
  <c r="AZ142" i="3"/>
  <c r="BL143" i="3"/>
  <c r="G144" i="3"/>
  <c r="BA146" i="3"/>
  <c r="BL147" i="3"/>
  <c r="AZ147" i="3" s="1"/>
  <c r="G148" i="3"/>
  <c r="BA150" i="3"/>
  <c r="BL151" i="3"/>
  <c r="BA153" i="3"/>
  <c r="BL154" i="3"/>
  <c r="G155" i="3"/>
  <c r="BA157" i="3"/>
  <c r="BL158" i="3"/>
  <c r="AZ158" i="3" s="1"/>
  <c r="G159" i="3"/>
  <c r="BA161" i="3"/>
  <c r="AZ161" i="3" s="1"/>
  <c r="BL162" i="3"/>
  <c r="G163" i="3"/>
  <c r="BA165" i="3"/>
  <c r="BL166" i="3"/>
  <c r="G167" i="3"/>
  <c r="BA169" i="3"/>
  <c r="AZ169" i="3" s="1"/>
  <c r="BL170" i="3"/>
  <c r="G171" i="3"/>
  <c r="BA173" i="3"/>
  <c r="BL174" i="3"/>
  <c r="G175" i="3"/>
  <c r="BA178" i="3"/>
  <c r="BL179" i="3"/>
  <c r="AZ179" i="3" s="1"/>
  <c r="G180" i="3"/>
  <c r="AZ31" i="3"/>
  <c r="G537" i="3"/>
  <c r="BL181" i="3"/>
  <c r="G182" i="3"/>
  <c r="BA184" i="3"/>
  <c r="BL185" i="3"/>
  <c r="G186" i="3"/>
  <c r="BA188" i="3"/>
  <c r="BL189" i="3"/>
  <c r="AZ189" i="3" s="1"/>
  <c r="G190" i="3"/>
  <c r="BA192" i="3"/>
  <c r="BL193" i="3"/>
  <c r="AZ193" i="3" s="1"/>
  <c r="G194" i="3"/>
  <c r="BA196" i="3"/>
  <c r="BL197" i="3"/>
  <c r="AZ197" i="3" s="1"/>
  <c r="G198" i="3"/>
  <c r="BA200" i="3"/>
  <c r="AZ200" i="3"/>
  <c r="BL201" i="3"/>
  <c r="AZ74" i="3"/>
  <c r="G491" i="3"/>
  <c r="BA298" i="3"/>
  <c r="AZ298" i="3" s="1"/>
  <c r="BA299" i="3"/>
  <c r="BL299" i="3"/>
  <c r="G300" i="3"/>
  <c r="G303" i="3"/>
  <c r="BL304" i="3"/>
  <c r="BA306" i="3"/>
  <c r="BA307" i="3"/>
  <c r="BL307" i="3"/>
  <c r="AZ307" i="3" s="1"/>
  <c r="G308" i="3"/>
  <c r="G319" i="3"/>
  <c r="BL320" i="3"/>
  <c r="BA322" i="3"/>
  <c r="AZ322" i="3" s="1"/>
  <c r="BA323" i="3"/>
  <c r="BL323" i="3"/>
  <c r="AZ323" i="3" s="1"/>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AZ354" i="3" s="1"/>
  <c r="BA355" i="3"/>
  <c r="AZ355" i="3" s="1"/>
  <c r="BL355" i="3"/>
  <c r="G356" i="3"/>
  <c r="BA358" i="3"/>
  <c r="BA359" i="3"/>
  <c r="BL359" i="3"/>
  <c r="G360" i="3"/>
  <c r="G361" i="3"/>
  <c r="BL362" i="3"/>
  <c r="BA364" i="3"/>
  <c r="BA365" i="3"/>
  <c r="AZ365" i="3" s="1"/>
  <c r="BL365" i="3"/>
  <c r="G366" i="3"/>
  <c r="G369" i="3"/>
  <c r="BL370" i="3"/>
  <c r="BA372" i="3"/>
  <c r="AZ372" i="3"/>
  <c r="BA373" i="3"/>
  <c r="AZ373" i="3" s="1"/>
  <c r="BL373" i="3"/>
  <c r="G374" i="3"/>
  <c r="G377" i="3"/>
  <c r="BL378" i="3"/>
  <c r="BA380" i="3"/>
  <c r="AZ380" i="3" s="1"/>
  <c r="BA381" i="3"/>
  <c r="AZ381" i="3" s="1"/>
  <c r="BL381" i="3"/>
  <c r="G382" i="3"/>
  <c r="G385" i="3"/>
  <c r="AZ154" i="3"/>
  <c r="G523" i="3"/>
  <c r="BL297" i="3"/>
  <c r="AZ297" i="3" s="1"/>
  <c r="G298" i="3"/>
  <c r="BA300" i="3"/>
  <c r="BL301" i="3"/>
  <c r="G302" i="3"/>
  <c r="BA304" i="3"/>
  <c r="AZ304" i="3" s="1"/>
  <c r="BL305" i="3"/>
  <c r="G306" i="3"/>
  <c r="BA308" i="3"/>
  <c r="BL309" i="3"/>
  <c r="G310" i="3"/>
  <c r="BA310" i="3"/>
  <c r="AZ310" i="3" s="1"/>
  <c r="BL311" i="3"/>
  <c r="G312" i="3"/>
  <c r="BA312" i="3"/>
  <c r="AZ312" i="3" s="1"/>
  <c r="BL313" i="3"/>
  <c r="G314" i="3"/>
  <c r="BA314" i="3"/>
  <c r="BL315" i="3"/>
  <c r="G316" i="3"/>
  <c r="BA316" i="3"/>
  <c r="BL317" i="3"/>
  <c r="G318" i="3"/>
  <c r="BA320" i="3"/>
  <c r="AZ320" i="3" s="1"/>
  <c r="BL321" i="3"/>
  <c r="AZ321" i="3" s="1"/>
  <c r="G322" i="3"/>
  <c r="BA324" i="3"/>
  <c r="AZ324" i="3" s="1"/>
  <c r="BL325" i="3"/>
  <c r="G326" i="3"/>
  <c r="BA328" i="3"/>
  <c r="AZ328" i="3" s="1"/>
  <c r="BL329" i="3"/>
  <c r="G330" i="3"/>
  <c r="BA332" i="3"/>
  <c r="BL333" i="3"/>
  <c r="G334" i="3"/>
  <c r="BA336" i="3"/>
  <c r="AZ336" i="3" s="1"/>
  <c r="BL337" i="3"/>
  <c r="AZ337" i="3" s="1"/>
  <c r="G338" i="3"/>
  <c r="BA340" i="3"/>
  <c r="AZ340" i="3" s="1"/>
  <c r="BL341" i="3"/>
  <c r="G342" i="3"/>
  <c r="BA344" i="3"/>
  <c r="AZ344" i="3" s="1"/>
  <c r="BL345" i="3"/>
  <c r="G346" i="3"/>
  <c r="BA348" i="3"/>
  <c r="BL349" i="3"/>
  <c r="G350" i="3"/>
  <c r="BA352" i="3"/>
  <c r="AZ352" i="3" s="1"/>
  <c r="BL353" i="3"/>
  <c r="AZ353" i="3" s="1"/>
  <c r="G354" i="3"/>
  <c r="BA356" i="3"/>
  <c r="AZ356" i="3" s="1"/>
  <c r="BL357" i="3"/>
  <c r="G358" i="3"/>
  <c r="BA362" i="3"/>
  <c r="AZ362" i="3" s="1"/>
  <c r="BL363" i="3"/>
  <c r="G364" i="3"/>
  <c r="BA366" i="3"/>
  <c r="BL367" i="3"/>
  <c r="AZ367" i="3" s="1"/>
  <c r="AZ209" i="3"/>
  <c r="AZ217" i="3"/>
  <c r="AZ333" i="3"/>
  <c r="AZ357" i="3"/>
  <c r="G368" i="3"/>
  <c r="BA370" i="3"/>
  <c r="AZ370" i="3" s="1"/>
  <c r="BL371" i="3"/>
  <c r="G372" i="3"/>
  <c r="BA374" i="3"/>
  <c r="AZ374" i="3" s="1"/>
  <c r="BL375" i="3"/>
  <c r="G376" i="3"/>
  <c r="BA378" i="3"/>
  <c r="AZ378" i="3" s="1"/>
  <c r="BL379" i="3"/>
  <c r="G380" i="3"/>
  <c r="BA382" i="3"/>
  <c r="BL383" i="3"/>
  <c r="G384" i="3"/>
  <c r="AZ265" i="3"/>
  <c r="AZ290" i="3"/>
  <c r="AZ295" i="3"/>
  <c r="AZ315" i="3"/>
  <c r="AZ331" i="3"/>
  <c r="AZ339" i="3"/>
  <c r="AZ369" i="3"/>
  <c r="AZ438" i="3"/>
  <c r="AZ455" i="3"/>
  <c r="H7" i="48"/>
  <c r="F33" i="46"/>
  <c r="H16" i="48"/>
  <c r="H9" i="48"/>
  <c r="H8" i="48"/>
  <c r="C12" i="46"/>
  <c r="AA13" i="40"/>
  <c r="F77" i="40"/>
  <c r="G77" i="40" s="1"/>
  <c r="H77" i="40" s="1"/>
  <c r="I77" i="40" s="1"/>
  <c r="J77" i="40" s="1"/>
  <c r="K77" i="40" s="1"/>
  <c r="L77" i="40" s="1"/>
  <c r="M77" i="40" s="1"/>
  <c r="R16" i="4"/>
  <c r="P16" i="4"/>
  <c r="D3" i="35"/>
  <c r="G4" i="4"/>
  <c r="S37" i="34"/>
  <c r="J16" i="35"/>
  <c r="W16" i="35" s="1"/>
  <c r="AC26" i="36"/>
  <c r="AA36" i="35"/>
  <c r="H11" i="37"/>
  <c r="AB11" i="37" s="1"/>
  <c r="W37" i="37"/>
  <c r="AA36" i="37"/>
  <c r="S42" i="33"/>
  <c r="U32" i="33"/>
  <c r="AB17" i="37"/>
  <c r="AC29" i="33"/>
  <c r="AA45" i="33"/>
  <c r="AC10" i="36"/>
  <c r="S25" i="35"/>
  <c r="W44" i="33"/>
  <c r="AC30" i="33"/>
  <c r="W30" i="33"/>
  <c r="AC29" i="37"/>
  <c r="W32" i="36"/>
  <c r="AC32" i="36"/>
  <c r="J33" i="34"/>
  <c r="AC33" i="34"/>
  <c r="J40" i="34"/>
  <c r="W40" i="34" s="1"/>
  <c r="F16" i="35"/>
  <c r="AA16" i="35" s="1"/>
  <c r="S24" i="36"/>
  <c r="W42" i="33"/>
  <c r="J35" i="34"/>
  <c r="W35" i="34" s="1"/>
  <c r="S30" i="36"/>
  <c r="H16" i="36"/>
  <c r="AB16" i="36"/>
  <c r="H103" i="37"/>
  <c r="I103" i="37" s="1"/>
  <c r="J103" i="37" s="1"/>
  <c r="K103" i="37" s="1"/>
  <c r="L103" i="37" s="1"/>
  <c r="M103" i="37" s="1"/>
  <c r="H35" i="37"/>
  <c r="AB35" i="37" s="1"/>
  <c r="S26" i="21"/>
  <c r="H32" i="21"/>
  <c r="U32" i="21" s="1"/>
  <c r="AB26" i="21"/>
  <c r="U26" i="21"/>
  <c r="J32" i="21"/>
  <c r="AC32" i="21" s="1"/>
  <c r="F17" i="21"/>
  <c r="S17" i="21" s="1"/>
  <c r="H17" i="21"/>
  <c r="AB17" i="21" s="1"/>
  <c r="J17" i="21"/>
  <c r="W1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F35" i="33"/>
  <c r="AA35" i="33" s="1"/>
  <c r="AB39" i="34"/>
  <c r="F11" i="34"/>
  <c r="S11" i="34" s="1"/>
  <c r="E80" i="34"/>
  <c r="F80" i="34" s="1"/>
  <c r="G80" i="34" s="1"/>
  <c r="H17" i="34"/>
  <c r="AB17" i="34" s="1"/>
  <c r="AB28" i="35"/>
  <c r="U28" i="35"/>
  <c r="J13" i="33"/>
  <c r="W13" i="33" s="1"/>
  <c r="H13" i="33"/>
  <c r="U13" i="33" s="1"/>
  <c r="H29" i="33"/>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J32" i="34"/>
  <c r="W32" i="34" s="1"/>
  <c r="H46" i="34"/>
  <c r="F46" i="34"/>
  <c r="AA46" i="34" s="1"/>
  <c r="J46" i="34"/>
  <c r="AC46" i="34" s="1"/>
  <c r="H11" i="35"/>
  <c r="J11" i="35"/>
  <c r="AC11" i="35" s="1"/>
  <c r="F96" i="37"/>
  <c r="H32" i="37"/>
  <c r="AB32" i="37" s="1"/>
  <c r="F19" i="39"/>
  <c r="H19" i="39"/>
  <c r="J19" i="39"/>
  <c r="W19" i="39" s="1"/>
  <c r="F43" i="39"/>
  <c r="AA43" i="39" s="1"/>
  <c r="H43" i="39"/>
  <c r="U43" i="39" s="1"/>
  <c r="J43" i="39"/>
  <c r="AC43" i="39" s="1"/>
  <c r="F99" i="37"/>
  <c r="G99" i="37" s="1"/>
  <c r="AC27" i="37"/>
  <c r="U31" i="34"/>
  <c r="AC40" i="37"/>
  <c r="W40" i="37"/>
  <c r="W27" i="33"/>
  <c r="S14" i="21"/>
  <c r="AA44" i="34"/>
  <c r="U29" i="35"/>
  <c r="AC19" i="33"/>
  <c r="W19" i="33"/>
  <c r="U43" i="34"/>
  <c r="AB43" i="34"/>
  <c r="AC34" i="37"/>
  <c r="AA35" i="37"/>
  <c r="F42" i="21"/>
  <c r="AA42" i="21" s="1"/>
  <c r="AB40" i="33"/>
  <c r="U40" i="33"/>
  <c r="AA35" i="34"/>
  <c r="S35" i="34"/>
  <c r="E90" i="34"/>
  <c r="H27" i="34"/>
  <c r="AB27" i="34" s="1"/>
  <c r="J14" i="35"/>
  <c r="AC14" i="35" s="1"/>
  <c r="F14" i="35"/>
  <c r="AA14" i="35" s="1"/>
  <c r="H14" i="35"/>
  <c r="U14" i="35" s="1"/>
  <c r="E80"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U34" i="36"/>
  <c r="AB34" i="36"/>
  <c r="H33" i="36"/>
  <c r="F33" i="36"/>
  <c r="AA33" i="36" s="1"/>
  <c r="H27" i="36"/>
  <c r="AB27" i="36" s="1"/>
  <c r="AB29" i="37"/>
  <c r="AA30" i="37"/>
  <c r="S30" i="37"/>
  <c r="AC30" i="37"/>
  <c r="AC31" i="37"/>
  <c r="W31" i="37"/>
  <c r="F17" i="39"/>
  <c r="AA17" i="39" s="1"/>
  <c r="H17" i="39"/>
  <c r="U17" i="39" s="1"/>
  <c r="J17" i="39"/>
  <c r="W17" i="39" s="1"/>
  <c r="F21" i="39"/>
  <c r="S21" i="39" s="1"/>
  <c r="H21" i="39"/>
  <c r="AB21" i="39" s="1"/>
  <c r="J21" i="39"/>
  <c r="W21" i="39" s="1"/>
  <c r="F33" i="39"/>
  <c r="AA33" i="39" s="1"/>
  <c r="H33" i="39"/>
  <c r="U33" i="39" s="1"/>
  <c r="J33" i="39"/>
  <c r="W33" i="39" s="1"/>
  <c r="F44" i="39"/>
  <c r="AA44" i="39" s="1"/>
  <c r="H44" i="39"/>
  <c r="U44" i="39" s="1"/>
  <c r="J44" i="39"/>
  <c r="W44" i="39" s="1"/>
  <c r="E127" i="39"/>
  <c r="F127" i="39" s="1"/>
  <c r="G127" i="39" s="1"/>
  <c r="H127" i="39" s="1"/>
  <c r="I127" i="39" s="1"/>
  <c r="J127" i="39" s="1"/>
  <c r="K127" i="39" s="1"/>
  <c r="L127" i="39" s="1"/>
  <c r="M127" i="39" s="1"/>
  <c r="E102" i="39"/>
  <c r="F102" i="39" s="1"/>
  <c r="G102" i="39" s="1"/>
  <c r="F34" i="39"/>
  <c r="AA34" i="39" s="1"/>
  <c r="H34" i="39"/>
  <c r="AB34" i="39" s="1"/>
  <c r="J34" i="39"/>
  <c r="AC34" i="39" s="1"/>
  <c r="F39" i="39"/>
  <c r="AA39" i="39" s="1"/>
  <c r="H39" i="39"/>
  <c r="AB39" i="39" s="1"/>
  <c r="J39" i="39"/>
  <c r="W39" i="39" s="1"/>
  <c r="J29" i="35"/>
  <c r="AC29" i="35" s="1"/>
  <c r="F29" i="35"/>
  <c r="AA29" i="35" s="1"/>
  <c r="W30" i="36"/>
  <c r="AC30" i="36"/>
  <c r="BL566" i="3"/>
  <c r="BL565" i="3"/>
  <c r="BA564" i="3"/>
  <c r="BA553" i="3"/>
  <c r="BA552" i="3"/>
  <c r="BA548" i="3"/>
  <c r="BL539" i="3"/>
  <c r="BA539" i="3"/>
  <c r="AZ539" i="3" s="1"/>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2" i="3"/>
  <c r="BL515" i="3"/>
  <c r="BL513" i="3"/>
  <c r="BL504" i="3"/>
  <c r="BA504" i="3"/>
  <c r="BA503" i="3"/>
  <c r="AZ503" i="3"/>
  <c r="BA500" i="3"/>
  <c r="AZ500" i="3"/>
  <c r="BL499" i="3"/>
  <c r="BA499" i="3"/>
  <c r="AZ499" i="3" s="1"/>
  <c r="BL498" i="3"/>
  <c r="AZ498" i="3" s="1"/>
  <c r="BL497" i="3"/>
  <c r="AZ497" i="3" s="1"/>
  <c r="BA497" i="3"/>
  <c r="BL496" i="3"/>
  <c r="AZ496" i="3" s="1"/>
  <c r="BA496" i="3"/>
  <c r="BA495" i="3"/>
  <c r="BL494" i="3"/>
  <c r="BA494" i="3"/>
  <c r="AZ494" i="3" s="1"/>
  <c r="G494" i="3"/>
  <c r="BA491" i="3"/>
  <c r="AZ491" i="3" s="1"/>
  <c r="BL490" i="3"/>
  <c r="BA490" i="3"/>
  <c r="BL489" i="3"/>
  <c r="BA489" i="3"/>
  <c r="AZ489" i="3"/>
  <c r="BL487" i="3"/>
  <c r="AZ487" i="3"/>
  <c r="BA486" i="3"/>
  <c r="BL481" i="3"/>
  <c r="AZ481" i="3" s="1"/>
  <c r="BA481" i="3"/>
  <c r="BL19" i="3"/>
  <c r="AZ19" i="3" s="1"/>
  <c r="BA18" i="3"/>
  <c r="F114" i="34"/>
  <c r="G114" i="34" s="1"/>
  <c r="H114" i="34" s="1"/>
  <c r="I114" i="34" s="1"/>
  <c r="J114" i="34"/>
  <c r="K114" i="34" s="1"/>
  <c r="L114" i="34" s="1"/>
  <c r="M114" i="34" s="1"/>
  <c r="H38" i="34"/>
  <c r="U38" i="34" s="1"/>
  <c r="H30" i="40"/>
  <c r="AB30" i="40" s="1"/>
  <c r="G99" i="40"/>
  <c r="J30" i="40"/>
  <c r="AC30" i="40" s="1"/>
  <c r="F38" i="40"/>
  <c r="AA38" i="40" s="1"/>
  <c r="AA36" i="34"/>
  <c r="AB8" i="33"/>
  <c r="U8" i="33"/>
  <c r="E106" i="33"/>
  <c r="H34" i="33"/>
  <c r="U34" i="33"/>
  <c r="F34" i="33"/>
  <c r="S34" i="33"/>
  <c r="E121" i="33"/>
  <c r="F41" i="33"/>
  <c r="S41" i="33" s="1"/>
  <c r="AC34" i="34"/>
  <c r="W34" i="34"/>
  <c r="AA39" i="34"/>
  <c r="S39" i="34"/>
  <c r="S43" i="34"/>
  <c r="E78" i="34"/>
  <c r="F15" i="34"/>
  <c r="AC28" i="35"/>
  <c r="W28" i="35"/>
  <c r="J20" i="35"/>
  <c r="W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F15" i="40"/>
  <c r="AA15" i="40" s="1"/>
  <c r="J15" i="40"/>
  <c r="H15" i="40"/>
  <c r="AB15" i="40" s="1"/>
  <c r="E91" i="40"/>
  <c r="F91" i="40" s="1"/>
  <c r="G91" i="40" s="1"/>
  <c r="H23" i="40"/>
  <c r="U23" i="40" s="1"/>
  <c r="H41" i="40"/>
  <c r="AB41" i="40" s="1"/>
  <c r="F41" i="40"/>
  <c r="AA41" i="40" s="1"/>
  <c r="J41" i="40"/>
  <c r="AC41" i="40" s="1"/>
  <c r="H36" i="33"/>
  <c r="AB36" i="33" s="1"/>
  <c r="H37" i="34"/>
  <c r="U37" i="34" s="1"/>
  <c r="F15" i="39"/>
  <c r="AA15" i="39" s="1"/>
  <c r="H15" i="39"/>
  <c r="AB15" i="39" s="1"/>
  <c r="J15" i="39"/>
  <c r="AC15" i="39" s="1"/>
  <c r="H25" i="39"/>
  <c r="AB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16" i="40"/>
  <c r="J14" i="40"/>
  <c r="W14" i="40" s="1"/>
  <c r="H42" i="40"/>
  <c r="AB42" i="40" s="1"/>
  <c r="H40" i="40"/>
  <c r="U40" i="40" s="1"/>
  <c r="AZ407" i="3"/>
  <c r="J42" i="40"/>
  <c r="AC42" i="40"/>
  <c r="J40" i="40"/>
  <c r="AC40" i="40"/>
  <c r="H16" i="40"/>
  <c r="AB16" i="40"/>
  <c r="H14" i="40"/>
  <c r="U14" i="40"/>
  <c r="F32" i="40"/>
  <c r="AA32" i="40"/>
  <c r="M1" i="46"/>
  <c r="M6" i="46"/>
  <c r="M10" i="46"/>
  <c r="N2" i="46"/>
  <c r="N5" i="46"/>
  <c r="F58" i="46"/>
  <c r="H61" i="46" s="1"/>
  <c r="N7" i="46"/>
  <c r="AZ458" i="3"/>
  <c r="AZ474" i="3"/>
  <c r="AZ220" i="3"/>
  <c r="AZ223" i="3"/>
  <c r="AZ268" i="3"/>
  <c r="AZ276" i="3"/>
  <c r="AZ284" i="3"/>
  <c r="AZ121" i="3"/>
  <c r="AZ140" i="3"/>
  <c r="M7" i="46"/>
  <c r="M11" i="46"/>
  <c r="N3" i="46"/>
  <c r="N6" i="46"/>
  <c r="N10" i="46"/>
  <c r="F69" i="46"/>
  <c r="H71" i="46"/>
  <c r="AZ180" i="3"/>
  <c r="AZ56" i="3"/>
  <c r="J13" i="40"/>
  <c r="W13" i="40"/>
  <c r="AB14" i="40"/>
  <c r="W40" i="40"/>
  <c r="AB37" i="34"/>
  <c r="W41" i="40"/>
  <c r="U41" i="40"/>
  <c r="J23" i="40"/>
  <c r="AC23" i="40" s="1"/>
  <c r="F23" i="40"/>
  <c r="S23" i="40" s="1"/>
  <c r="AC15" i="40"/>
  <c r="W15" i="40"/>
  <c r="AB23" i="35"/>
  <c r="H20" i="35"/>
  <c r="U20" i="35" s="1"/>
  <c r="F20" i="35"/>
  <c r="H15" i="34"/>
  <c r="AB15" i="34"/>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04" i="3"/>
  <c r="AZ529" i="3"/>
  <c r="J29" i="39"/>
  <c r="AC29" i="39" s="1"/>
  <c r="F33" i="37"/>
  <c r="AA33" i="37" s="1"/>
  <c r="AB19" i="39"/>
  <c r="U19" i="39"/>
  <c r="AA14" i="34"/>
  <c r="AC13" i="33"/>
  <c r="U17" i="34"/>
  <c r="AA11" i="34"/>
  <c r="H15" i="33"/>
  <c r="U15" i="33" s="1"/>
  <c r="U16" i="40"/>
  <c r="W32" i="40"/>
  <c r="H25" i="40"/>
  <c r="AB25" i="40" s="1"/>
  <c r="F93" i="40"/>
  <c r="G93" i="40" s="1"/>
  <c r="J37" i="34"/>
  <c r="AC37" i="34" s="1"/>
  <c r="J36" i="33"/>
  <c r="AC36" i="33" s="1"/>
  <c r="S41" i="40"/>
  <c r="H23" i="39"/>
  <c r="AB23" i="39" s="1"/>
  <c r="J23" i="39"/>
  <c r="AC23" i="39" s="1"/>
  <c r="F96" i="39"/>
  <c r="G96" i="39" s="1"/>
  <c r="S16" i="39"/>
  <c r="S15" i="34"/>
  <c r="AA15" i="34"/>
  <c r="AA34" i="33"/>
  <c r="F106" i="33"/>
  <c r="G106" i="33" s="1"/>
  <c r="H106" i="33" s="1"/>
  <c r="I106" i="33" s="1"/>
  <c r="J106" i="33" s="1"/>
  <c r="K106" i="33" s="1"/>
  <c r="L106" i="33" s="1"/>
  <c r="M106" i="33" s="1"/>
  <c r="J34" i="33"/>
  <c r="AC34" i="33" s="1"/>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c r="H11" i="34"/>
  <c r="AB11" i="34" s="1"/>
  <c r="J35" i="33"/>
  <c r="W35" i="33" s="1"/>
  <c r="S32" i="33"/>
  <c r="AC15" i="33"/>
  <c r="H11" i="33"/>
  <c r="U11" i="33" s="1"/>
  <c r="H10" i="33"/>
  <c r="U10" i="33" s="1"/>
  <c r="I66" i="33"/>
  <c r="J10" i="33"/>
  <c r="AC10" i="33" s="1"/>
  <c r="U11" i="37"/>
  <c r="AC13" i="40"/>
  <c r="J11" i="34"/>
  <c r="AC11" i="34" s="1"/>
  <c r="W11" i="34"/>
  <c r="F25" i="40"/>
  <c r="AA25" i="40" s="1"/>
  <c r="J11" i="33"/>
  <c r="W11" i="33" s="1"/>
  <c r="H33" i="37"/>
  <c r="AB33" i="37" s="1"/>
  <c r="AC15" i="34"/>
  <c r="AP11" i="1"/>
  <c r="B11" i="1"/>
  <c r="E11" i="1"/>
  <c r="K11" i="1"/>
  <c r="M11" i="1" s="1"/>
  <c r="B9" i="1"/>
  <c r="E9" i="1" s="1"/>
  <c r="K9" i="1"/>
  <c r="M9" i="1" s="1"/>
  <c r="B7" i="1"/>
  <c r="E7" i="1" s="1"/>
  <c r="K7" i="1"/>
  <c r="F6" i="1"/>
  <c r="AP6" i="1" s="1"/>
  <c r="G11" i="1"/>
  <c r="AC25" i="36"/>
  <c r="S8" i="36"/>
  <c r="AA28" i="36"/>
  <c r="U25" i="36"/>
  <c r="H20" i="36"/>
  <c r="U20" i="36" s="1"/>
  <c r="F68" i="36"/>
  <c r="G68" i="36" s="1"/>
  <c r="J20" i="36"/>
  <c r="AC20" i="36" s="1"/>
  <c r="F20" i="36"/>
  <c r="S20" i="36" s="1"/>
  <c r="F62" i="36"/>
  <c r="G62" i="36" s="1"/>
  <c r="J14" i="36"/>
  <c r="H14" i="36"/>
  <c r="U14" i="36" s="1"/>
  <c r="F14" i="36"/>
  <c r="AA14" i="36" s="1"/>
  <c r="U32" i="36"/>
  <c r="U9" i="36"/>
  <c r="S33" i="36"/>
  <c r="AA27" i="36"/>
  <c r="S16" i="36"/>
  <c r="S29" i="36"/>
  <c r="AC33" i="35"/>
  <c r="S8" i="35"/>
  <c r="U33" i="35"/>
  <c r="S23" i="35"/>
  <c r="AC18" i="35"/>
  <c r="W18" i="35"/>
  <c r="U18" i="35"/>
  <c r="AB18" i="35"/>
  <c r="AB30" i="35"/>
  <c r="S27" i="35"/>
  <c r="S28" i="35"/>
  <c r="W12" i="37"/>
  <c r="S17" i="37"/>
  <c r="AB37" i="37"/>
  <c r="AA31" i="37"/>
  <c r="U32" i="37"/>
  <c r="AA32" i="37"/>
  <c r="J33" i="37"/>
  <c r="W33" i="37" s="1"/>
  <c r="H99" i="37"/>
  <c r="I99" i="37"/>
  <c r="J99" i="37" s="1"/>
  <c r="K99" i="37" s="1"/>
  <c r="L99" i="37" s="1"/>
  <c r="M99" i="37" s="1"/>
  <c r="S29" i="37"/>
  <c r="J19" i="37"/>
  <c r="AC19" i="37" s="1"/>
  <c r="G75" i="37"/>
  <c r="F19" i="37"/>
  <c r="AA19" i="37" s="1"/>
  <c r="H19" i="37"/>
  <c r="U19" i="37" s="1"/>
  <c r="J17" i="37"/>
  <c r="AC17" i="37" s="1"/>
  <c r="S15" i="37"/>
  <c r="AC21" i="37"/>
  <c r="W21" i="37"/>
  <c r="AC11" i="37"/>
  <c r="W32" i="37"/>
  <c r="U35" i="37"/>
  <c r="U8" i="37"/>
  <c r="AB21" i="37"/>
  <c r="U21" i="37"/>
  <c r="S37" i="37"/>
  <c r="S40" i="37"/>
  <c r="AA11" i="37"/>
  <c r="S10" i="37"/>
  <c r="AA40" i="34"/>
  <c r="W33" i="34"/>
  <c r="AB33" i="34"/>
  <c r="AC35" i="34"/>
  <c r="AA30" i="34"/>
  <c r="AC32" i="34"/>
  <c r="AA33" i="34"/>
  <c r="U44" i="34"/>
  <c r="U34" i="34"/>
  <c r="AA27" i="34"/>
  <c r="J25" i="34"/>
  <c r="W25" i="34" s="1"/>
  <c r="H25" i="34"/>
  <c r="F25" i="34"/>
  <c r="AA25" i="34" s="1"/>
  <c r="J23" i="34"/>
  <c r="F86" i="34"/>
  <c r="G86" i="34" s="1"/>
  <c r="F23" i="34"/>
  <c r="H23" i="34"/>
  <c r="U23" i="34" s="1"/>
  <c r="W17" i="34"/>
  <c r="U11" i="34"/>
  <c r="W10" i="34"/>
  <c r="U10" i="34"/>
  <c r="AC40" i="34"/>
  <c r="W44" i="34"/>
  <c r="W19" i="34"/>
  <c r="AC21" i="34"/>
  <c r="W21" i="34"/>
  <c r="U15" i="34"/>
  <c r="AB21" i="34"/>
  <c r="U21" i="34"/>
  <c r="U27" i="34"/>
  <c r="U19" i="34"/>
  <c r="AB41" i="34"/>
  <c r="S13" i="34"/>
  <c r="AA41" i="34"/>
  <c r="S9" i="34"/>
  <c r="S10" i="34"/>
  <c r="U39" i="33"/>
  <c r="U37" i="33"/>
  <c r="S35" i="33"/>
  <c r="AC12" i="33"/>
  <c r="AB11" i="33"/>
  <c r="AB41" i="33"/>
  <c r="U36" i="33"/>
  <c r="S29" i="33"/>
  <c r="W31" i="33"/>
  <c r="W43" i="33"/>
  <c r="W39" i="33"/>
  <c r="U35" i="33"/>
  <c r="AB34" i="33"/>
  <c r="H25" i="33"/>
  <c r="AB25" i="33"/>
  <c r="J25" i="33"/>
  <c r="W25" i="33" s="1"/>
  <c r="F25" i="33"/>
  <c r="F85" i="33"/>
  <c r="G85" i="33" s="1"/>
  <c r="J23" i="33"/>
  <c r="W23" i="33" s="1"/>
  <c r="F23" i="33"/>
  <c r="H23" i="33"/>
  <c r="U23" i="33" s="1"/>
  <c r="F79" i="33"/>
  <c r="G79" i="33" s="1"/>
  <c r="F17" i="33"/>
  <c r="AA17" i="33" s="1"/>
  <c r="H17" i="33"/>
  <c r="J17" i="33"/>
  <c r="W17" i="33" s="1"/>
  <c r="AB15" i="33"/>
  <c r="AC11" i="33"/>
  <c r="S10" i="33"/>
  <c r="S14" i="33"/>
  <c r="AC21" i="33"/>
  <c r="W21" i="33"/>
  <c r="W14" i="33"/>
  <c r="U25" i="33"/>
  <c r="AB21" i="33"/>
  <c r="U21" i="33"/>
  <c r="AA21" i="33"/>
  <c r="S21" i="33"/>
  <c r="AA36" i="33"/>
  <c r="W43" i="21"/>
  <c r="W28" i="21"/>
  <c r="AC26" i="21"/>
  <c r="J23" i="21"/>
  <c r="W23" i="21" s="1"/>
  <c r="F23" i="21"/>
  <c r="AA23" i="21" s="1"/>
  <c r="H23" i="21"/>
  <c r="U23" i="21" s="1"/>
  <c r="F15" i="21"/>
  <c r="S15" i="21" s="1"/>
  <c r="J15" i="21"/>
  <c r="W15" i="21" s="1"/>
  <c r="H15" i="21"/>
  <c r="U15" i="21" s="1"/>
  <c r="W13" i="21"/>
  <c r="AC21" i="21"/>
  <c r="W21" i="21"/>
  <c r="AB21" i="21"/>
  <c r="U21" i="21"/>
  <c r="AA30" i="21"/>
  <c r="W33" i="40"/>
  <c r="S35" i="40"/>
  <c r="U15" i="40"/>
  <c r="S14" i="40"/>
  <c r="S15" i="40"/>
  <c r="S16" i="40"/>
  <c r="W11" i="40"/>
  <c r="AA21" i="40"/>
  <c r="U21" i="40"/>
  <c r="W25" i="40"/>
  <c r="U25" i="40"/>
  <c r="W42" i="40"/>
  <c r="U35" i="40"/>
  <c r="F37" i="40"/>
  <c r="J37" i="40"/>
  <c r="AC37" i="40" s="1"/>
  <c r="H37" i="40"/>
  <c r="G112" i="40"/>
  <c r="H112" i="40" s="1"/>
  <c r="I112" i="40" s="1"/>
  <c r="J112" i="40" s="1"/>
  <c r="K112" i="40" s="1"/>
  <c r="L112" i="40" s="1"/>
  <c r="M112" i="40" s="1"/>
  <c r="F39" i="40"/>
  <c r="AA39" i="40" s="1"/>
  <c r="S38" i="40"/>
  <c r="H39" i="40"/>
  <c r="AB39" i="40" s="1"/>
  <c r="J39" i="40"/>
  <c r="AC39" i="40" s="1"/>
  <c r="W38" i="40"/>
  <c r="F29" i="40"/>
  <c r="H29" i="40"/>
  <c r="U29" i="40" s="1"/>
  <c r="J29" i="40"/>
  <c r="AC29" i="40" s="1"/>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AB40" i="40"/>
  <c r="U10" i="40"/>
  <c r="U27" i="40"/>
  <c r="AB27" i="40"/>
  <c r="S11" i="39"/>
  <c r="AC19" i="39"/>
  <c r="S22" i="31"/>
  <c r="B20" i="31" s="1"/>
  <c r="M20" i="15"/>
  <c r="A18" i="64"/>
  <c r="B74" i="63" s="1"/>
  <c r="C53" i="10"/>
  <c r="A25" i="64" s="1"/>
  <c r="A18" i="51"/>
  <c r="B14" i="63" s="1"/>
  <c r="BA16" i="3"/>
  <c r="BA17" i="3"/>
  <c r="AZ17" i="3" s="1"/>
  <c r="K1" i="43"/>
  <c r="K1" i="12"/>
  <c r="G1" i="44"/>
  <c r="G3" i="46"/>
  <c r="G22" i="46" s="1"/>
  <c r="BK5" i="3"/>
  <c r="BL18" i="3"/>
  <c r="AZ18" i="3" s="1"/>
  <c r="BD5" i="3"/>
  <c r="BL16" i="3"/>
  <c r="AZ16" i="3" s="1"/>
  <c r="G28" i="12"/>
  <c r="D24" i="44"/>
  <c r="D26" i="44"/>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s="1"/>
  <c r="A4" i="64"/>
  <c r="A4" i="51"/>
  <c r="B6" i="63" s="1"/>
  <c r="C51" i="10"/>
  <c r="A9" i="51" s="1"/>
  <c r="B9" i="63" s="1"/>
  <c r="I100" i="46"/>
  <c r="C24" i="46"/>
  <c r="N100" i="46"/>
  <c r="H100" i="46"/>
  <c r="F108" i="46"/>
  <c r="H80" i="46"/>
  <c r="B45" i="46"/>
  <c r="E100" i="46"/>
  <c r="G100" i="46"/>
  <c r="H84" i="46"/>
  <c r="C100" i="46"/>
  <c r="J100" i="46"/>
  <c r="M100" i="46"/>
  <c r="AA12" i="36"/>
  <c r="AA11" i="35"/>
  <c r="U13" i="37"/>
  <c r="S13" i="21"/>
  <c r="C24" i="9"/>
  <c r="C25" i="9"/>
  <c r="I20" i="46"/>
  <c r="L5" i="54"/>
  <c r="B39" i="63" s="1"/>
  <c r="K5" i="54"/>
  <c r="B38" i="63" s="1"/>
  <c r="T41" i="4"/>
  <c r="A17" i="64" s="1"/>
  <c r="B46" i="50"/>
  <c r="B4" i="63"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AB18" i="36" s="1"/>
  <c r="U16" i="36"/>
  <c r="S25" i="36"/>
  <c r="AA34" i="36"/>
  <c r="U23" i="36"/>
  <c r="AC27" i="36"/>
  <c r="W28" i="36"/>
  <c r="AA32" i="36"/>
  <c r="AA22" i="36"/>
  <c r="U10"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2" i="33"/>
  <c r="S15" i="33"/>
  <c r="S39" i="21"/>
  <c r="AB25" i="21"/>
  <c r="W25" i="21"/>
  <c r="AA25" i="21"/>
  <c r="AA29" i="21"/>
  <c r="G95" i="40"/>
  <c r="J27" i="40"/>
  <c r="AC27" i="40" s="1"/>
  <c r="W30" i="40"/>
  <c r="U38" i="40"/>
  <c r="S40" i="40"/>
  <c r="S42" i="40"/>
  <c r="J31" i="39"/>
  <c r="W31" i="39" s="1"/>
  <c r="S45" i="39"/>
  <c r="S34" i="39"/>
  <c r="W42" i="39"/>
  <c r="W36" i="39"/>
  <c r="W10" i="39"/>
  <c r="W11" i="39"/>
  <c r="U42" i="39"/>
  <c r="S32" i="40"/>
  <c r="C27" i="39"/>
  <c r="C17" i="40"/>
  <c r="C19" i="40"/>
  <c r="C17" i="39"/>
  <c r="C21" i="39"/>
  <c r="C23" i="40"/>
  <c r="B48" i="46"/>
  <c r="B51" i="46"/>
  <c r="B55" i="46"/>
  <c r="B59" i="46"/>
  <c r="B62" i="46"/>
  <c r="B66" i="46"/>
  <c r="B53" i="46"/>
  <c r="B64" i="46"/>
  <c r="D24" i="15"/>
  <c r="S14" i="36"/>
  <c r="AA20" i="36"/>
  <c r="AC14" i="36"/>
  <c r="W14" i="36"/>
  <c r="AB14" i="36"/>
  <c r="U18" i="36"/>
  <c r="S19" i="37"/>
  <c r="W19" i="37"/>
  <c r="AB19" i="37"/>
  <c r="W17" i="37"/>
  <c r="U25" i="34"/>
  <c r="AB25" i="34"/>
  <c r="S25" i="34"/>
  <c r="AB23" i="34"/>
  <c r="AA23" i="34"/>
  <c r="S23" i="34"/>
  <c r="AC23" i="34"/>
  <c r="W23" i="34"/>
  <c r="AA25" i="33"/>
  <c r="S25" i="33"/>
  <c r="AB23" i="33"/>
  <c r="S23" i="33"/>
  <c r="AA23" i="33"/>
  <c r="U17" i="33"/>
  <c r="AB17" i="33"/>
  <c r="U39" i="40"/>
  <c r="S39" i="40"/>
  <c r="U37" i="40"/>
  <c r="AB37" i="40"/>
  <c r="AA37" i="40"/>
  <c r="S37" i="40"/>
  <c r="AB29" i="40"/>
  <c r="AA29" i="40"/>
  <c r="S29" i="40"/>
  <c r="AC19" i="40"/>
  <c r="S19" i="40"/>
  <c r="AB19" i="40"/>
  <c r="U19" i="40"/>
  <c r="AT6" i="3"/>
  <c r="E4" i="4"/>
  <c r="B21" i="55" s="1"/>
  <c r="B72" i="63" s="1"/>
  <c r="C4" i="4"/>
  <c r="G66" i="36"/>
  <c r="J18" i="36"/>
  <c r="AE8" i="1"/>
  <c r="AE7" i="1"/>
  <c r="AE6" i="1"/>
  <c r="W18" i="36"/>
  <c r="AC18" i="36"/>
  <c r="AG6" i="1"/>
  <c r="L20" i="6"/>
  <c r="L19" i="6"/>
  <c r="B20" i="55"/>
  <c r="B70" i="63" s="1"/>
  <c r="S8" i="1"/>
  <c r="S9" i="1"/>
  <c r="R9" i="1"/>
  <c r="R8" i="1"/>
  <c r="C45" i="9"/>
  <c r="H14" i="66" s="1"/>
  <c r="B7" i="66" s="1"/>
  <c r="N76" i="9"/>
  <c r="H58" i="46"/>
  <c r="J17" i="46"/>
  <c r="C17" i="46"/>
  <c r="F34" i="46"/>
  <c r="F38" i="46"/>
  <c r="F37" i="46"/>
  <c r="H113" i="46"/>
  <c r="H49" i="46"/>
  <c r="D24" i="59"/>
  <c r="C23" i="59"/>
  <c r="D23" i="59" s="1"/>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E17" i="46"/>
  <c r="N17" i="46"/>
  <c r="O17" i="46"/>
  <c r="M17" i="46"/>
  <c r="L17" i="46"/>
  <c r="H70" i="46"/>
  <c r="H73" i="46"/>
  <c r="H48" i="46"/>
  <c r="F35" i="46"/>
  <c r="I17" i="46"/>
  <c r="H63" i="46"/>
  <c r="H64" i="46"/>
  <c r="H66" i="46"/>
  <c r="D100" i="46"/>
  <c r="H62" i="46"/>
  <c r="AF12" i="46"/>
  <c r="K100" i="46"/>
  <c r="AB12" i="46"/>
  <c r="AJ12" i="46"/>
  <c r="H60" i="46"/>
  <c r="H59" i="46"/>
  <c r="H74" i="46"/>
  <c r="H65" i="46"/>
  <c r="H75" i="46"/>
  <c r="H72" i="46"/>
  <c r="H69" i="46"/>
  <c r="H77" i="46"/>
  <c r="H76" i="46"/>
  <c r="H55" i="46"/>
  <c r="H52" i="46"/>
  <c r="AD12" i="46"/>
  <c r="AH12" i="46"/>
  <c r="C22" i="59"/>
  <c r="C21" i="59" s="1"/>
  <c r="G20" i="46"/>
  <c r="E41" i="46" s="1"/>
  <c r="C41" i="46" s="1"/>
  <c r="E8" i="67"/>
  <c r="M23" i="15"/>
  <c r="M27" i="15"/>
  <c r="J6" i="65"/>
  <c r="B13" i="67"/>
  <c r="J15" i="15"/>
  <c r="E9" i="67"/>
  <c r="M6" i="15"/>
  <c r="E13" i="67"/>
  <c r="E11" i="67"/>
  <c r="M22" i="15"/>
  <c r="M28" i="44"/>
  <c r="F10" i="67"/>
  <c r="F8" i="44"/>
  <c r="F8" i="15"/>
  <c r="F38" i="15"/>
  <c r="F8" i="67"/>
  <c r="M29" i="15"/>
  <c r="F11" i="67"/>
  <c r="F6" i="15"/>
  <c r="I3" i="65"/>
  <c r="L49" i="44"/>
  <c r="L48" i="15"/>
  <c r="F37" i="15"/>
  <c r="B14" i="67"/>
  <c r="F41" i="15"/>
  <c r="E14" i="67"/>
  <c r="N3" i="65"/>
  <c r="I5" i="65"/>
  <c r="M8" i="15"/>
  <c r="F13" i="67"/>
  <c r="E12" i="67"/>
  <c r="N4" i="65"/>
  <c r="M24" i="15"/>
  <c r="M28" i="15"/>
  <c r="F9" i="67"/>
  <c r="J36" i="15"/>
  <c r="N6" i="65"/>
  <c r="M26" i="15"/>
  <c r="F9" i="15"/>
  <c r="L47" i="15"/>
  <c r="F13" i="15"/>
  <c r="N5" i="65"/>
  <c r="F26" i="15"/>
  <c r="F14" i="67"/>
  <c r="F39" i="44"/>
  <c r="N7" i="65"/>
  <c r="B11" i="67"/>
  <c r="B12" i="67"/>
  <c r="F40" i="15"/>
  <c r="B10" i="67"/>
  <c r="E10" i="67"/>
  <c r="F38" i="44"/>
  <c r="F36" i="15"/>
  <c r="M9" i="15"/>
  <c r="F12" i="67"/>
  <c r="B9" i="67"/>
  <c r="M25" i="44"/>
  <c r="F16" i="15"/>
  <c r="F43" i="15"/>
  <c r="F42" i="15"/>
  <c r="F7" i="15"/>
  <c r="F10" i="44"/>
  <c r="B8" i="67"/>
  <c r="W34" i="39" l="1"/>
  <c r="B65" i="46"/>
  <c r="B54" i="46"/>
  <c r="U46" i="21"/>
  <c r="AZ553" i="3"/>
  <c r="W36" i="33"/>
  <c r="S47" i="39"/>
  <c r="AB15" i="37"/>
  <c r="AZ347" i="3"/>
  <c r="AZ363" i="3"/>
  <c r="AZ343" i="3"/>
  <c r="AZ305" i="3"/>
  <c r="AZ545" i="3"/>
  <c r="W13" i="36"/>
  <c r="AA45" i="21"/>
  <c r="U14" i="21"/>
  <c r="AB14" i="21"/>
  <c r="BL572" i="3"/>
  <c r="F9" i="33"/>
  <c r="J9" i="33"/>
  <c r="BA566" i="3"/>
  <c r="AZ566" i="3" s="1"/>
  <c r="BL563" i="3"/>
  <c r="BL558" i="3"/>
  <c r="BA558" i="3"/>
  <c r="BL557" i="3"/>
  <c r="AZ557" i="3" s="1"/>
  <c r="BL555" i="3"/>
  <c r="BA555" i="3"/>
  <c r="AZ555" i="3" s="1"/>
  <c r="BL553" i="3"/>
  <c r="BL552" i="3"/>
  <c r="AZ552" i="3" s="1"/>
  <c r="AZ532" i="3"/>
  <c r="AZ493" i="3"/>
  <c r="W20" i="36"/>
  <c r="M7" i="1"/>
  <c r="AH7" i="1"/>
  <c r="F3" i="35" s="1"/>
  <c r="S33" i="40"/>
  <c r="AZ345" i="3"/>
  <c r="AZ502" i="3"/>
  <c r="AA46" i="21"/>
  <c r="B70" i="46"/>
  <c r="C23" i="39"/>
  <c r="AB9" i="33"/>
  <c r="U9" i="33"/>
  <c r="AA33" i="33"/>
  <c r="S33" i="33"/>
  <c r="H9" i="35"/>
  <c r="AB9" i="35" s="1"/>
  <c r="J9" i="35"/>
  <c r="F9" i="35"/>
  <c r="AA9" i="35" s="1"/>
  <c r="H16" i="35"/>
  <c r="U16" i="35" s="1"/>
  <c r="F66" i="35"/>
  <c r="G66" i="35" s="1"/>
  <c r="J25" i="35"/>
  <c r="H25" i="35"/>
  <c r="AB22" i="36"/>
  <c r="U22" i="36"/>
  <c r="AZ501" i="3"/>
  <c r="AZ495" i="3"/>
  <c r="A17" i="51"/>
  <c r="B13" i="63" s="1"/>
  <c r="W29" i="40"/>
  <c r="W39" i="40"/>
  <c r="D22" i="59"/>
  <c r="R22" i="31"/>
  <c r="B21" i="31" s="1"/>
  <c r="S17" i="33"/>
  <c r="W37" i="34"/>
  <c r="W23" i="40"/>
  <c r="AB23" i="40"/>
  <c r="AC14" i="40"/>
  <c r="AZ490" i="3"/>
  <c r="AZ530" i="3"/>
  <c r="AZ359" i="3"/>
  <c r="AZ377" i="3"/>
  <c r="W23" i="37"/>
  <c r="AC23" i="37"/>
  <c r="AC41" i="34"/>
  <c r="AZ20" i="3"/>
  <c r="AZ488" i="3"/>
  <c r="AZ556" i="3"/>
  <c r="AZ565" i="3"/>
  <c r="AA28" i="21"/>
  <c r="S38" i="37"/>
  <c r="W45" i="33"/>
  <c r="AC45" i="33"/>
  <c r="U13" i="21"/>
  <c r="AB13" i="21"/>
  <c r="J29" i="21"/>
  <c r="H29" i="21"/>
  <c r="J45" i="21"/>
  <c r="H45" i="21"/>
  <c r="F101" i="21"/>
  <c r="G101" i="21" s="1"/>
  <c r="H101" i="21" s="1"/>
  <c r="I101" i="21" s="1"/>
  <c r="J101" i="21" s="1"/>
  <c r="K101" i="21" s="1"/>
  <c r="L101" i="21" s="1"/>
  <c r="M101" i="21" s="1"/>
  <c r="F32" i="21"/>
  <c r="S32" i="21" s="1"/>
  <c r="AA40" i="33"/>
  <c r="S40" i="33"/>
  <c r="BL538" i="3"/>
  <c r="AZ538" i="3" s="1"/>
  <c r="AC40" i="33"/>
  <c r="W40" i="33"/>
  <c r="F28" i="34"/>
  <c r="J28" i="34"/>
  <c r="H28" i="34"/>
  <c r="AC43" i="34"/>
  <c r="W43" i="34"/>
  <c r="H44" i="33"/>
  <c r="F44" i="33"/>
  <c r="H13" i="36"/>
  <c r="F13" i="36"/>
  <c r="AA37" i="33"/>
  <c r="S37" i="33"/>
  <c r="BA551" i="3"/>
  <c r="BA546" i="3"/>
  <c r="BA544" i="3"/>
  <c r="AZ544" i="3" s="1"/>
  <c r="BL543" i="3"/>
  <c r="AZ543" i="3" s="1"/>
  <c r="BL542" i="3"/>
  <c r="BA542" i="3"/>
  <c r="AZ541" i="3"/>
  <c r="AZ379" i="3"/>
  <c r="AZ361" i="3"/>
  <c r="AZ329" i="3"/>
  <c r="AZ303" i="3"/>
  <c r="AZ300" i="3"/>
  <c r="AZ15" i="3"/>
  <c r="BL546" i="3"/>
  <c r="J10" i="35"/>
  <c r="AC10" i="35" s="1"/>
  <c r="H10" i="35"/>
  <c r="U10" i="35" s="1"/>
  <c r="AC27" i="35"/>
  <c r="H12" i="21"/>
  <c r="F19" i="21"/>
  <c r="F10" i="21"/>
  <c r="S10" i="21" s="1"/>
  <c r="H12" i="36"/>
  <c r="H24" i="36"/>
  <c r="BL567" i="3"/>
  <c r="G564" i="3"/>
  <c r="G563" i="3"/>
  <c r="BL562" i="3"/>
  <c r="BL561" i="3"/>
  <c r="G551" i="3"/>
  <c r="G528" i="3"/>
  <c r="G527" i="3"/>
  <c r="BA519" i="3"/>
  <c r="G517" i="3"/>
  <c r="G515" i="3"/>
  <c r="G514" i="3"/>
  <c r="G513" i="3"/>
  <c r="G505" i="3"/>
  <c r="G487" i="3"/>
  <c r="BL564" i="3"/>
  <c r="AZ564" i="3" s="1"/>
  <c r="C29" i="39"/>
  <c r="J12" i="21"/>
  <c r="AC5" i="3"/>
  <c r="BS5" i="3"/>
  <c r="BH5" i="3"/>
  <c r="G548" i="3"/>
  <c r="G535" i="3"/>
  <c r="G520" i="3"/>
  <c r="G519" i="3"/>
  <c r="G572" i="3"/>
  <c r="I4" i="6"/>
  <c r="BA572" i="3"/>
  <c r="BL571" i="3"/>
  <c r="BA571" i="3"/>
  <c r="BL570" i="3"/>
  <c r="BA570" i="3"/>
  <c r="G540" i="3"/>
  <c r="G509" i="3"/>
  <c r="BR5" i="3"/>
  <c r="BL508" i="3"/>
  <c r="BA507" i="3"/>
  <c r="BL506" i="3"/>
  <c r="BL505" i="3"/>
  <c r="BL486" i="3"/>
  <c r="AZ486" i="3" s="1"/>
  <c r="BL485" i="3"/>
  <c r="BC5" i="3"/>
  <c r="BL484" i="3"/>
  <c r="BL483" i="3"/>
  <c r="BL482" i="3"/>
  <c r="G19" i="3"/>
  <c r="AZ405" i="3"/>
  <c r="BL389" i="3"/>
  <c r="BL391" i="3"/>
  <c r="BL392" i="3"/>
  <c r="AZ392" i="3" s="1"/>
  <c r="BA394" i="3"/>
  <c r="AZ394" i="3" s="1"/>
  <c r="BA395" i="3"/>
  <c r="AZ395" i="3" s="1"/>
  <c r="BA396" i="3"/>
  <c r="AZ396" i="3" s="1"/>
  <c r="BL398" i="3"/>
  <c r="BA400" i="3"/>
  <c r="AZ400" i="3" s="1"/>
  <c r="G404" i="3"/>
  <c r="BL405" i="3"/>
  <c r="BA410" i="3"/>
  <c r="AZ410" i="3" s="1"/>
  <c r="BA412" i="3"/>
  <c r="AZ412" i="3" s="1"/>
  <c r="BA413" i="3"/>
  <c r="AZ413" i="3" s="1"/>
  <c r="BA415" i="3"/>
  <c r="AZ415" i="3" s="1"/>
  <c r="BA416" i="3"/>
  <c r="AZ416" i="3" s="1"/>
  <c r="BL418" i="3"/>
  <c r="BL421" i="3"/>
  <c r="BL423" i="3"/>
  <c r="BL424" i="3"/>
  <c r="BA426" i="3"/>
  <c r="AZ426" i="3" s="1"/>
  <c r="BA427" i="3"/>
  <c r="BA430" i="3"/>
  <c r="AZ430" i="3" s="1"/>
  <c r="BL433" i="3"/>
  <c r="AZ433" i="3" s="1"/>
  <c r="G438" i="3"/>
  <c r="G440" i="3"/>
  <c r="BL441" i="3"/>
  <c r="BL443" i="3"/>
  <c r="AZ443" i="3" s="1"/>
  <c r="G448" i="3"/>
  <c r="BL449" i="3"/>
  <c r="BL451" i="3"/>
  <c r="AZ451" i="3" s="1"/>
  <c r="G458" i="3"/>
  <c r="G460" i="3"/>
  <c r="BL461" i="3"/>
  <c r="BL462" i="3"/>
  <c r="BA464" i="3"/>
  <c r="AZ464" i="3" s="1"/>
  <c r="BA465" i="3"/>
  <c r="AZ465" i="3" s="1"/>
  <c r="BA467" i="3"/>
  <c r="AZ467" i="3" s="1"/>
  <c r="BA468" i="3"/>
  <c r="AZ468" i="3" s="1"/>
  <c r="BL471" i="3"/>
  <c r="AZ471" i="3" s="1"/>
  <c r="G474" i="3"/>
  <c r="G476" i="3"/>
  <c r="BL477" i="3"/>
  <c r="BL478" i="3"/>
  <c r="BA480" i="3"/>
  <c r="AZ480" i="3" s="1"/>
  <c r="BL306" i="3"/>
  <c r="AZ306" i="3" s="1"/>
  <c r="BA309" i="3"/>
  <c r="AZ309" i="3" s="1"/>
  <c r="BL314" i="3"/>
  <c r="AZ314" i="3" s="1"/>
  <c r="BA317" i="3"/>
  <c r="AZ317" i="3" s="1"/>
  <c r="BA319" i="3"/>
  <c r="AZ319" i="3" s="1"/>
  <c r="BL334" i="3"/>
  <c r="BA341" i="3"/>
  <c r="AZ341" i="3" s="1"/>
  <c r="BL348" i="3"/>
  <c r="AZ348" i="3" s="1"/>
  <c r="BA350" i="3"/>
  <c r="AZ350" i="3" s="1"/>
  <c r="BL366" i="3"/>
  <c r="AZ366" i="3" s="1"/>
  <c r="BL368" i="3"/>
  <c r="BL376" i="3"/>
  <c r="AZ376" i="3" s="1"/>
  <c r="BL216" i="3"/>
  <c r="BL219" i="3"/>
  <c r="G223" i="3"/>
  <c r="BA225" i="3"/>
  <c r="AZ225" i="3" s="1"/>
  <c r="BA389" i="3"/>
  <c r="AZ389" i="3" s="1"/>
  <c r="BA391" i="3"/>
  <c r="BA392" i="3"/>
  <c r="BA393" i="3"/>
  <c r="AZ393" i="3" s="1"/>
  <c r="BA398" i="3"/>
  <c r="BA401" i="3"/>
  <c r="AZ401" i="3" s="1"/>
  <c r="BL403" i="3"/>
  <c r="BL406" i="3"/>
  <c r="AZ406" i="3" s="1"/>
  <c r="BL408" i="3"/>
  <c r="BL414" i="3"/>
  <c r="AZ414" i="3" s="1"/>
  <c r="BA418" i="3"/>
  <c r="AZ418" i="3" s="1"/>
  <c r="BA419" i="3"/>
  <c r="AZ419" i="3" s="1"/>
  <c r="BA421" i="3"/>
  <c r="AZ421" i="3" s="1"/>
  <c r="BA423" i="3"/>
  <c r="BA424" i="3"/>
  <c r="BA425" i="3"/>
  <c r="AZ425" i="3" s="1"/>
  <c r="BL428" i="3"/>
  <c r="AZ428" i="3" s="1"/>
  <c r="G433" i="3"/>
  <c r="G435" i="3"/>
  <c r="BL436" i="3"/>
  <c r="BL437" i="3"/>
  <c r="BL439" i="3"/>
  <c r="BA441" i="3"/>
  <c r="AZ441" i="3" s="1"/>
  <c r="G445" i="3"/>
  <c r="BL446" i="3"/>
  <c r="BL447" i="3"/>
  <c r="BA449" i="3"/>
  <c r="AZ449" i="3" s="1"/>
  <c r="G453" i="3"/>
  <c r="BL454" i="3"/>
  <c r="BL456" i="3"/>
  <c r="BL457" i="3"/>
  <c r="BL459" i="3"/>
  <c r="BA461" i="3"/>
  <c r="AZ461" i="3" s="1"/>
  <c r="BA462" i="3"/>
  <c r="AZ462" i="3" s="1"/>
  <c r="BL466" i="3"/>
  <c r="AZ466" i="3" s="1"/>
  <c r="G471" i="3"/>
  <c r="BL472" i="3"/>
  <c r="BL473" i="3"/>
  <c r="BL475" i="3"/>
  <c r="BA477" i="3"/>
  <c r="AZ477" i="3" s="1"/>
  <c r="BA478" i="3"/>
  <c r="BA313" i="3"/>
  <c r="AZ313" i="3" s="1"/>
  <c r="BL318" i="3"/>
  <c r="BA325" i="3"/>
  <c r="AZ325" i="3" s="1"/>
  <c r="BL332" i="3"/>
  <c r="AZ332" i="3" s="1"/>
  <c r="BA334" i="3"/>
  <c r="BL351" i="3"/>
  <c r="BL364" i="3"/>
  <c r="AZ364" i="3" s="1"/>
  <c r="BA368" i="3"/>
  <c r="BA375" i="3"/>
  <c r="AZ375" i="3" s="1"/>
  <c r="BL386" i="3"/>
  <c r="BL387" i="3"/>
  <c r="BA205" i="3"/>
  <c r="AZ205" i="3" s="1"/>
  <c r="BA206" i="3"/>
  <c r="AZ206" i="3" s="1"/>
  <c r="BL211" i="3"/>
  <c r="BL213" i="3"/>
  <c r="BA216" i="3"/>
  <c r="BA219" i="3"/>
  <c r="BL222" i="3"/>
  <c r="BL232" i="3"/>
  <c r="G233" i="3"/>
  <c r="BA390" i="3"/>
  <c r="AZ390" i="3" s="1"/>
  <c r="G395" i="3"/>
  <c r="G396" i="3"/>
  <c r="BL397" i="3"/>
  <c r="BL399" i="3"/>
  <c r="AZ399" i="3" s="1"/>
  <c r="G401" i="3"/>
  <c r="BA403" i="3"/>
  <c r="AZ403" i="3" s="1"/>
  <c r="BA404" i="3"/>
  <c r="AZ404" i="3" s="1"/>
  <c r="BA406" i="3"/>
  <c r="BL409" i="3"/>
  <c r="BL411" i="3"/>
  <c r="AZ411" i="3" s="1"/>
  <c r="G413" i="3"/>
  <c r="G414" i="3"/>
  <c r="G416" i="3"/>
  <c r="BL417" i="3"/>
  <c r="AZ417" i="3" s="1"/>
  <c r="BA422" i="3"/>
  <c r="AZ422" i="3" s="1"/>
  <c r="G427" i="3"/>
  <c r="G428" i="3"/>
  <c r="BL429" i="3"/>
  <c r="BL431" i="3"/>
  <c r="AZ431" i="3" s="1"/>
  <c r="BL432" i="3"/>
  <c r="BL434" i="3"/>
  <c r="AZ434" i="3" s="1"/>
  <c r="BA436" i="3"/>
  <c r="AZ436" i="3" s="1"/>
  <c r="BA437" i="3"/>
  <c r="BA439" i="3"/>
  <c r="AZ439" i="3" s="1"/>
  <c r="BA440" i="3"/>
  <c r="AZ440" i="3" s="1"/>
  <c r="BA442" i="3"/>
  <c r="AZ442" i="3" s="1"/>
  <c r="BL444" i="3"/>
  <c r="AZ444" i="3" s="1"/>
  <c r="BA446" i="3"/>
  <c r="AZ446" i="3" s="1"/>
  <c r="BA447" i="3"/>
  <c r="BA448" i="3"/>
  <c r="AZ448" i="3" s="1"/>
  <c r="BA450" i="3"/>
  <c r="AZ450" i="3" s="1"/>
  <c r="BL452" i="3"/>
  <c r="AZ452" i="3" s="1"/>
  <c r="BA454" i="3"/>
  <c r="AZ454" i="3" s="1"/>
  <c r="BA456" i="3"/>
  <c r="AZ456" i="3" s="1"/>
  <c r="BA457" i="3"/>
  <c r="BA459" i="3"/>
  <c r="BA460" i="3"/>
  <c r="AZ460" i="3" s="1"/>
  <c r="BL463" i="3"/>
  <c r="AZ463" i="3" s="1"/>
  <c r="G465" i="3"/>
  <c r="G466" i="3"/>
  <c r="G468" i="3"/>
  <c r="BL469" i="3"/>
  <c r="AZ469" i="3" s="1"/>
  <c r="BL470" i="3"/>
  <c r="BA472" i="3"/>
  <c r="BA473" i="3"/>
  <c r="BA475" i="3"/>
  <c r="AZ475" i="3" s="1"/>
  <c r="BA476" i="3"/>
  <c r="AZ476" i="3" s="1"/>
  <c r="BL479" i="3"/>
  <c r="AZ479" i="3" s="1"/>
  <c r="BA301" i="3"/>
  <c r="AZ301" i="3" s="1"/>
  <c r="BL308" i="3"/>
  <c r="AZ308" i="3" s="1"/>
  <c r="BA311" i="3"/>
  <c r="AZ311" i="3" s="1"/>
  <c r="BL316" i="3"/>
  <c r="AZ316" i="3" s="1"/>
  <c r="BA318" i="3"/>
  <c r="G320" i="3"/>
  <c r="G331" i="3"/>
  <c r="BL335" i="3"/>
  <c r="AZ335" i="3" s="1"/>
  <c r="BL346" i="3"/>
  <c r="AZ346" i="3" s="1"/>
  <c r="BA349" i="3"/>
  <c r="AZ349" i="3" s="1"/>
  <c r="BA351" i="3"/>
  <c r="AZ351" i="3" s="1"/>
  <c r="BL360" i="3"/>
  <c r="AZ360" i="3" s="1"/>
  <c r="BA371" i="3"/>
  <c r="AZ371" i="3" s="1"/>
  <c r="BL382" i="3"/>
  <c r="AZ382" i="3" s="1"/>
  <c r="BL384" i="3"/>
  <c r="AZ384" i="3" s="1"/>
  <c r="BA386" i="3"/>
  <c r="AZ386" i="3" s="1"/>
  <c r="BA387" i="3"/>
  <c r="BL388" i="3"/>
  <c r="AZ388" i="3" s="1"/>
  <c r="BL208" i="3"/>
  <c r="G211" i="3"/>
  <c r="BA211" i="3"/>
  <c r="G227" i="3"/>
  <c r="BA228" i="3"/>
  <c r="G232" i="3"/>
  <c r="BL241" i="3"/>
  <c r="AZ243" i="3"/>
  <c r="AZ409" i="3"/>
  <c r="BA234" i="3"/>
  <c r="BA236" i="3"/>
  <c r="AZ236" i="3" s="1"/>
  <c r="BA238" i="3"/>
  <c r="AZ238" i="3" s="1"/>
  <c r="G241" i="3"/>
  <c r="G243" i="3"/>
  <c r="BA243" i="3"/>
  <c r="BL245" i="3"/>
  <c r="BA248" i="3"/>
  <c r="BA253" i="3"/>
  <c r="BA254" i="3"/>
  <c r="BL257" i="3"/>
  <c r="AZ257" i="3" s="1"/>
  <c r="BA260" i="3"/>
  <c r="AZ260" i="3" s="1"/>
  <c r="BL264" i="3"/>
  <c r="BL266" i="3"/>
  <c r="BL274" i="3"/>
  <c r="AZ274" i="3" s="1"/>
  <c r="BL277" i="3"/>
  <c r="BL280" i="3"/>
  <c r="BL282" i="3"/>
  <c r="AZ282" i="3" s="1"/>
  <c r="BA286" i="3"/>
  <c r="AZ286" i="3" s="1"/>
  <c r="G290" i="3"/>
  <c r="BL291" i="3"/>
  <c r="AZ291" i="3" s="1"/>
  <c r="BL293" i="3"/>
  <c r="BL114" i="3"/>
  <c r="AZ114" i="3" s="1"/>
  <c r="BL116" i="3"/>
  <c r="BL117" i="3"/>
  <c r="AZ117" i="3" s="1"/>
  <c r="BA119" i="3"/>
  <c r="AZ119" i="3" s="1"/>
  <c r="G121" i="3"/>
  <c r="BL124" i="3"/>
  <c r="BL125" i="3"/>
  <c r="AZ125" i="3" s="1"/>
  <c r="BA127" i="3"/>
  <c r="AZ127" i="3" s="1"/>
  <c r="G129" i="3"/>
  <c r="G131" i="3"/>
  <c r="BA145" i="3"/>
  <c r="BL157" i="3"/>
  <c r="AZ157" i="3" s="1"/>
  <c r="BL224" i="3"/>
  <c r="BL229" i="3"/>
  <c r="BL230" i="3"/>
  <c r="BL237" i="3"/>
  <c r="G240" i="3"/>
  <c r="BA240" i="3"/>
  <c r="AZ240" i="3" s="1"/>
  <c r="BA242" i="3"/>
  <c r="BA244" i="3"/>
  <c r="AZ244" i="3" s="1"/>
  <c r="BA247" i="3"/>
  <c r="BA250" i="3"/>
  <c r="BA252" i="3"/>
  <c r="AZ252" i="3" s="1"/>
  <c r="BL256" i="3"/>
  <c r="BL258" i="3"/>
  <c r="G263" i="3"/>
  <c r="BA264" i="3"/>
  <c r="BL267" i="3"/>
  <c r="G271" i="3"/>
  <c r="G274" i="3"/>
  <c r="BL275" i="3"/>
  <c r="G279" i="3"/>
  <c r="G282" i="3"/>
  <c r="BL283" i="3"/>
  <c r="BL285" i="3"/>
  <c r="AZ285" i="3" s="1"/>
  <c r="BA287" i="3"/>
  <c r="AZ287" i="3" s="1"/>
  <c r="BL289" i="3"/>
  <c r="BA291" i="3"/>
  <c r="BL294" i="3"/>
  <c r="BL296" i="3"/>
  <c r="AZ296" i="3" s="1"/>
  <c r="BA116" i="3"/>
  <c r="BA117" i="3"/>
  <c r="BL137" i="3"/>
  <c r="BA139" i="3"/>
  <c r="AZ139" i="3" s="1"/>
  <c r="BA143" i="3"/>
  <c r="AZ143" i="3" s="1"/>
  <c r="BA383" i="3"/>
  <c r="AZ383" i="3" s="1"/>
  <c r="BL385" i="3"/>
  <c r="AZ385" i="3" s="1"/>
  <c r="G387" i="3"/>
  <c r="G388" i="3"/>
  <c r="G206" i="3"/>
  <c r="G208" i="3"/>
  <c r="BA208" i="3"/>
  <c r="BA210" i="3"/>
  <c r="BA212" i="3"/>
  <c r="AZ212" i="3" s="1"/>
  <c r="BA215" i="3"/>
  <c r="AZ215" i="3" s="1"/>
  <c r="BA218" i="3"/>
  <c r="AZ218" i="3" s="1"/>
  <c r="BA222" i="3"/>
  <c r="AZ222" i="3" s="1"/>
  <c r="G226" i="3"/>
  <c r="BL226" i="3"/>
  <c r="G228" i="3"/>
  <c r="BL228" i="3"/>
  <c r="BA229" i="3"/>
  <c r="AZ229" i="3" s="1"/>
  <c r="BA230" i="3"/>
  <c r="BA233" i="3"/>
  <c r="AZ233" i="3" s="1"/>
  <c r="BA237" i="3"/>
  <c r="AZ237" i="3" s="1"/>
  <c r="BA239" i="3"/>
  <c r="BA241" i="3"/>
  <c r="AZ241" i="3" s="1"/>
  <c r="G244" i="3"/>
  <c r="G246" i="3"/>
  <c r="BL246" i="3"/>
  <c r="AZ246" i="3" s="1"/>
  <c r="BL247" i="3"/>
  <c r="BL249" i="3"/>
  <c r="AZ249" i="3" s="1"/>
  <c r="BL250" i="3"/>
  <c r="G252" i="3"/>
  <c r="G254" i="3"/>
  <c r="G255" i="3"/>
  <c r="BA256" i="3"/>
  <c r="BL259" i="3"/>
  <c r="BL262" i="3"/>
  <c r="AZ262" i="3" s="1"/>
  <c r="BL270" i="3"/>
  <c r="AZ270" i="3" s="1"/>
  <c r="BL273" i="3"/>
  <c r="AZ273" i="3" s="1"/>
  <c r="BA275" i="3"/>
  <c r="AZ275" i="3" s="1"/>
  <c r="BA277" i="3"/>
  <c r="AZ277" i="3" s="1"/>
  <c r="BL278" i="3"/>
  <c r="AZ278" i="3" s="1"/>
  <c r="BA280" i="3"/>
  <c r="BL281" i="3"/>
  <c r="AZ281" i="3" s="1"/>
  <c r="BA283" i="3"/>
  <c r="AZ283" i="3" s="1"/>
  <c r="G287" i="3"/>
  <c r="BA289" i="3"/>
  <c r="AZ289" i="3" s="1"/>
  <c r="BA292" i="3"/>
  <c r="AZ292" i="3" s="1"/>
  <c r="BA294" i="3"/>
  <c r="BL113" i="3"/>
  <c r="BL118" i="3"/>
  <c r="AZ118" i="3" s="1"/>
  <c r="BA120" i="3"/>
  <c r="BA123" i="3"/>
  <c r="AZ123" i="3" s="1"/>
  <c r="BL126" i="3"/>
  <c r="AZ126" i="3" s="1"/>
  <c r="BA128" i="3"/>
  <c r="BA129" i="3"/>
  <c r="AZ129" i="3" s="1"/>
  <c r="BL134" i="3"/>
  <c r="AZ134" i="3" s="1"/>
  <c r="BA135" i="3"/>
  <c r="AZ135" i="3" s="1"/>
  <c r="BL150" i="3"/>
  <c r="AZ150" i="3" s="1"/>
  <c r="BA152" i="3"/>
  <c r="AZ152" i="3" s="1"/>
  <c r="BL155" i="3"/>
  <c r="BL159" i="3"/>
  <c r="AZ22" i="3"/>
  <c r="BL163" i="3"/>
  <c r="BL165" i="3"/>
  <c r="AZ165" i="3" s="1"/>
  <c r="BL171" i="3"/>
  <c r="BL173" i="3"/>
  <c r="AZ173" i="3" s="1"/>
  <c r="BA175" i="3"/>
  <c r="G179" i="3"/>
  <c r="G189" i="3"/>
  <c r="BL190" i="3"/>
  <c r="BA191" i="3"/>
  <c r="AZ191" i="3" s="1"/>
  <c r="BL196" i="3"/>
  <c r="AZ196" i="3" s="1"/>
  <c r="BA21" i="3"/>
  <c r="AZ21" i="3" s="1"/>
  <c r="BL25" i="3"/>
  <c r="BL28" i="3"/>
  <c r="G31" i="3"/>
  <c r="G33" i="3"/>
  <c r="G36" i="3"/>
  <c r="BA36" i="3"/>
  <c r="AZ36" i="3" s="1"/>
  <c r="BL38" i="3"/>
  <c r="BA39" i="3"/>
  <c r="AZ39" i="3" s="1"/>
  <c r="BA40" i="3"/>
  <c r="AZ40" i="3" s="1"/>
  <c r="BA41" i="3"/>
  <c r="G45" i="3"/>
  <c r="G54" i="3"/>
  <c r="BL55" i="3"/>
  <c r="BA64" i="3"/>
  <c r="D88" i="59"/>
  <c r="C87" i="59"/>
  <c r="D87" i="59" s="1"/>
  <c r="E76" i="59"/>
  <c r="E75" i="59" s="1"/>
  <c r="U77" i="59"/>
  <c r="X3" i="59"/>
  <c r="BL133" i="3"/>
  <c r="BA137" i="3"/>
  <c r="BL141" i="3"/>
  <c r="BL146" i="3"/>
  <c r="AZ146" i="3" s="1"/>
  <c r="BL148" i="3"/>
  <c r="BL149" i="3"/>
  <c r="BA151" i="3"/>
  <c r="AZ151" i="3" s="1"/>
  <c r="BL153" i="3"/>
  <c r="AZ153" i="3" s="1"/>
  <c r="BA155" i="3"/>
  <c r="AZ155" i="3" s="1"/>
  <c r="BA156" i="3"/>
  <c r="AZ156" i="3" s="1"/>
  <c r="BA159" i="3"/>
  <c r="AZ159" i="3" s="1"/>
  <c r="G165" i="3"/>
  <c r="BA167" i="3"/>
  <c r="AZ167" i="3" s="1"/>
  <c r="BL172" i="3"/>
  <c r="G173" i="3"/>
  <c r="BL177" i="3"/>
  <c r="BA185" i="3"/>
  <c r="AZ185" i="3" s="1"/>
  <c r="BL187" i="3"/>
  <c r="BA190" i="3"/>
  <c r="AZ190" i="3" s="1"/>
  <c r="BA202" i="3"/>
  <c r="AZ202" i="3" s="1"/>
  <c r="BL21" i="3"/>
  <c r="BL23" i="3"/>
  <c r="BL26" i="3"/>
  <c r="BL29" i="3"/>
  <c r="BA38" i="3"/>
  <c r="BL41" i="3"/>
  <c r="BL43" i="3"/>
  <c r="BA57" i="3"/>
  <c r="AZ57" i="3" s="1"/>
  <c r="BA63" i="3"/>
  <c r="BL80" i="3"/>
  <c r="BA89" i="3"/>
  <c r="BA90" i="3"/>
  <c r="BL94" i="3"/>
  <c r="BL95" i="3"/>
  <c r="BA98" i="3"/>
  <c r="BA99" i="3"/>
  <c r="AZ99" i="3" s="1"/>
  <c r="BA104" i="3"/>
  <c r="BL110" i="3"/>
  <c r="Y34" i="59"/>
  <c r="Z34" i="59" s="1"/>
  <c r="Y29" i="59"/>
  <c r="Z29" i="59" s="1"/>
  <c r="D60" i="59"/>
  <c r="C61" i="59"/>
  <c r="D61" i="59" s="1"/>
  <c r="O76" i="9"/>
  <c r="K76" i="9"/>
  <c r="K77" i="9" s="1"/>
  <c r="K79" i="9" s="1"/>
  <c r="K81" i="9" s="1"/>
  <c r="AB25" i="59"/>
  <c r="AB26" i="59"/>
  <c r="AA3" i="59"/>
  <c r="BL120" i="3"/>
  <c r="BA124" i="3"/>
  <c r="AZ124" i="3" s="1"/>
  <c r="BA125" i="3"/>
  <c r="G127" i="3"/>
  <c r="BL128" i="3"/>
  <c r="BL130" i="3"/>
  <c r="AZ130" i="3" s="1"/>
  <c r="BL136" i="3"/>
  <c r="BL138" i="3"/>
  <c r="AZ138" i="3" s="1"/>
  <c r="BL144" i="3"/>
  <c r="AZ144" i="3" s="1"/>
  <c r="G146" i="3"/>
  <c r="BA148" i="3"/>
  <c r="BA149" i="3"/>
  <c r="G151" i="3"/>
  <c r="G153" i="3"/>
  <c r="BA162" i="3"/>
  <c r="AZ162" i="3" s="1"/>
  <c r="BL164" i="3"/>
  <c r="AZ164" i="3" s="1"/>
  <c r="BA166" i="3"/>
  <c r="AZ166" i="3" s="1"/>
  <c r="BA170" i="3"/>
  <c r="AZ170" i="3" s="1"/>
  <c r="BA172" i="3"/>
  <c r="BA174" i="3"/>
  <c r="AZ174" i="3" s="1"/>
  <c r="G176" i="3"/>
  <c r="BL176" i="3"/>
  <c r="AZ176" i="3" s="1"/>
  <c r="BA177" i="3"/>
  <c r="BA181" i="3"/>
  <c r="AZ181" i="3" s="1"/>
  <c r="BL184" i="3"/>
  <c r="AZ184" i="3" s="1"/>
  <c r="BL186" i="3"/>
  <c r="AZ186" i="3" s="1"/>
  <c r="BA187" i="3"/>
  <c r="AZ187" i="3" s="1"/>
  <c r="G192" i="3"/>
  <c r="G193" i="3"/>
  <c r="BA201" i="3"/>
  <c r="AZ201" i="3" s="1"/>
  <c r="G21" i="3"/>
  <c r="BL22" i="3"/>
  <c r="BA23" i="3"/>
  <c r="AZ23" i="3" s="1"/>
  <c r="BA26" i="3"/>
  <c r="AZ26" i="3" s="1"/>
  <c r="BA29" i="3"/>
  <c r="BA30" i="3"/>
  <c r="AZ30" i="3" s="1"/>
  <c r="BA32" i="3"/>
  <c r="AZ32" i="3" s="1"/>
  <c r="BA35" i="3"/>
  <c r="G41" i="3"/>
  <c r="BL45" i="3"/>
  <c r="G46" i="3"/>
  <c r="BL46" i="3"/>
  <c r="BL47" i="3"/>
  <c r="G49" i="3"/>
  <c r="BL49" i="3"/>
  <c r="BL50" i="3"/>
  <c r="BA54" i="3"/>
  <c r="AZ54" i="3" s="1"/>
  <c r="BL59" i="3"/>
  <c r="AZ59" i="3" s="1"/>
  <c r="BL62" i="3"/>
  <c r="BA71" i="3"/>
  <c r="AZ71" i="3" s="1"/>
  <c r="BA83" i="3"/>
  <c r="AZ83" i="3" s="1"/>
  <c r="BA84" i="3"/>
  <c r="BL87" i="3"/>
  <c r="BL88" i="3"/>
  <c r="BL91" i="3"/>
  <c r="BL92" i="3"/>
  <c r="AZ92" i="3" s="1"/>
  <c r="E104" i="39"/>
  <c r="F104" i="39" s="1"/>
  <c r="G104" i="39" s="1"/>
  <c r="H31" i="39"/>
  <c r="F31" i="39"/>
  <c r="AA31" i="39" s="1"/>
  <c r="D31" i="59"/>
  <c r="C41" i="59"/>
  <c r="D40" i="59"/>
  <c r="E68" i="59"/>
  <c r="U69" i="59"/>
  <c r="AI10" i="46"/>
  <c r="AI12" i="46"/>
  <c r="AZ80" i="3"/>
  <c r="Y27" i="59"/>
  <c r="Z27" i="59" s="1"/>
  <c r="AB36" i="59"/>
  <c r="AB37" i="59"/>
  <c r="Q68" i="59"/>
  <c r="F67" i="59"/>
  <c r="Q66" i="59" s="1"/>
  <c r="T73" i="59"/>
  <c r="C72" i="59"/>
  <c r="D73" i="59"/>
  <c r="BL69" i="3"/>
  <c r="G71" i="3"/>
  <c r="BL72" i="3"/>
  <c r="G74" i="3"/>
  <c r="BL75" i="3"/>
  <c r="G77" i="3"/>
  <c r="G79" i="3"/>
  <c r="G80" i="3"/>
  <c r="G82" i="3"/>
  <c r="G83" i="3"/>
  <c r="G86" i="3"/>
  <c r="BA88" i="3"/>
  <c r="AZ88" i="3" s="1"/>
  <c r="BA91" i="3"/>
  <c r="AZ91" i="3" s="1"/>
  <c r="BA94" i="3"/>
  <c r="AZ94" i="3" s="1"/>
  <c r="BL100" i="3"/>
  <c r="BL103" i="3"/>
  <c r="BL106" i="3"/>
  <c r="AZ106" i="3" s="1"/>
  <c r="G108" i="3"/>
  <c r="BL109" i="3"/>
  <c r="AZ109" i="3" s="1"/>
  <c r="P27" i="6"/>
  <c r="B32" i="59"/>
  <c r="B33" i="59" s="1"/>
  <c r="S33" i="59" s="1"/>
  <c r="AB30" i="59"/>
  <c r="AB31" i="59"/>
  <c r="AB32" i="59"/>
  <c r="AB33" i="59"/>
  <c r="AA38" i="59"/>
  <c r="E48" i="59"/>
  <c r="E49" i="59" s="1"/>
  <c r="U49" i="59" s="1"/>
  <c r="C56" i="59"/>
  <c r="AA19" i="59"/>
  <c r="BA43" i="3"/>
  <c r="AZ43" i="3" s="1"/>
  <c r="BA44" i="3"/>
  <c r="BA47" i="3"/>
  <c r="AZ47" i="3" s="1"/>
  <c r="BA51" i="3"/>
  <c r="AZ51" i="3" s="1"/>
  <c r="BA52" i="3"/>
  <c r="BL63" i="3"/>
  <c r="BL64" i="3"/>
  <c r="G65" i="3"/>
  <c r="G67" i="3"/>
  <c r="BL68" i="3"/>
  <c r="BA70" i="3"/>
  <c r="BA72" i="3"/>
  <c r="AZ72" i="3" s="1"/>
  <c r="BA73" i="3"/>
  <c r="BA75" i="3"/>
  <c r="BA76" i="3"/>
  <c r="BA79" i="3"/>
  <c r="AZ79" i="3" s="1"/>
  <c r="BA82" i="3"/>
  <c r="AZ82" i="3" s="1"/>
  <c r="G89" i="3"/>
  <c r="G98" i="3"/>
  <c r="BL99" i="3"/>
  <c r="BL102" i="3"/>
  <c r="AZ102" i="3" s="1"/>
  <c r="BA107" i="3"/>
  <c r="G112" i="3"/>
  <c r="BA112" i="3"/>
  <c r="T53" i="59"/>
  <c r="AA29" i="59"/>
  <c r="Y32" i="59"/>
  <c r="Z32" i="59" s="1"/>
  <c r="X37" i="59"/>
  <c r="B40" i="59"/>
  <c r="B41" i="59" s="1"/>
  <c r="S41" i="59" s="1"/>
  <c r="F72" i="59"/>
  <c r="F71" i="59" s="1"/>
  <c r="B28" i="59"/>
  <c r="B27" i="59" s="1"/>
  <c r="D52" i="59"/>
  <c r="L16" i="4"/>
  <c r="K17" i="4" s="1"/>
  <c r="A22" i="51" s="1"/>
  <c r="B16" i="63" s="1"/>
  <c r="E80" i="59"/>
  <c r="E79" i="59" s="1"/>
  <c r="AA28" i="59"/>
  <c r="AA30" i="59"/>
  <c r="AA31" i="59"/>
  <c r="AA32" i="59"/>
  <c r="AA33" i="59"/>
  <c r="Y37" i="59"/>
  <c r="Z37" i="59" s="1"/>
  <c r="E39" i="59"/>
  <c r="E40" i="59" s="1"/>
  <c r="E41" i="59" s="1"/>
  <c r="U41" i="59" s="1"/>
  <c r="Y39" i="59"/>
  <c r="Z39" i="59" s="1"/>
  <c r="B56" i="59"/>
  <c r="B57" i="59" s="1"/>
  <c r="S57" i="59" s="1"/>
  <c r="AC12" i="46"/>
  <c r="D25" i="59"/>
  <c r="D18" i="9"/>
  <c r="M44" i="9" s="1"/>
  <c r="AB40" i="21"/>
  <c r="H113" i="21"/>
  <c r="F37" i="21"/>
  <c r="H37" i="21"/>
  <c r="J37" i="21"/>
  <c r="AB35" i="21"/>
  <c r="S15" i="39"/>
  <c r="AC33" i="39"/>
  <c r="U34" i="39"/>
  <c r="AC39" i="39"/>
  <c r="AB45" i="39"/>
  <c r="U15" i="39"/>
  <c r="H29" i="39"/>
  <c r="U29" i="39" s="1"/>
  <c r="F29" i="39"/>
  <c r="AA29" i="39" s="1"/>
  <c r="AC21" i="39"/>
  <c r="AC44" i="39"/>
  <c r="AB44" i="39"/>
  <c r="S44" i="39"/>
  <c r="AB43" i="39"/>
  <c r="S43" i="39"/>
  <c r="W43" i="39"/>
  <c r="S41" i="39"/>
  <c r="W41" i="39"/>
  <c r="U41" i="39"/>
  <c r="W16" i="39"/>
  <c r="S14" i="39"/>
  <c r="W15" i="39"/>
  <c r="U14" i="39"/>
  <c r="AB16" i="39"/>
  <c r="U11" i="39"/>
  <c r="S10" i="39"/>
  <c r="AB33" i="39"/>
  <c r="S38" i="39"/>
  <c r="S33" i="39"/>
  <c r="U39" i="39"/>
  <c r="S39" i="39"/>
  <c r="H38" i="39"/>
  <c r="J38" i="39"/>
  <c r="W38" i="39" s="1"/>
  <c r="W29" i="39"/>
  <c r="S27" i="39"/>
  <c r="U27" i="39"/>
  <c r="AC25" i="39"/>
  <c r="S25" i="39"/>
  <c r="U25" i="39"/>
  <c r="W23" i="39"/>
  <c r="U23" i="39"/>
  <c r="AB17" i="39"/>
  <c r="S17" i="39"/>
  <c r="AC17" i="39"/>
  <c r="U21" i="39"/>
  <c r="AA21" i="39"/>
  <c r="W8" i="21"/>
  <c r="AB8" i="21"/>
  <c r="S8" i="21"/>
  <c r="AA40" i="21"/>
  <c r="AC46" i="21"/>
  <c r="S44" i="21"/>
  <c r="U43" i="21"/>
  <c r="W44" i="21"/>
  <c r="AA43" i="21"/>
  <c r="W39" i="21"/>
  <c r="AA38" i="21"/>
  <c r="S23" i="21"/>
  <c r="AB23" i="21"/>
  <c r="S21" i="21"/>
  <c r="AC19" i="21"/>
  <c r="U19" i="21"/>
  <c r="AA17" i="21"/>
  <c r="AC17" i="21"/>
  <c r="U17" i="21"/>
  <c r="AB15" i="21"/>
  <c r="AA15" i="21"/>
  <c r="AC15" i="21"/>
  <c r="AA10" i="21"/>
  <c r="W10" i="21"/>
  <c r="AB10" i="21"/>
  <c r="W40" i="21"/>
  <c r="AC38" i="21"/>
  <c r="U38" i="21"/>
  <c r="AA36" i="21"/>
  <c r="S35" i="21"/>
  <c r="AC35" i="21"/>
  <c r="AB32" i="21"/>
  <c r="W32" i="21"/>
  <c r="AC34" i="21"/>
  <c r="S34" i="21"/>
  <c r="S42" i="21"/>
  <c r="W42" i="21"/>
  <c r="U42" i="21"/>
  <c r="U9" i="35"/>
  <c r="W29" i="35"/>
  <c r="S29" i="35"/>
  <c r="U22" i="35"/>
  <c r="S22" i="35"/>
  <c r="AB20" i="35"/>
  <c r="AC20" i="35"/>
  <c r="AB16" i="35"/>
  <c r="AC16" i="35"/>
  <c r="S16" i="35"/>
  <c r="AB14" i="35"/>
  <c r="S14" i="35"/>
  <c r="W14" i="35"/>
  <c r="W11" i="35"/>
  <c r="AB10" i="35"/>
  <c r="W10" i="35"/>
  <c r="AA10" i="35"/>
  <c r="S9" i="35"/>
  <c r="J26" i="35"/>
  <c r="F26" i="35"/>
  <c r="H26" i="35"/>
  <c r="B41" i="1"/>
  <c r="M18" i="15" s="1"/>
  <c r="D96" i="9"/>
  <c r="M22" i="44"/>
  <c r="F36" i="44"/>
  <c r="A3" i="55"/>
  <c r="B56" i="63" s="1"/>
  <c r="G8" i="1"/>
  <c r="N101" i="46"/>
  <c r="N105" i="46" s="1"/>
  <c r="Z11" i="46"/>
  <c r="Z13" i="46" s="1"/>
  <c r="N104" i="45"/>
  <c r="D101" i="46"/>
  <c r="D105" i="46" s="1"/>
  <c r="C23" i="46"/>
  <c r="AB11" i="46"/>
  <c r="AB13" i="46" s="1"/>
  <c r="E22" i="46"/>
  <c r="J101" i="46"/>
  <c r="J106" i="46" s="1"/>
  <c r="I101" i="46"/>
  <c r="I105" i="46" s="1"/>
  <c r="J22" i="46"/>
  <c r="AF11" i="46"/>
  <c r="AF13" i="46" s="1"/>
  <c r="Z7" i="46"/>
  <c r="C101" i="46"/>
  <c r="C109" i="46" s="1"/>
  <c r="H101" i="46"/>
  <c r="H102" i="46" s="1"/>
  <c r="AA11" i="46"/>
  <c r="AA13" i="46" s="1"/>
  <c r="F22" i="46"/>
  <c r="D22" i="46" s="1"/>
  <c r="C21" i="46" s="1"/>
  <c r="AD11" i="46"/>
  <c r="H22" i="46"/>
  <c r="BQ5" i="3"/>
  <c r="BJ5" i="3"/>
  <c r="BL13" i="3"/>
  <c r="A9" i="64"/>
  <c r="G9" i="1"/>
  <c r="AP7" i="1"/>
  <c r="C20" i="59"/>
  <c r="D21" i="59"/>
  <c r="T21" i="59"/>
  <c r="F20" i="59"/>
  <c r="F19" i="59" s="1"/>
  <c r="F18" i="59" s="1"/>
  <c r="F17" i="59" s="1"/>
  <c r="V21" i="59"/>
  <c r="F28" i="6"/>
  <c r="AB36" i="34"/>
  <c r="U36" i="34"/>
  <c r="AZ572" i="3"/>
  <c r="F9" i="21"/>
  <c r="J9" i="21"/>
  <c r="BP5" i="3"/>
  <c r="S25" i="40"/>
  <c r="W34" i="33"/>
  <c r="S20" i="35"/>
  <c r="AA20" i="35"/>
  <c r="W16" i="40"/>
  <c r="AC16" i="40"/>
  <c r="AB33" i="36"/>
  <c r="U33" i="36"/>
  <c r="AA19" i="39"/>
  <c r="S19" i="39"/>
  <c r="U46" i="34"/>
  <c r="AB46" i="34"/>
  <c r="W32" i="33"/>
  <c r="AC32" i="33"/>
  <c r="U39" i="21"/>
  <c r="S39" i="33"/>
  <c r="AZ509" i="3"/>
  <c r="AB30" i="21"/>
  <c r="U30" i="21"/>
  <c r="AA19" i="21"/>
  <c r="S19" i="21"/>
  <c r="H9" i="21"/>
  <c r="BF5" i="3"/>
  <c r="E10" i="6" s="1"/>
  <c r="AA12" i="21"/>
  <c r="S12" i="21"/>
  <c r="H27" i="21"/>
  <c r="F27" i="21"/>
  <c r="J27" i="21"/>
  <c r="J31" i="21"/>
  <c r="F31" i="21"/>
  <c r="H31" i="21"/>
  <c r="H28" i="33"/>
  <c r="J28" i="33"/>
  <c r="S31" i="33"/>
  <c r="AA31" i="33"/>
  <c r="F46" i="33"/>
  <c r="J46" i="33"/>
  <c r="H46" i="33"/>
  <c r="F29" i="34"/>
  <c r="J29" i="34"/>
  <c r="H29" i="34"/>
  <c r="J45" i="34"/>
  <c r="H45" i="34"/>
  <c r="F45" i="34"/>
  <c r="J13" i="35"/>
  <c r="F13" i="35"/>
  <c r="H13" i="35"/>
  <c r="AB24" i="36"/>
  <c r="U24" i="36"/>
  <c r="J11" i="36"/>
  <c r="F11" i="36"/>
  <c r="H11" i="36"/>
  <c r="F34" i="40"/>
  <c r="H34" i="40"/>
  <c r="J34" i="40"/>
  <c r="F37" i="39"/>
  <c r="J37" i="39"/>
  <c r="H37" i="39"/>
  <c r="BL569" i="3"/>
  <c r="BA569" i="3"/>
  <c r="BL568" i="3"/>
  <c r="BA568" i="3"/>
  <c r="AZ568" i="3" s="1"/>
  <c r="BA567" i="3"/>
  <c r="AZ567" i="3" s="1"/>
  <c r="BA563" i="3"/>
  <c r="AZ563" i="3" s="1"/>
  <c r="BA562" i="3"/>
  <c r="AZ562" i="3" s="1"/>
  <c r="BA561" i="3"/>
  <c r="AZ561" i="3" s="1"/>
  <c r="BL560" i="3"/>
  <c r="BA560" i="3"/>
  <c r="BL559" i="3"/>
  <c r="BA559" i="3"/>
  <c r="AZ559" i="3" s="1"/>
  <c r="BA550" i="3"/>
  <c r="AZ550" i="3" s="1"/>
  <c r="BL549" i="3"/>
  <c r="BA549" i="3"/>
  <c r="BL548" i="3"/>
  <c r="AZ548" i="3" s="1"/>
  <c r="BL547" i="3"/>
  <c r="BA547" i="3"/>
  <c r="BL519" i="3"/>
  <c r="AZ519" i="3" s="1"/>
  <c r="BL518" i="3"/>
  <c r="BA518" i="3"/>
  <c r="AZ518" i="3" s="1"/>
  <c r="BL517" i="3"/>
  <c r="BA517" i="3"/>
  <c r="BL516" i="3"/>
  <c r="BA516" i="3"/>
  <c r="AZ516" i="3" s="1"/>
  <c r="BA515" i="3"/>
  <c r="AZ515" i="3" s="1"/>
  <c r="BL514" i="3"/>
  <c r="BA514" i="3"/>
  <c r="AZ514" i="3" s="1"/>
  <c r="BA513" i="3"/>
  <c r="AZ513" i="3" s="1"/>
  <c r="BL512" i="3"/>
  <c r="BA512" i="3"/>
  <c r="AD13" i="46"/>
  <c r="AC23" i="21"/>
  <c r="W27" i="40"/>
  <c r="AC17" i="33"/>
  <c r="AC23" i="33"/>
  <c r="AC25" i="34"/>
  <c r="BM5" i="3"/>
  <c r="AB13" i="40"/>
  <c r="W46" i="34"/>
  <c r="S4" i="46"/>
  <c r="H54" i="46"/>
  <c r="AE11" i="46"/>
  <c r="AE13" i="46" s="1"/>
  <c r="AH11" i="46"/>
  <c r="AH13" i="46" s="1"/>
  <c r="K101" i="46"/>
  <c r="K102" i="46" s="1"/>
  <c r="L101" i="46"/>
  <c r="G101" i="46"/>
  <c r="AJ11" i="46"/>
  <c r="AJ13" i="46" s="1"/>
  <c r="M101" i="46"/>
  <c r="M102" i="46" s="1"/>
  <c r="F101" i="46"/>
  <c r="F103" i="46" s="1"/>
  <c r="Y11" i="46"/>
  <c r="Y13" i="46" s="1"/>
  <c r="H51" i="46"/>
  <c r="H53" i="46"/>
  <c r="O40" i="9"/>
  <c r="AB20" i="36"/>
  <c r="C19" i="39"/>
  <c r="W37" i="40"/>
  <c r="AB14" i="33"/>
  <c r="AC33" i="37"/>
  <c r="BO5" i="3"/>
  <c r="AC38" i="39"/>
  <c r="W21" i="40"/>
  <c r="U33" i="40"/>
  <c r="AB10" i="33"/>
  <c r="W10" i="33"/>
  <c r="U30" i="34"/>
  <c r="S33" i="37"/>
  <c r="AA9" i="37"/>
  <c r="U27" i="36"/>
  <c r="U47" i="39"/>
  <c r="W12" i="34"/>
  <c r="S23" i="39"/>
  <c r="AZ178" i="3"/>
  <c r="AC9" i="37"/>
  <c r="W9" i="37"/>
  <c r="AA23" i="37"/>
  <c r="S23" i="37"/>
  <c r="AZ551" i="3"/>
  <c r="F28" i="33"/>
  <c r="AB36" i="21"/>
  <c r="J26" i="33"/>
  <c r="H26" i="33"/>
  <c r="F26" i="33"/>
  <c r="AB8" i="35"/>
  <c r="U8" i="35"/>
  <c r="AC22" i="36"/>
  <c r="W22" i="36"/>
  <c r="F14" i="37"/>
  <c r="J14" i="37"/>
  <c r="H14" i="37"/>
  <c r="F28" i="37"/>
  <c r="H28" i="37"/>
  <c r="J28" i="37"/>
  <c r="AC39" i="37"/>
  <c r="W39" i="37"/>
  <c r="J46" i="39"/>
  <c r="F46" i="39"/>
  <c r="H46" i="39"/>
  <c r="BA523" i="3"/>
  <c r="AZ523" i="3" s="1"/>
  <c r="BL522" i="3"/>
  <c r="AZ522" i="3" s="1"/>
  <c r="BL521" i="3"/>
  <c r="BA521" i="3"/>
  <c r="BL520" i="3"/>
  <c r="BA520" i="3"/>
  <c r="S32" i="34"/>
  <c r="AA32" i="34"/>
  <c r="U29" i="33"/>
  <c r="AB29" i="33"/>
  <c r="S30" i="33"/>
  <c r="AA30" i="33"/>
  <c r="S30" i="35"/>
  <c r="AA30" i="35"/>
  <c r="AC30" i="21"/>
  <c r="W30" i="21"/>
  <c r="U34" i="21"/>
  <c r="AB34" i="21"/>
  <c r="BA508" i="3"/>
  <c r="AZ508" i="3" s="1"/>
  <c r="BE5" i="3"/>
  <c r="BA482" i="3"/>
  <c r="AZ482" i="3" s="1"/>
  <c r="AA34" i="35"/>
  <c r="S34" i="35"/>
  <c r="BL507" i="3"/>
  <c r="AZ507" i="3" s="1"/>
  <c r="BA506" i="3"/>
  <c r="AZ506" i="3" s="1"/>
  <c r="BA505" i="3"/>
  <c r="BA485" i="3"/>
  <c r="AZ485" i="3" s="1"/>
  <c r="BA484" i="3"/>
  <c r="BA483" i="3"/>
  <c r="AZ483" i="3" s="1"/>
  <c r="BB5" i="3"/>
  <c r="H47" i="46"/>
  <c r="AI11" i="46"/>
  <c r="AI13" i="46" s="1"/>
  <c r="AG11" i="46"/>
  <c r="AG13" i="46" s="1"/>
  <c r="E101" i="46"/>
  <c r="E104" i="46" s="1"/>
  <c r="B113" i="46"/>
  <c r="B115" i="46" s="1"/>
  <c r="C115" i="46" s="1"/>
  <c r="AC11" i="46"/>
  <c r="AC13" i="46" s="1"/>
  <c r="W45" i="39"/>
  <c r="W29" i="36"/>
  <c r="BA13" i="3"/>
  <c r="BN5" i="3"/>
  <c r="G29" i="6" s="1"/>
  <c r="U19" i="33"/>
  <c r="AC35" i="33"/>
  <c r="AA12" i="34"/>
  <c r="S17" i="34"/>
  <c r="U42" i="40"/>
  <c r="AA11" i="33"/>
  <c r="AC30" i="34"/>
  <c r="W14" i="39"/>
  <c r="AC27" i="39"/>
  <c r="W27" i="39"/>
  <c r="AA26" i="36"/>
  <c r="S26" i="36"/>
  <c r="W27" i="34"/>
  <c r="AZ299" i="3"/>
  <c r="AC10" i="37"/>
  <c r="W10" i="37"/>
  <c r="U43" i="33"/>
  <c r="AB43" i="33"/>
  <c r="AZ542" i="3"/>
  <c r="AC24" i="36"/>
  <c r="AC34" i="36"/>
  <c r="W34" i="36"/>
  <c r="BG5" i="3"/>
  <c r="W36" i="21"/>
  <c r="AC36" i="21"/>
  <c r="W24" i="35"/>
  <c r="AC24" i="35"/>
  <c r="F35" i="35"/>
  <c r="J35" i="35"/>
  <c r="H35" i="35"/>
  <c r="S31" i="36"/>
  <c r="AA31" i="36"/>
  <c r="U9" i="37"/>
  <c r="AB9" i="37"/>
  <c r="BL511" i="3"/>
  <c r="BA511" i="3"/>
  <c r="AZ511" i="3" s="1"/>
  <c r="BL510" i="3"/>
  <c r="BA510" i="3"/>
  <c r="BL509" i="3"/>
  <c r="H5" i="3"/>
  <c r="H25" i="37"/>
  <c r="F25" i="37"/>
  <c r="G496" i="3"/>
  <c r="G15" i="3"/>
  <c r="BT5" i="3"/>
  <c r="BI5" i="3"/>
  <c r="H12" i="35"/>
  <c r="F12" i="35"/>
  <c r="F23" i="36"/>
  <c r="J9" i="36"/>
  <c r="F9" i="36"/>
  <c r="J25" i="37"/>
  <c r="J26" i="37"/>
  <c r="G490" i="3"/>
  <c r="U30" i="40"/>
  <c r="AA41" i="33"/>
  <c r="U12" i="37"/>
  <c r="U30" i="33"/>
  <c r="G482" i="3"/>
  <c r="G500" i="3"/>
  <c r="AZ397" i="3"/>
  <c r="AZ429" i="3"/>
  <c r="AZ432" i="3"/>
  <c r="AZ470" i="3"/>
  <c r="AZ248" i="3"/>
  <c r="AZ254" i="3"/>
  <c r="AZ420" i="3"/>
  <c r="AZ427" i="3"/>
  <c r="AZ216" i="3"/>
  <c r="AZ219" i="3"/>
  <c r="AZ408" i="3"/>
  <c r="AZ437" i="3"/>
  <c r="AZ447" i="3"/>
  <c r="AZ457" i="3"/>
  <c r="AZ472" i="3"/>
  <c r="AZ473" i="3"/>
  <c r="AZ318" i="3"/>
  <c r="AZ272" i="3"/>
  <c r="O68" i="59"/>
  <c r="D68" i="59"/>
  <c r="C67" i="59"/>
  <c r="A30" i="64"/>
  <c r="A30" i="51"/>
  <c r="B22" i="63" s="1"/>
  <c r="AZ226" i="3"/>
  <c r="AZ256" i="3"/>
  <c r="AZ264" i="3"/>
  <c r="AZ113" i="3"/>
  <c r="AZ133" i="3"/>
  <c r="AZ141" i="3"/>
  <c r="AZ148" i="3"/>
  <c r="AZ149" i="3"/>
  <c r="AZ160" i="3"/>
  <c r="AZ168" i="3"/>
  <c r="AZ175" i="3"/>
  <c r="A11" i="55"/>
  <c r="B62" i="63" s="1"/>
  <c r="BL207" i="3"/>
  <c r="AZ207" i="3" s="1"/>
  <c r="BL210" i="3"/>
  <c r="AZ210" i="3" s="1"/>
  <c r="BA221" i="3"/>
  <c r="AZ221" i="3" s="1"/>
  <c r="BA232" i="3"/>
  <c r="BA235" i="3"/>
  <c r="AZ235" i="3" s="1"/>
  <c r="BL239" i="3"/>
  <c r="BL242" i="3"/>
  <c r="AZ242" i="3" s="1"/>
  <c r="AZ258" i="3"/>
  <c r="AZ266" i="3"/>
  <c r="AZ288" i="3"/>
  <c r="AZ136" i="3"/>
  <c r="AZ163" i="3"/>
  <c r="AZ171" i="3"/>
  <c r="BA213" i="3"/>
  <c r="G217" i="3"/>
  <c r="G220" i="3"/>
  <c r="BA224" i="3"/>
  <c r="AZ224" i="3" s="1"/>
  <c r="BA227" i="3"/>
  <c r="AZ227" i="3" s="1"/>
  <c r="BL231" i="3"/>
  <c r="AZ231" i="3" s="1"/>
  <c r="BL234" i="3"/>
  <c r="AZ234" i="3" s="1"/>
  <c r="G238" i="3"/>
  <c r="BA245" i="3"/>
  <c r="AZ245" i="3" s="1"/>
  <c r="G249" i="3"/>
  <c r="BA251" i="3"/>
  <c r="AZ251" i="3" s="1"/>
  <c r="BL253" i="3"/>
  <c r="BL255" i="3"/>
  <c r="AZ255" i="3" s="1"/>
  <c r="G257" i="3"/>
  <c r="BA259" i="3"/>
  <c r="AZ259" i="3" s="1"/>
  <c r="BL261" i="3"/>
  <c r="AZ261" i="3" s="1"/>
  <c r="BL263" i="3"/>
  <c r="AZ263" i="3" s="1"/>
  <c r="G265" i="3"/>
  <c r="BA267" i="3"/>
  <c r="AZ267" i="3" s="1"/>
  <c r="BL269" i="3"/>
  <c r="AZ269" i="3" s="1"/>
  <c r="BL272" i="3"/>
  <c r="AZ293" i="3"/>
  <c r="AZ116" i="3"/>
  <c r="AZ145" i="3"/>
  <c r="AZ172" i="3"/>
  <c r="AZ38" i="3"/>
  <c r="AZ69" i="3"/>
  <c r="AZ100" i="3"/>
  <c r="AZ103" i="3"/>
  <c r="B37" i="50"/>
  <c r="B2" i="63" s="1"/>
  <c r="X9" i="59"/>
  <c r="AA9" i="59"/>
  <c r="AB9" i="59"/>
  <c r="Y9" i="59"/>
  <c r="Z9" i="59" s="1"/>
  <c r="BL188" i="3"/>
  <c r="AZ188" i="3" s="1"/>
  <c r="BA194" i="3"/>
  <c r="AZ194" i="3" s="1"/>
  <c r="BA195" i="3"/>
  <c r="AZ195" i="3" s="1"/>
  <c r="BL202" i="3"/>
  <c r="BA204" i="3"/>
  <c r="AZ204" i="3" s="1"/>
  <c r="BL35" i="3"/>
  <c r="AZ35" i="3" s="1"/>
  <c r="BA45" i="3"/>
  <c r="AZ45" i="3" s="1"/>
  <c r="AZ46" i="3"/>
  <c r="AZ75" i="3"/>
  <c r="AZ89" i="3"/>
  <c r="BL178" i="3"/>
  <c r="BA182" i="3"/>
  <c r="AZ182" i="3" s="1"/>
  <c r="BA183" i="3"/>
  <c r="AZ183" i="3" s="1"/>
  <c r="BL192" i="3"/>
  <c r="AZ192" i="3" s="1"/>
  <c r="BA198" i="3"/>
  <c r="AZ198" i="3" s="1"/>
  <c r="BA199" i="3"/>
  <c r="AZ199" i="3" s="1"/>
  <c r="BL203" i="3"/>
  <c r="AZ203" i="3" s="1"/>
  <c r="BA24" i="3"/>
  <c r="AZ24" i="3" s="1"/>
  <c r="AZ25" i="3"/>
  <c r="BA27" i="3"/>
  <c r="AZ27" i="3" s="1"/>
  <c r="AZ28" i="3"/>
  <c r="BA33" i="3"/>
  <c r="AZ33" i="3" s="1"/>
  <c r="BA42" i="3"/>
  <c r="AZ42" i="3" s="1"/>
  <c r="AZ44" i="3"/>
  <c r="AZ95" i="3"/>
  <c r="BA49" i="3"/>
  <c r="AZ49" i="3" s="1"/>
  <c r="BA50" i="3"/>
  <c r="AZ50" i="3" s="1"/>
  <c r="BL52" i="3"/>
  <c r="BA55" i="3"/>
  <c r="AZ55" i="3" s="1"/>
  <c r="BL57" i="3"/>
  <c r="G59" i="3"/>
  <c r="BA61" i="3"/>
  <c r="BA62" i="3"/>
  <c r="G66" i="3"/>
  <c r="BL66" i="3"/>
  <c r="AZ66" i="3" s="1"/>
  <c r="BL67" i="3"/>
  <c r="G68" i="3"/>
  <c r="BL70" i="3"/>
  <c r="AZ70" i="3" s="1"/>
  <c r="BL76" i="3"/>
  <c r="AZ76" i="3" s="1"/>
  <c r="BL78" i="3"/>
  <c r="AZ78" i="3" s="1"/>
  <c r="BL81" i="3"/>
  <c r="AZ81" i="3" s="1"/>
  <c r="BL84" i="3"/>
  <c r="AZ84" i="3" s="1"/>
  <c r="BL86" i="3"/>
  <c r="AZ86" i="3" s="1"/>
  <c r="G88" i="3"/>
  <c r="BL90" i="3"/>
  <c r="BL96" i="3"/>
  <c r="AZ96" i="3" s="1"/>
  <c r="BL98" i="3"/>
  <c r="AZ98" i="3" s="1"/>
  <c r="BL101" i="3"/>
  <c r="BL104" i="3"/>
  <c r="G106" i="3"/>
  <c r="BA108" i="3"/>
  <c r="AZ108" i="3" s="1"/>
  <c r="BA110" i="3"/>
  <c r="AZ110" i="3" s="1"/>
  <c r="AZ64" i="3"/>
  <c r="BA65" i="3"/>
  <c r="AZ65" i="3" s="1"/>
  <c r="AZ101" i="3"/>
  <c r="AZ104" i="3"/>
  <c r="AA21" i="34"/>
  <c r="S21" i="34"/>
  <c r="AA18" i="36"/>
  <c r="S18" i="36"/>
  <c r="BL48" i="3"/>
  <c r="AZ48" i="3" s="1"/>
  <c r="G50" i="3"/>
  <c r="BA53" i="3"/>
  <c r="AZ53" i="3" s="1"/>
  <c r="G56" i="3"/>
  <c r="BA58" i="3"/>
  <c r="AZ58" i="3" s="1"/>
  <c r="BL60" i="3"/>
  <c r="AZ60" i="3" s="1"/>
  <c r="BL61" i="3"/>
  <c r="G62" i="3"/>
  <c r="BA67" i="3"/>
  <c r="BA68" i="3"/>
  <c r="AZ68" i="3" s="1"/>
  <c r="BL73" i="3"/>
  <c r="BA77" i="3"/>
  <c r="AZ77" i="3" s="1"/>
  <c r="BA85" i="3"/>
  <c r="AZ85" i="3" s="1"/>
  <c r="BA87" i="3"/>
  <c r="BL93" i="3"/>
  <c r="AZ93" i="3" s="1"/>
  <c r="BA97" i="3"/>
  <c r="AZ97" i="3" s="1"/>
  <c r="BA105" i="3"/>
  <c r="AZ105" i="3" s="1"/>
  <c r="BL107" i="3"/>
  <c r="AZ107" i="3" s="1"/>
  <c r="G111" i="3"/>
  <c r="BL112" i="3"/>
  <c r="AZ112" i="3" s="1"/>
  <c r="AA18" i="35"/>
  <c r="S18" i="35"/>
  <c r="C57" i="59"/>
  <c r="D56" i="59"/>
  <c r="K12" i="1"/>
  <c r="M12" i="1" s="1"/>
  <c r="O12" i="1" s="1"/>
  <c r="P12" i="1" s="1"/>
  <c r="B85" i="46"/>
  <c r="C27" i="40"/>
  <c r="T61" i="59"/>
  <c r="C33" i="59"/>
  <c r="D32" i="59"/>
  <c r="N4" i="63"/>
  <c r="B21" i="63"/>
  <c r="X5" i="59"/>
  <c r="X7" i="59"/>
  <c r="X8" i="59"/>
  <c r="X6" i="59"/>
  <c r="X10" i="59"/>
  <c r="X11" i="59"/>
  <c r="AB6" i="59"/>
  <c r="AB7" i="59"/>
  <c r="AB8" i="59"/>
  <c r="AB5" i="59"/>
  <c r="AB10" i="59"/>
  <c r="AB11" i="59"/>
  <c r="AB40" i="59"/>
  <c r="Y25" i="59"/>
  <c r="Z25" i="59" s="1"/>
  <c r="A28" i="64"/>
  <c r="X36" i="59"/>
  <c r="Y31" i="59"/>
  <c r="Z31" i="59" s="1"/>
  <c r="Y19" i="59"/>
  <c r="Z19" i="59" s="1"/>
  <c r="X13" i="59"/>
  <c r="X15" i="59"/>
  <c r="D45" i="59"/>
  <c r="C75" i="59"/>
  <c r="D75" i="59" s="1"/>
  <c r="C79" i="59"/>
  <c r="D79" i="59" s="1"/>
  <c r="O69" i="59"/>
  <c r="D55" i="59"/>
  <c r="AB3" i="59"/>
  <c r="AA27" i="59"/>
  <c r="X28" i="59"/>
  <c r="Y30" i="59"/>
  <c r="Z30" i="59" s="1"/>
  <c r="X31" i="59"/>
  <c r="AA35" i="59"/>
  <c r="AA36" i="59"/>
  <c r="Y38" i="59"/>
  <c r="Z38" i="59" s="1"/>
  <c r="E44" i="59"/>
  <c r="E45" i="59" s="1"/>
  <c r="U45" i="59" s="1"/>
  <c r="B80" i="59"/>
  <c r="B79" i="59" s="1"/>
  <c r="U29" i="59"/>
  <c r="E28" i="59"/>
  <c r="E27" i="59" s="1"/>
  <c r="E24" i="59"/>
  <c r="E23" i="59" s="1"/>
  <c r="E22" i="59" s="1"/>
  <c r="E21" i="59" s="1"/>
  <c r="S29" i="59"/>
  <c r="C29" i="59"/>
  <c r="AA24" i="59"/>
  <c r="AB24" i="59"/>
  <c r="X19" i="59"/>
  <c r="Y15" i="59"/>
  <c r="Z15" i="59" s="1"/>
  <c r="S21" i="37"/>
  <c r="T69" i="59"/>
  <c r="D39" i="59"/>
  <c r="AB28" i="59"/>
  <c r="AB29" i="59"/>
  <c r="Y28" i="59"/>
  <c r="Z28" i="59" s="1"/>
  <c r="Y26" i="59"/>
  <c r="Z26" i="59" s="1"/>
  <c r="AA26" i="59"/>
  <c r="X27" i="59"/>
  <c r="Y33" i="59"/>
  <c r="Z33" i="59" s="1"/>
  <c r="X34" i="59"/>
  <c r="AB34" i="59"/>
  <c r="AB35" i="59"/>
  <c r="AB38" i="59"/>
  <c r="F39" i="59"/>
  <c r="F40" i="59" s="1"/>
  <c r="F41" i="59" s="1"/>
  <c r="V41" i="59" s="1"/>
  <c r="AB39" i="59"/>
  <c r="Y8" i="59"/>
  <c r="Z8" i="59" s="1"/>
  <c r="Y6" i="59"/>
  <c r="Z6" i="59" s="1"/>
  <c r="Y5" i="59"/>
  <c r="Z5" i="59" s="1"/>
  <c r="Y7" i="59"/>
  <c r="Z7" i="59" s="1"/>
  <c r="Y10" i="59"/>
  <c r="Z10" i="59" s="1"/>
  <c r="Y11" i="59"/>
  <c r="Z11" i="59" s="1"/>
  <c r="B68" i="59"/>
  <c r="V29" i="59"/>
  <c r="F28" i="59"/>
  <c r="F27" i="59" s="1"/>
  <c r="Y35" i="59"/>
  <c r="Z35" i="59" s="1"/>
  <c r="X24" i="59"/>
  <c r="AA22" i="59"/>
  <c r="Y14" i="59"/>
  <c r="Z14" i="59" s="1"/>
  <c r="AB18" i="59"/>
  <c r="AA13" i="59"/>
  <c r="AA18" i="59"/>
  <c r="S31" i="39"/>
  <c r="C84" i="59"/>
  <c r="AB27" i="59"/>
  <c r="X26" i="59"/>
  <c r="X30" i="59"/>
  <c r="F31" i="59"/>
  <c r="F32" i="59" s="1"/>
  <c r="F33" i="59" s="1"/>
  <c r="V33" i="59" s="1"/>
  <c r="C35" i="59"/>
  <c r="X35" i="59"/>
  <c r="X38" i="59"/>
  <c r="X39" i="59"/>
  <c r="X40" i="59"/>
  <c r="AA6" i="59"/>
  <c r="AA8" i="59"/>
  <c r="AA5" i="59"/>
  <c r="AA7" i="59"/>
  <c r="AA10" i="59"/>
  <c r="AA11" i="59"/>
  <c r="Q67" i="59"/>
  <c r="Y36" i="59"/>
  <c r="Z36" i="59" s="1"/>
  <c r="AA34" i="59"/>
  <c r="X25" i="59"/>
  <c r="Y24" i="59"/>
  <c r="Z24" i="59" s="1"/>
  <c r="X22" i="59"/>
  <c r="AB15" i="59"/>
  <c r="B25" i="59"/>
  <c r="L76" i="9"/>
  <c r="P75" i="15"/>
  <c r="AB19" i="59"/>
  <c r="X17" i="59"/>
  <c r="Y12" i="59"/>
  <c r="Z12" i="59" s="1"/>
  <c r="AB14" i="59"/>
  <c r="AA12" i="59"/>
  <c r="X18" i="59"/>
  <c r="AA16" i="59"/>
  <c r="Y13" i="59"/>
  <c r="Z13" i="59" s="1"/>
  <c r="AB12" i="59"/>
  <c r="X14" i="59"/>
  <c r="AA14" i="59"/>
  <c r="AB16" i="59"/>
  <c r="Y18" i="59"/>
  <c r="Z18" i="59" s="1"/>
  <c r="AB13" i="59"/>
  <c r="X12"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E109" i="46"/>
  <c r="B117" i="46"/>
  <c r="C117" i="46" s="1"/>
  <c r="G27" i="12"/>
  <c r="H106" i="46"/>
  <c r="H103" i="46"/>
  <c r="G13" i="3"/>
  <c r="N109" i="46"/>
  <c r="J107" i="46"/>
  <c r="N104" i="46"/>
  <c r="F34" i="44"/>
  <c r="F24" i="43"/>
  <c r="C24" i="43" s="1"/>
  <c r="C106" i="46"/>
  <c r="N103" i="46"/>
  <c r="H109" i="46"/>
  <c r="H107" i="46"/>
  <c r="D109" i="46"/>
  <c r="H104" i="46"/>
  <c r="H105" i="46"/>
  <c r="D107" i="46"/>
  <c r="C25" i="43"/>
  <c r="C2" i="65"/>
  <c r="G20" i="43"/>
  <c r="G26" i="12"/>
  <c r="F70" i="9"/>
  <c r="F66" i="9"/>
  <c r="P72" i="9" s="1"/>
  <c r="F28" i="15"/>
  <c r="C28" i="15" s="1"/>
  <c r="F30" i="44"/>
  <c r="C30" i="44" s="1"/>
  <c r="D86" i="9"/>
  <c r="F29" i="12"/>
  <c r="F32" i="15"/>
  <c r="F59" i="15" s="1"/>
  <c r="F71" i="9"/>
  <c r="N102" i="46"/>
  <c r="N106" i="46"/>
  <c r="N107" i="46"/>
  <c r="L27" i="6"/>
  <c r="O11" i="1"/>
  <c r="P11" i="1" s="1"/>
  <c r="O6" i="1"/>
  <c r="P6" i="1" s="1"/>
  <c r="O7" i="1"/>
  <c r="P7" i="1" s="1"/>
  <c r="O10" i="1"/>
  <c r="P10" i="1" s="1"/>
  <c r="O9" i="1"/>
  <c r="P9" i="1" s="1"/>
  <c r="O13" i="1"/>
  <c r="P13" i="1" s="1"/>
  <c r="C102" i="46"/>
  <c r="S6" i="46" s="1"/>
  <c r="J104" i="46"/>
  <c r="G6" i="1"/>
  <c r="A25" i="51"/>
  <c r="B18" i="63" s="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E12" i="52"/>
  <c r="F31" i="15"/>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C6" i="15"/>
  <c r="F65" i="15"/>
  <c r="F68" i="15"/>
  <c r="F67" i="15"/>
  <c r="F50" i="15"/>
  <c r="C27" i="15"/>
  <c r="F64" i="15"/>
  <c r="F70" i="15"/>
  <c r="L59" i="15"/>
  <c r="L58" i="15"/>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J7" i="65"/>
  <c r="M30" i="44"/>
  <c r="M31" i="44"/>
  <c r="I4" i="65"/>
  <c r="M29" i="44"/>
  <c r="M10" i="44"/>
  <c r="C16" i="15"/>
  <c r="M8" i="44"/>
  <c r="M24" i="44"/>
  <c r="F15" i="44"/>
  <c r="J3" i="65"/>
  <c r="M26" i="44"/>
  <c r="J17" i="44"/>
  <c r="J5" i="65"/>
  <c r="F11" i="44"/>
  <c r="F40" i="44"/>
  <c r="F18" i="44"/>
  <c r="I7" i="65"/>
  <c r="F9" i="44"/>
  <c r="I6" i="65"/>
  <c r="F43" i="44"/>
  <c r="L48" i="44"/>
  <c r="M11" i="44"/>
  <c r="J4" i="65"/>
  <c r="F28" i="44"/>
  <c r="F45" i="44"/>
  <c r="F46" i="44"/>
  <c r="AA32" i="21" l="1"/>
  <c r="J1" i="65"/>
  <c r="J105" i="46"/>
  <c r="D104" i="46"/>
  <c r="AZ73" i="3"/>
  <c r="AZ90" i="3"/>
  <c r="AZ62" i="3"/>
  <c r="AZ239" i="3"/>
  <c r="AZ484" i="3"/>
  <c r="AZ128" i="3"/>
  <c r="AZ280" i="3"/>
  <c r="AZ250" i="3"/>
  <c r="AZ387" i="3"/>
  <c r="AZ211" i="3"/>
  <c r="AZ424" i="3"/>
  <c r="AZ571" i="3"/>
  <c r="U12" i="36"/>
  <c r="AB12" i="36"/>
  <c r="AB13" i="36"/>
  <c r="U13" i="36"/>
  <c r="U45" i="21"/>
  <c r="AB45" i="21"/>
  <c r="AC25" i="35"/>
  <c r="W25" i="35"/>
  <c r="W9" i="35"/>
  <c r="AC9" i="35"/>
  <c r="AC9" i="33"/>
  <c r="W9" i="33"/>
  <c r="AZ120" i="3"/>
  <c r="D103" i="46"/>
  <c r="D102" i="46"/>
  <c r="J103" i="46"/>
  <c r="M106" i="46"/>
  <c r="C5" i="46"/>
  <c r="AZ87" i="3"/>
  <c r="AZ52" i="3"/>
  <c r="AZ213" i="3"/>
  <c r="P68" i="59"/>
  <c r="E67" i="59"/>
  <c r="AZ29" i="3"/>
  <c r="AZ177" i="3"/>
  <c r="AZ137" i="3"/>
  <c r="AZ41" i="3"/>
  <c r="AZ247" i="3"/>
  <c r="AZ459" i="3"/>
  <c r="AZ334" i="3"/>
  <c r="AZ423" i="3"/>
  <c r="AZ391" i="3"/>
  <c r="AC12" i="21"/>
  <c r="W12" i="21"/>
  <c r="S44" i="33"/>
  <c r="AA44" i="33"/>
  <c r="AB28" i="34"/>
  <c r="U28" i="34"/>
  <c r="W45" i="21"/>
  <c r="AC45" i="21"/>
  <c r="AZ558" i="3"/>
  <c r="AA9" i="33"/>
  <c r="S9" i="33"/>
  <c r="D41" i="59"/>
  <c r="T41" i="59"/>
  <c r="J109" i="46"/>
  <c r="K106" i="46"/>
  <c r="D106" i="46"/>
  <c r="J102" i="46"/>
  <c r="AZ253" i="3"/>
  <c r="AZ232" i="3"/>
  <c r="G28" i="6"/>
  <c r="G30" i="6" s="1"/>
  <c r="G31" i="6" s="1"/>
  <c r="AZ505" i="3"/>
  <c r="AZ521" i="3"/>
  <c r="C71" i="59"/>
  <c r="D71" i="59" s="1"/>
  <c r="D72" i="59"/>
  <c r="U31" i="39"/>
  <c r="AB31" i="39"/>
  <c r="AZ63" i="3"/>
  <c r="AZ294" i="3"/>
  <c r="AZ230" i="3"/>
  <c r="AZ228" i="3"/>
  <c r="AZ208" i="3"/>
  <c r="AZ368" i="3"/>
  <c r="AZ478" i="3"/>
  <c r="AZ398" i="3"/>
  <c r="AZ570" i="3"/>
  <c r="AB44" i="33"/>
  <c r="U44" i="33"/>
  <c r="W28" i="34"/>
  <c r="AC28" i="34"/>
  <c r="U29" i="21"/>
  <c r="AB29" i="21"/>
  <c r="U12" i="21"/>
  <c r="AB12" i="21"/>
  <c r="AZ546" i="3"/>
  <c r="S13" i="36"/>
  <c r="AA13" i="36"/>
  <c r="S28" i="34"/>
  <c r="AA28" i="34"/>
  <c r="AC29" i="21"/>
  <c r="W29" i="21"/>
  <c r="AB25" i="35"/>
  <c r="U25" i="35"/>
  <c r="U37" i="21"/>
  <c r="AB37" i="21"/>
  <c r="W37" i="21"/>
  <c r="AC37" i="21"/>
  <c r="S37" i="21"/>
  <c r="AA37" i="21"/>
  <c r="S29" i="39"/>
  <c r="AB29" i="39"/>
  <c r="U38" i="39"/>
  <c r="AB38" i="39"/>
  <c r="I1" i="65"/>
  <c r="U26" i="35"/>
  <c r="AB26" i="35"/>
  <c r="AA26" i="35"/>
  <c r="S26" i="35"/>
  <c r="W26" i="35"/>
  <c r="AC26" i="35"/>
  <c r="M20" i="44"/>
  <c r="F72" i="9"/>
  <c r="S7" i="46"/>
  <c r="S2" i="46"/>
  <c r="S3" i="46"/>
  <c r="C103" i="46"/>
  <c r="S5" i="46"/>
  <c r="C105" i="46"/>
  <c r="I109" i="46"/>
  <c r="I106" i="46"/>
  <c r="I102" i="46"/>
  <c r="C107" i="46"/>
  <c r="C104" i="46"/>
  <c r="I103" i="46"/>
  <c r="I104" i="46"/>
  <c r="I107" i="46"/>
  <c r="M105" i="46"/>
  <c r="M109" i="46"/>
  <c r="E103" i="46"/>
  <c r="B116" i="46"/>
  <c r="C116" i="46" s="1"/>
  <c r="E102" i="46"/>
  <c r="E12" i="6"/>
  <c r="E8" i="6"/>
  <c r="E5" i="6"/>
  <c r="E107" i="46"/>
  <c r="AP16" i="1"/>
  <c r="F22" i="11" s="1"/>
  <c r="Q16" i="1"/>
  <c r="F21" i="43" s="1"/>
  <c r="H16" i="1"/>
  <c r="E11" i="6"/>
  <c r="E62" i="39" s="1"/>
  <c r="M104" i="46"/>
  <c r="K105" i="46"/>
  <c r="M107" i="46"/>
  <c r="M103" i="46"/>
  <c r="J7" i="21"/>
  <c r="W7" i="21" s="1"/>
  <c r="F33" i="44"/>
  <c r="M9" i="44"/>
  <c r="J8" i="44" s="1"/>
  <c r="C8" i="44"/>
  <c r="C34" i="44" s="1"/>
  <c r="C29" i="44"/>
  <c r="L59" i="44"/>
  <c r="Q75" i="44" s="1"/>
  <c r="L60" i="44"/>
  <c r="Q63" i="44" s="1"/>
  <c r="Q73" i="44"/>
  <c r="E28" i="6"/>
  <c r="K14" i="1" s="1"/>
  <c r="N68" i="59"/>
  <c r="B67" i="59"/>
  <c r="T57" i="59"/>
  <c r="D57" i="59"/>
  <c r="AZ61" i="3"/>
  <c r="W26" i="37"/>
  <c r="AC26" i="37"/>
  <c r="AA23" i="36"/>
  <c r="S23" i="36"/>
  <c r="U25" i="37"/>
  <c r="AB25" i="37"/>
  <c r="U46" i="39"/>
  <c r="AB46" i="39"/>
  <c r="U14" i="37"/>
  <c r="AB14" i="37"/>
  <c r="G103" i="46"/>
  <c r="G107" i="46"/>
  <c r="G106" i="46"/>
  <c r="G104" i="46"/>
  <c r="W34" i="40"/>
  <c r="AC34" i="40"/>
  <c r="S11" i="36"/>
  <c r="AA11" i="36"/>
  <c r="AB13" i="35"/>
  <c r="U13" i="35"/>
  <c r="AB45" i="34"/>
  <c r="U45" i="34"/>
  <c r="S29" i="34"/>
  <c r="AA29" i="34"/>
  <c r="AB31" i="21"/>
  <c r="U31" i="21"/>
  <c r="S9" i="21"/>
  <c r="AA9" i="21"/>
  <c r="J7" i="33"/>
  <c r="E13" i="6"/>
  <c r="G102" i="46"/>
  <c r="D84" i="59"/>
  <c r="C83" i="59"/>
  <c r="D83" i="59" s="1"/>
  <c r="E20" i="59"/>
  <c r="E19" i="59" s="1"/>
  <c r="E18" i="59" s="1"/>
  <c r="E17" i="59" s="1"/>
  <c r="U21" i="59"/>
  <c r="AC25" i="37"/>
  <c r="W25" i="37"/>
  <c r="AA12" i="35"/>
  <c r="S12" i="35"/>
  <c r="S35" i="35"/>
  <c r="AA35" i="35"/>
  <c r="AZ13" i="3"/>
  <c r="BA5" i="3"/>
  <c r="I115" i="46"/>
  <c r="J115" i="46" s="1"/>
  <c r="K115" i="46" s="1"/>
  <c r="L115" i="46" s="1"/>
  <c r="M115" i="46" s="1"/>
  <c r="I118" i="46"/>
  <c r="J118" i="46" s="1"/>
  <c r="K118" i="46" s="1"/>
  <c r="L118" i="46" s="1"/>
  <c r="M118" i="46" s="1"/>
  <c r="G118" i="46"/>
  <c r="H118" i="46" s="1"/>
  <c r="D116" i="46"/>
  <c r="E116" i="46" s="1"/>
  <c r="F116" i="46" s="1"/>
  <c r="G116" i="46" s="1"/>
  <c r="H116" i="46" s="1"/>
  <c r="B118" i="46"/>
  <c r="C118" i="46" s="1"/>
  <c r="D117" i="46"/>
  <c r="E117" i="46" s="1"/>
  <c r="F117" i="46" s="1"/>
  <c r="G117" i="46" s="1"/>
  <c r="H117" i="46" s="1"/>
  <c r="D115" i="46"/>
  <c r="I116" i="46"/>
  <c r="J116" i="46" s="1"/>
  <c r="K116" i="46" s="1"/>
  <c r="L116" i="46" s="1"/>
  <c r="M116" i="46" s="1"/>
  <c r="AC26" i="33"/>
  <c r="W26" i="33"/>
  <c r="F106" i="46"/>
  <c r="F105" i="46"/>
  <c r="F107" i="46"/>
  <c r="F104" i="46"/>
  <c r="L105" i="46"/>
  <c r="L109" i="46"/>
  <c r="L107" i="46"/>
  <c r="L102" i="46"/>
  <c r="U37" i="39"/>
  <c r="AB37" i="39"/>
  <c r="AC11" i="36"/>
  <c r="W11" i="36"/>
  <c r="AA13" i="35"/>
  <c r="S13" i="35"/>
  <c r="AC45" i="34"/>
  <c r="W45" i="34"/>
  <c r="AB46" i="33"/>
  <c r="U46" i="33"/>
  <c r="AA31" i="21"/>
  <c r="S31" i="21"/>
  <c r="AB9" i="21"/>
  <c r="U9" i="21"/>
  <c r="E14" i="6"/>
  <c r="E60" i="40" s="1"/>
  <c r="F109" i="46"/>
  <c r="L104" i="46"/>
  <c r="D118" i="46"/>
  <c r="E118" i="46" s="1"/>
  <c r="F118" i="46" s="1"/>
  <c r="G105" i="46"/>
  <c r="S25" i="59"/>
  <c r="B24" i="59"/>
  <c r="B23" i="59" s="1"/>
  <c r="B22" i="59" s="1"/>
  <c r="B21" i="59" s="1"/>
  <c r="T33" i="59"/>
  <c r="D33" i="59"/>
  <c r="AZ67" i="3"/>
  <c r="D67" i="59"/>
  <c r="O66" i="59"/>
  <c r="O67" i="59"/>
  <c r="AA9" i="36"/>
  <c r="S9" i="36"/>
  <c r="AB12" i="35"/>
  <c r="U12" i="35"/>
  <c r="E106" i="46"/>
  <c r="E105" i="46"/>
  <c r="AZ520" i="3"/>
  <c r="W46" i="39"/>
  <c r="AC46" i="39"/>
  <c r="AB28" i="37"/>
  <c r="U28" i="37"/>
  <c r="AA14" i="37"/>
  <c r="S14" i="37"/>
  <c r="K103" i="46"/>
  <c r="K107" i="46"/>
  <c r="K109" i="46"/>
  <c r="K104" i="46"/>
  <c r="AZ512" i="3"/>
  <c r="AZ517" i="3"/>
  <c r="AZ549" i="3"/>
  <c r="AC37" i="39"/>
  <c r="W37" i="39"/>
  <c r="AA34" i="40"/>
  <c r="S34" i="40"/>
  <c r="W13" i="35"/>
  <c r="AC13" i="35"/>
  <c r="U29" i="34"/>
  <c r="AB29" i="34"/>
  <c r="AC46" i="33"/>
  <c r="W46" i="33"/>
  <c r="W28" i="33"/>
  <c r="AC28" i="33"/>
  <c r="AC31" i="21"/>
  <c r="W31" i="21"/>
  <c r="F16" i="59"/>
  <c r="F15" i="59" s="1"/>
  <c r="F14" i="59" s="1"/>
  <c r="F13" i="59" s="1"/>
  <c r="V17" i="59"/>
  <c r="BL5" i="3"/>
  <c r="D35" i="59"/>
  <c r="C36" i="59"/>
  <c r="AC35" i="35"/>
  <c r="W35" i="35"/>
  <c r="U26" i="33"/>
  <c r="AB26" i="33"/>
  <c r="S27" i="21"/>
  <c r="AA27" i="21"/>
  <c r="E15" i="6"/>
  <c r="E61" i="40" s="1"/>
  <c r="S46" i="39"/>
  <c r="AA46" i="39"/>
  <c r="W28" i="37"/>
  <c r="AC28" i="37"/>
  <c r="AC14" i="37"/>
  <c r="W14" i="37"/>
  <c r="F29" i="6"/>
  <c r="E29" i="6" s="1"/>
  <c r="U34" i="40"/>
  <c r="AB34" i="40"/>
  <c r="AB27" i="21"/>
  <c r="U27" i="21"/>
  <c r="C19" i="59"/>
  <c r="D20" i="59"/>
  <c r="L106" i="46"/>
  <c r="F102" i="46"/>
  <c r="L103" i="46"/>
  <c r="I117" i="46"/>
  <c r="J117" i="46" s="1"/>
  <c r="K117" i="46" s="1"/>
  <c r="L117" i="46" s="1"/>
  <c r="M117" i="46" s="1"/>
  <c r="G109" i="46"/>
  <c r="D29" i="59"/>
  <c r="T29" i="59"/>
  <c r="C28" i="59"/>
  <c r="W9" i="36"/>
  <c r="AC9" i="36"/>
  <c r="AA25" i="37"/>
  <c r="S25" i="37"/>
  <c r="AZ510" i="3"/>
  <c r="AB35" i="35"/>
  <c r="U35" i="35"/>
  <c r="AA28" i="37"/>
  <c r="S28" i="37"/>
  <c r="AA26" i="33"/>
  <c r="S26" i="33"/>
  <c r="AA28" i="33"/>
  <c r="S28" i="33"/>
  <c r="R7" i="54"/>
  <c r="B52" i="63" s="1"/>
  <c r="K31" i="9"/>
  <c r="K32" i="9" s="1"/>
  <c r="AZ547" i="3"/>
  <c r="AZ560" i="3"/>
  <c r="AZ569" i="3"/>
  <c r="S37" i="39"/>
  <c r="AA37" i="39"/>
  <c r="U11" i="36"/>
  <c r="AB11" i="36"/>
  <c r="S45" i="34"/>
  <c r="AA45" i="34"/>
  <c r="W29" i="34"/>
  <c r="AC29" i="34"/>
  <c r="S46" i="33"/>
  <c r="AA46" i="33"/>
  <c r="U28" i="33"/>
  <c r="AB28" i="33"/>
  <c r="W27" i="21"/>
  <c r="AC27" i="21"/>
  <c r="W9" i="21"/>
  <c r="AC9" i="21"/>
  <c r="C7" i="46"/>
  <c r="G5" i="3"/>
  <c r="B3" i="3" s="1"/>
  <c r="E63" i="39"/>
  <c r="E58" i="40"/>
  <c r="E64" i="39"/>
  <c r="E59" i="40"/>
  <c r="H7" i="34"/>
  <c r="AB7" i="34" s="1"/>
  <c r="T49" i="34" s="1"/>
  <c r="G49" i="34" s="1"/>
  <c r="F7" i="34"/>
  <c r="AA7" i="34" s="1"/>
  <c r="R49" i="34" s="1"/>
  <c r="J7" i="34"/>
  <c r="W7" i="34" s="1"/>
  <c r="G16" i="1"/>
  <c r="J12" i="40" s="1"/>
  <c r="F7" i="21"/>
  <c r="AA7" i="21" s="1"/>
  <c r="H7" i="21"/>
  <c r="AB7" i="21" s="1"/>
  <c r="F58" i="15"/>
  <c r="H7" i="35"/>
  <c r="U7" i="35" s="1"/>
  <c r="E64" i="40"/>
  <c r="D66" i="40"/>
  <c r="AC7" i="33"/>
  <c r="V48" i="33" s="1"/>
  <c r="I48" i="33" s="1"/>
  <c r="W7" i="33"/>
  <c r="J7" i="37"/>
  <c r="D71" i="39"/>
  <c r="E69" i="39"/>
  <c r="H7" i="33"/>
  <c r="F7" i="33"/>
  <c r="J46" i="36"/>
  <c r="J7" i="35"/>
  <c r="F7" i="35"/>
  <c r="H7" i="37"/>
  <c r="F7" i="37"/>
  <c r="C19" i="46"/>
  <c r="C34" i="46" s="1"/>
  <c r="L47" i="44"/>
  <c r="Q62" i="15"/>
  <c r="Q75" i="15"/>
  <c r="M13" i="44"/>
  <c r="J12" i="44" s="1"/>
  <c r="F11" i="15"/>
  <c r="M11" i="15"/>
  <c r="J10" i="15" s="1"/>
  <c r="F13" i="44"/>
  <c r="C12" i="44" s="1"/>
  <c r="C48" i="15"/>
  <c r="C32" i="15"/>
  <c r="M28" i="46"/>
  <c r="P28" i="46"/>
  <c r="O28" i="46"/>
  <c r="N28" i="46"/>
  <c r="F1" i="44"/>
  <c r="Q54" i="44"/>
  <c r="F1" i="15"/>
  <c r="Q53" i="15"/>
  <c r="Q61" i="15"/>
  <c r="Q74" i="15"/>
  <c r="J6" i="15"/>
  <c r="E3" i="65"/>
  <c r="C18" i="44"/>
  <c r="E2" i="65"/>
  <c r="S7" i="34" l="1"/>
  <c r="F17" i="11"/>
  <c r="C17" i="11" s="1"/>
  <c r="C19" i="11" s="1"/>
  <c r="C20" i="11" s="1"/>
  <c r="C21" i="11" s="1"/>
  <c r="C22" i="11" s="1"/>
  <c r="C23" i="11" s="1"/>
  <c r="B2" i="11" s="1"/>
  <c r="AC7" i="34"/>
  <c r="V49" i="34" s="1"/>
  <c r="I49" i="34" s="1"/>
  <c r="G54" i="34" s="1"/>
  <c r="H54" i="34" s="1"/>
  <c r="P66" i="59"/>
  <c r="P67" i="59"/>
  <c r="B40" i="1"/>
  <c r="AC7" i="21"/>
  <c r="J20" i="44"/>
  <c r="F33" i="12"/>
  <c r="C34" i="12" s="1"/>
  <c r="D33" i="12" s="1"/>
  <c r="D12" i="11"/>
  <c r="C12" i="11" s="1"/>
  <c r="D21" i="12"/>
  <c r="C21" i="12" s="1"/>
  <c r="E57" i="40"/>
  <c r="E27" i="6"/>
  <c r="K24" i="6" s="1"/>
  <c r="M24" i="6" s="1"/>
  <c r="I24" i="6" s="1"/>
  <c r="S24" i="6" s="1"/>
  <c r="E53" i="40"/>
  <c r="E58" i="39"/>
  <c r="F27" i="6"/>
  <c r="E65" i="39"/>
  <c r="E66" i="39"/>
  <c r="F30" i="6"/>
  <c r="E16" i="6"/>
  <c r="Q62" i="44"/>
  <c r="C7" i="44"/>
  <c r="C40" i="44" s="1"/>
  <c r="Q76" i="44"/>
  <c r="J7" i="44"/>
  <c r="J26" i="44" s="1"/>
  <c r="M19" i="44"/>
  <c r="K15" i="1"/>
  <c r="E30" i="6"/>
  <c r="C18" i="59"/>
  <c r="D19" i="59"/>
  <c r="F12" i="59"/>
  <c r="F11" i="59" s="1"/>
  <c r="V13" i="59"/>
  <c r="U7" i="34"/>
  <c r="B20" i="59"/>
  <c r="B19" i="59" s="1"/>
  <c r="B18" i="59" s="1"/>
  <c r="B17" i="59" s="1"/>
  <c r="S21" i="59"/>
  <c r="E115" i="46"/>
  <c r="F115" i="46" s="1"/>
  <c r="G115" i="46" s="1"/>
  <c r="H115" i="46" s="1"/>
  <c r="AZ5" i="3"/>
  <c r="E3" i="6" s="1"/>
  <c r="C33" i="21" s="1"/>
  <c r="E16" i="59"/>
  <c r="E15" i="59" s="1"/>
  <c r="E14" i="59" s="1"/>
  <c r="E13" i="59" s="1"/>
  <c r="U17" i="59"/>
  <c r="C37" i="59"/>
  <c r="D36" i="59"/>
  <c r="C27" i="59"/>
  <c r="D27" i="59" s="1"/>
  <c r="D28" i="59"/>
  <c r="N66" i="59"/>
  <c r="N67"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47" i="15" s="1"/>
  <c r="C10" i="15"/>
  <c r="C5" i="15" s="1"/>
  <c r="J33" i="21" l="1"/>
  <c r="H33" i="21"/>
  <c r="F33" i="21"/>
  <c r="I53" i="34"/>
  <c r="J53" i="34" s="1"/>
  <c r="G43" i="35"/>
  <c r="H43" i="35" s="1"/>
  <c r="G42" i="35"/>
  <c r="H42" i="35" s="1"/>
  <c r="K21" i="6"/>
  <c r="M21" i="6" s="1"/>
  <c r="I21" i="6" s="1"/>
  <c r="S21" i="6" s="1"/>
  <c r="K25" i="6"/>
  <c r="M25" i="6" s="1"/>
  <c r="I25" i="6" s="1"/>
  <c r="S25" i="6" s="1"/>
  <c r="K23" i="6"/>
  <c r="M23" i="6" s="1"/>
  <c r="I23" i="6" s="1"/>
  <c r="S23" i="6" s="1"/>
  <c r="K19" i="6"/>
  <c r="M19" i="6" s="1"/>
  <c r="K20" i="6"/>
  <c r="K22" i="6"/>
  <c r="M22" i="6" s="1"/>
  <c r="I22" i="6" s="1"/>
  <c r="S22" i="6" s="1"/>
  <c r="E31" i="6"/>
  <c r="F31" i="6"/>
  <c r="K26" i="6"/>
  <c r="M26" i="6" s="1"/>
  <c r="I26" i="6" s="1"/>
  <c r="S26" i="6" s="1"/>
  <c r="J28" i="44"/>
  <c r="J31" i="44" s="1"/>
  <c r="Q58" i="44" s="1"/>
  <c r="D16" i="43"/>
  <c r="C16" i="43" s="1"/>
  <c r="C21" i="4"/>
  <c r="O5" i="54" s="1"/>
  <c r="B45" i="63" s="1"/>
  <c r="D45" i="9"/>
  <c r="L38" i="9"/>
  <c r="B14" i="66" s="1"/>
  <c r="B1" i="66" s="1"/>
  <c r="D16" i="12"/>
  <c r="E6" i="6"/>
  <c r="B16" i="59"/>
  <c r="B15" i="59" s="1"/>
  <c r="B14" i="59" s="1"/>
  <c r="B13" i="59" s="1"/>
  <c r="S17" i="59"/>
  <c r="AY6" i="3"/>
  <c r="AY26" i="3" s="1"/>
  <c r="T37" i="59"/>
  <c r="D37" i="59"/>
  <c r="D113" i="46"/>
  <c r="C17" i="59"/>
  <c r="D18" i="59"/>
  <c r="E12" i="59"/>
  <c r="E11" i="59" s="1"/>
  <c r="U13" i="59"/>
  <c r="F9" i="59"/>
  <c r="V9" i="59" s="1"/>
  <c r="H6" i="3"/>
  <c r="AC6" i="3"/>
  <c r="AY316" i="3"/>
  <c r="AY503" i="3"/>
  <c r="AY506" i="3"/>
  <c r="AY322" i="3"/>
  <c r="AY297" i="3"/>
  <c r="AY228" i="3"/>
  <c r="AY54" i="3"/>
  <c r="AY196" i="3"/>
  <c r="AY508" i="3"/>
  <c r="AY200" i="3"/>
  <c r="AY244" i="3"/>
  <c r="AY63" i="3"/>
  <c r="AY363" i="3"/>
  <c r="AY571" i="3"/>
  <c r="AY284" i="3"/>
  <c r="AY482" i="3"/>
  <c r="AY366" i="3"/>
  <c r="AY471" i="3"/>
  <c r="AY553" i="3"/>
  <c r="AY223" i="3"/>
  <c r="AY433" i="3"/>
  <c r="AY539" i="3"/>
  <c r="AY79" i="3"/>
  <c r="AY530" i="3"/>
  <c r="AY57" i="3"/>
  <c r="AY379" i="3"/>
  <c r="AY155" i="3"/>
  <c r="AY330" i="3"/>
  <c r="AY304" i="3"/>
  <c r="BN6" i="3"/>
  <c r="AY131" i="3"/>
  <c r="AY370" i="3"/>
  <c r="AY511" i="3"/>
  <c r="AY102" i="3"/>
  <c r="AY345" i="3"/>
  <c r="AY524" i="3"/>
  <c r="AY270" i="3"/>
  <c r="AY289" i="3"/>
  <c r="AY538" i="3"/>
  <c r="AY497" i="3"/>
  <c r="AY492" i="3"/>
  <c r="AY546" i="3"/>
  <c r="AY500" i="3"/>
  <c r="AY138" i="3"/>
  <c r="AY187" i="3"/>
  <c r="AY464" i="3"/>
  <c r="AY106" i="3"/>
  <c r="AY82" i="3"/>
  <c r="AY128" i="3"/>
  <c r="AY182" i="3"/>
  <c r="AY264" i="3"/>
  <c r="AY479" i="3"/>
  <c r="AY364" i="3"/>
  <c r="AY238" i="3"/>
  <c r="AY115" i="3"/>
  <c r="AY230" i="3"/>
  <c r="AY420" i="3"/>
  <c r="AY157" i="3"/>
  <c r="AY516" i="3"/>
  <c r="AY142" i="3"/>
  <c r="AY232" i="3"/>
  <c r="AY326" i="3"/>
  <c r="AY269" i="3"/>
  <c r="AY457" i="3"/>
  <c r="AY13" i="3"/>
  <c r="AY38" i="3"/>
  <c r="AY378" i="3"/>
  <c r="AY248" i="3"/>
  <c r="AY249" i="3"/>
  <c r="AY452" i="3"/>
  <c r="AY439" i="3"/>
  <c r="AY473" i="3"/>
  <c r="AY59" i="3"/>
  <c r="AY61" i="3"/>
  <c r="AY391" i="3"/>
  <c r="AY403" i="3"/>
  <c r="AY125" i="3"/>
  <c r="AY410" i="3"/>
  <c r="AY436" i="3"/>
  <c r="AY357" i="3"/>
  <c r="AY505" i="3"/>
  <c r="AY222" i="3"/>
  <c r="AY66" i="3"/>
  <c r="AY140" i="3"/>
  <c r="AY127" i="3"/>
  <c r="AY259" i="3"/>
  <c r="AY445" i="3"/>
  <c r="AY16" i="3"/>
  <c r="AY324" i="3"/>
  <c r="AY129" i="3"/>
  <c r="AY67" i="3"/>
  <c r="AY105" i="3"/>
  <c r="AY31" i="3"/>
  <c r="AY317" i="3"/>
  <c r="AY181" i="3"/>
  <c r="AY65" i="3"/>
  <c r="AY350" i="3"/>
  <c r="AY346" i="3"/>
  <c r="AY101" i="3"/>
  <c r="AY429" i="3"/>
  <c r="AY501" i="3"/>
  <c r="AY36" i="3"/>
  <c r="AY117" i="3"/>
  <c r="AY337" i="3"/>
  <c r="AY76" i="3"/>
  <c r="AY86" i="3"/>
  <c r="AY42" i="3"/>
  <c r="AY392" i="3"/>
  <c r="AY288" i="3"/>
  <c r="AY162" i="3"/>
  <c r="AY303" i="3"/>
  <c r="AY216" i="3"/>
  <c r="AY311" i="3"/>
  <c r="AY254" i="3"/>
  <c r="AY437" i="3"/>
  <c r="AY273" i="3"/>
  <c r="AY158" i="3"/>
  <c r="AY219" i="3"/>
  <c r="BA6" i="3"/>
  <c r="AY211" i="3"/>
  <c r="W12" i="39"/>
  <c r="M16" i="1"/>
  <c r="N16" i="1" s="1"/>
  <c r="F22" i="43" s="1"/>
  <c r="O14" i="1"/>
  <c r="U12" i="40"/>
  <c r="AB12" i="40"/>
  <c r="U12" i="39"/>
  <c r="AB12" i="39"/>
  <c r="AA12" i="39"/>
  <c r="S12" i="39"/>
  <c r="AA12" i="40"/>
  <c r="S12" i="40"/>
  <c r="E10" i="59"/>
  <c r="G39" i="46"/>
  <c r="I39" i="46" s="1"/>
  <c r="E38" i="46"/>
  <c r="E36" i="46"/>
  <c r="G33" i="46"/>
  <c r="I33"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27" i="46"/>
  <c r="C65" i="15"/>
  <c r="C59" i="15"/>
  <c r="B3" i="11"/>
  <c r="J26" i="15"/>
  <c r="J29" i="15" s="1"/>
  <c r="J24" i="15"/>
  <c r="C38" i="15"/>
  <c r="C19" i="44"/>
  <c r="C17" i="15"/>
  <c r="F7" i="67"/>
  <c r="S33" i="21" l="1"/>
  <c r="AA33" i="21"/>
  <c r="AY396" i="3"/>
  <c r="AY283" i="3"/>
  <c r="AY569" i="3"/>
  <c r="AY290" i="3"/>
  <c r="AY494" i="3"/>
  <c r="AY544" i="3"/>
  <c r="AY394" i="3"/>
  <c r="AY172" i="3"/>
  <c r="AY432" i="3"/>
  <c r="BI6" i="3"/>
  <c r="AY22" i="3"/>
  <c r="AY318" i="3"/>
  <c r="AY176" i="3"/>
  <c r="AY34" i="3"/>
  <c r="AY431" i="3"/>
  <c r="AY321" i="3"/>
  <c r="AY25" i="3"/>
  <c r="AY374" i="3"/>
  <c r="AY246" i="3"/>
  <c r="AY99" i="3"/>
  <c r="AY442" i="3"/>
  <c r="AY272" i="3"/>
  <c r="AY400" i="3"/>
  <c r="AY459" i="3"/>
  <c r="AY141" i="3"/>
  <c r="AY250" i="3"/>
  <c r="AY416" i="3"/>
  <c r="AY118" i="3"/>
  <c r="AY100" i="3"/>
  <c r="AY58" i="3"/>
  <c r="AY549" i="3"/>
  <c r="AY422" i="3"/>
  <c r="AY295" i="3"/>
  <c r="AY386" i="3"/>
  <c r="AY207" i="3"/>
  <c r="AY319" i="3"/>
  <c r="AY552" i="3"/>
  <c r="AY519" i="3"/>
  <c r="BF6" i="3"/>
  <c r="AY484" i="3"/>
  <c r="AY68" i="3"/>
  <c r="AY276" i="3"/>
  <c r="AY387" i="3"/>
  <c r="AY313" i="3"/>
  <c r="AY298" i="3"/>
  <c r="AY499" i="3"/>
  <c r="AY215" i="3"/>
  <c r="AY173" i="3"/>
  <c r="AY33" i="3"/>
  <c r="AY167" i="3"/>
  <c r="AY292" i="3"/>
  <c r="AY225" i="3"/>
  <c r="AY96" i="3"/>
  <c r="AY27" i="3"/>
  <c r="AY558" i="3"/>
  <c r="AY274" i="3"/>
  <c r="BC6" i="3"/>
  <c r="AY389" i="3"/>
  <c r="AY178" i="3"/>
  <c r="AY448" i="3"/>
  <c r="AY537" i="3"/>
  <c r="AY52" i="3"/>
  <c r="AY308" i="3"/>
  <c r="AY555" i="3"/>
  <c r="AY542" i="3"/>
  <c r="AY241" i="3"/>
  <c r="AY348" i="3"/>
  <c r="AY398" i="3"/>
  <c r="AY202" i="3"/>
  <c r="AY384" i="3"/>
  <c r="AY45" i="3"/>
  <c r="AY95" i="3"/>
  <c r="AY37" i="3"/>
  <c r="AY104" i="3"/>
  <c r="AY315" i="3"/>
  <c r="AY92" i="3"/>
  <c r="AY154" i="3"/>
  <c r="AY239" i="3"/>
  <c r="AY489" i="3"/>
  <c r="AY163" i="3"/>
  <c r="BR6" i="3"/>
  <c r="AY567" i="3"/>
  <c r="AY418" i="3"/>
  <c r="AY331" i="3"/>
  <c r="AY263" i="3"/>
  <c r="AY513" i="3"/>
  <c r="AY89" i="3"/>
  <c r="AY94" i="3"/>
  <c r="AY535" i="3"/>
  <c r="AY520" i="3"/>
  <c r="BL6" i="3"/>
  <c r="AY120" i="3"/>
  <c r="AY449" i="3"/>
  <c r="AY450" i="3"/>
  <c r="AY135" i="3"/>
  <c r="AY262" i="3"/>
  <c r="AY97" i="3"/>
  <c r="AY373" i="3"/>
  <c r="AY564" i="3"/>
  <c r="AY455" i="3"/>
  <c r="AY235" i="3"/>
  <c r="AY480" i="3"/>
  <c r="BT6" i="3"/>
  <c r="AY352" i="3"/>
  <c r="AY491" i="3"/>
  <c r="AY419" i="3"/>
  <c r="AY532" i="3"/>
  <c r="AY339" i="3"/>
  <c r="AY71" i="3"/>
  <c r="AY199" i="3"/>
  <c r="AY314" i="3"/>
  <c r="AY529" i="3"/>
  <c r="AY255" i="3"/>
  <c r="AY312" i="3"/>
  <c r="AY18" i="3"/>
  <c r="AY377" i="3"/>
  <c r="AY395" i="3"/>
  <c r="AY240" i="3"/>
  <c r="AY299" i="3"/>
  <c r="AY413" i="3"/>
  <c r="AY380" i="3"/>
  <c r="AY371" i="3"/>
  <c r="AY46" i="3"/>
  <c r="AY515" i="3"/>
  <c r="AY24" i="3"/>
  <c r="AY282" i="3"/>
  <c r="BS6" i="3"/>
  <c r="AY280" i="3"/>
  <c r="AY150" i="3"/>
  <c r="AY406" i="3"/>
  <c r="AY561" i="3"/>
  <c r="AY44" i="3"/>
  <c r="AY309" i="3"/>
  <c r="AY526" i="3"/>
  <c r="BH6" i="3"/>
  <c r="AY197" i="3"/>
  <c r="AY183" i="3"/>
  <c r="AY408" i="3"/>
  <c r="AY103" i="3"/>
  <c r="AY572" i="3"/>
  <c r="AY405" i="3"/>
  <c r="AY340" i="3"/>
  <c r="AY226" i="3"/>
  <c r="AY310" i="3"/>
  <c r="AY560" i="3"/>
  <c r="AY55" i="3"/>
  <c r="AY209" i="3"/>
  <c r="AY126" i="3"/>
  <c r="AY179" i="3"/>
  <c r="AY80" i="3"/>
  <c r="AY74" i="3"/>
  <c r="AY258" i="3"/>
  <c r="AY253" i="3"/>
  <c r="AY224" i="3"/>
  <c r="AY365" i="3"/>
  <c r="AY498" i="3"/>
  <c r="AY527" i="3"/>
  <c r="AY325" i="3"/>
  <c r="AY390" i="3"/>
  <c r="AY17" i="3"/>
  <c r="AY133" i="3"/>
  <c r="AY113" i="3"/>
  <c r="AY56" i="3"/>
  <c r="AY421" i="3"/>
  <c r="AY514" i="3"/>
  <c r="AY507" i="3"/>
  <c r="AY23" i="3"/>
  <c r="AY522" i="3"/>
  <c r="AY551" i="3"/>
  <c r="AY180" i="3"/>
  <c r="AY360" i="3"/>
  <c r="AY206" i="3"/>
  <c r="AY160" i="3"/>
  <c r="AY156" i="3"/>
  <c r="AY114" i="3"/>
  <c r="AY91" i="3"/>
  <c r="AY122" i="3"/>
  <c r="AY550" i="3"/>
  <c r="AY381" i="3"/>
  <c r="AY136" i="3"/>
  <c r="AY109" i="3"/>
  <c r="AY236" i="3"/>
  <c r="AY143" i="3"/>
  <c r="AY382" i="3"/>
  <c r="AY30" i="3"/>
  <c r="AY72" i="3"/>
  <c r="AY169" i="3"/>
  <c r="AY286" i="3"/>
  <c r="AY425" i="3"/>
  <c r="AY277" i="3"/>
  <c r="AY83" i="3"/>
  <c r="AY203" i="3"/>
  <c r="D3" i="6"/>
  <c r="D8" i="6" s="1"/>
  <c r="AY361" i="3"/>
  <c r="AY194" i="3"/>
  <c r="AY369" i="3"/>
  <c r="AY166" i="3"/>
  <c r="AY107" i="3"/>
  <c r="AY417" i="3"/>
  <c r="AY15" i="3"/>
  <c r="AY285" i="3"/>
  <c r="AY557" i="3"/>
  <c r="AY93" i="3"/>
  <c r="AY164" i="3"/>
  <c r="AY300" i="3"/>
  <c r="AY470" i="3"/>
  <c r="AY332" i="3"/>
  <c r="BJ6" i="3"/>
  <c r="AY151" i="3"/>
  <c r="AY233" i="3"/>
  <c r="AY14" i="3"/>
  <c r="AY414" i="3"/>
  <c r="AY201" i="3"/>
  <c r="AY62" i="3"/>
  <c r="AY149" i="3"/>
  <c r="AY73" i="3"/>
  <c r="AY474" i="3"/>
  <c r="AY338" i="3"/>
  <c r="AY509" i="3"/>
  <c r="AY267" i="3"/>
  <c r="AY344" i="3"/>
  <c r="BP6" i="3"/>
  <c r="AY85" i="3"/>
  <c r="AY170" i="3"/>
  <c r="AY496" i="3"/>
  <c r="AY251" i="3"/>
  <c r="AY110" i="3"/>
  <c r="AY495" i="3"/>
  <c r="AY351" i="3"/>
  <c r="AY485" i="3"/>
  <c r="AY438" i="3"/>
  <c r="AY354" i="3"/>
  <c r="BG6" i="3"/>
  <c r="AY451" i="3"/>
  <c r="BM6" i="3"/>
  <c r="AY490" i="3"/>
  <c r="AY281" i="3"/>
  <c r="AY185" i="3"/>
  <c r="AY247" i="3"/>
  <c r="AY229" i="3"/>
  <c r="U33" i="21"/>
  <c r="AB33" i="21"/>
  <c r="AY221" i="3"/>
  <c r="AY446" i="3"/>
  <c r="AY148" i="3"/>
  <c r="AY443" i="3"/>
  <c r="AY64" i="3"/>
  <c r="AY493" i="3"/>
  <c r="AY359" i="3"/>
  <c r="AY257" i="3"/>
  <c r="AY28" i="3"/>
  <c r="AY204" i="3"/>
  <c r="AY562" i="3"/>
  <c r="AY147" i="3"/>
  <c r="AY356" i="3"/>
  <c r="AY218" i="3"/>
  <c r="AY428" i="3"/>
  <c r="AY465" i="3"/>
  <c r="AY341" i="3"/>
  <c r="AY123" i="3"/>
  <c r="AY333" i="3"/>
  <c r="AY481" i="3"/>
  <c r="AY43" i="3"/>
  <c r="AY305" i="3"/>
  <c r="AY161" i="3"/>
  <c r="AY50" i="3"/>
  <c r="AY265" i="3"/>
  <c r="AY343" i="3"/>
  <c r="AY402" i="3"/>
  <c r="AY234" i="3"/>
  <c r="AY47" i="3"/>
  <c r="AY159" i="3"/>
  <c r="AY486" i="3"/>
  <c r="AY291" i="3"/>
  <c r="AY168" i="3"/>
  <c r="AY525" i="3"/>
  <c r="AY430" i="3"/>
  <c r="AY29" i="3"/>
  <c r="AY407" i="3"/>
  <c r="AY461" i="3"/>
  <c r="AY186" i="3"/>
  <c r="AY540" i="3"/>
  <c r="AY563" i="3"/>
  <c r="AY84" i="3"/>
  <c r="AY192" i="3"/>
  <c r="AY512" i="3"/>
  <c r="AY362" i="3"/>
  <c r="AY454" i="3"/>
  <c r="AY48" i="3"/>
  <c r="AY237" i="3"/>
  <c r="AY306" i="3"/>
  <c r="AY541" i="3"/>
  <c r="AY477" i="3"/>
  <c r="BQ6" i="3"/>
  <c r="AY329" i="3"/>
  <c r="BD6" i="3"/>
  <c r="AY424" i="3"/>
  <c r="AY556" i="3"/>
  <c r="AY543" i="3"/>
  <c r="AY302" i="3"/>
  <c r="AY294" i="3"/>
  <c r="AY49" i="3"/>
  <c r="AY144" i="3"/>
  <c r="AY87" i="3"/>
  <c r="AY528" i="3"/>
  <c r="AY188" i="3"/>
  <c r="AY132" i="3"/>
  <c r="AY435" i="3"/>
  <c r="BK6" i="3"/>
  <c r="AY70" i="3"/>
  <c r="AY139" i="3"/>
  <c r="AY467" i="3"/>
  <c r="AY175" i="3"/>
  <c r="AY504" i="3"/>
  <c r="AY41" i="3"/>
  <c r="AY88" i="3"/>
  <c r="AY146" i="3"/>
  <c r="AY35" i="3"/>
  <c r="AY320" i="3"/>
  <c r="AY323" i="3"/>
  <c r="AY152" i="3"/>
  <c r="AY287" i="3"/>
  <c r="AY355" i="3"/>
  <c r="AY327" i="3"/>
  <c r="AY478" i="3"/>
  <c r="AY130" i="3"/>
  <c r="AY177" i="3"/>
  <c r="AY19" i="3"/>
  <c r="AY119" i="3"/>
  <c r="AY51" i="3"/>
  <c r="AY517" i="3"/>
  <c r="AY184" i="3"/>
  <c r="AY145" i="3"/>
  <c r="AY266" i="3"/>
  <c r="AY275" i="3"/>
  <c r="AY307" i="3"/>
  <c r="AY372" i="3"/>
  <c r="AY397" i="3"/>
  <c r="AY198" i="3"/>
  <c r="AY466" i="3"/>
  <c r="AY296" i="3"/>
  <c r="AY502" i="3"/>
  <c r="AY401" i="3"/>
  <c r="AY358" i="3"/>
  <c r="AY137" i="3"/>
  <c r="AY411" i="3"/>
  <c r="AY98" i="3"/>
  <c r="AY426" i="3"/>
  <c r="AY212" i="3"/>
  <c r="AY213" i="3"/>
  <c r="AY440" i="3"/>
  <c r="AY174" i="3"/>
  <c r="AY531" i="3"/>
  <c r="AY476" i="3"/>
  <c r="AY521" i="3"/>
  <c r="AY134" i="3"/>
  <c r="AY566" i="3"/>
  <c r="AY252" i="3"/>
  <c r="BO6" i="3"/>
  <c r="AY60" i="3"/>
  <c r="AY447" i="3"/>
  <c r="AY415" i="3"/>
  <c r="W33" i="21"/>
  <c r="AC33" i="21"/>
  <c r="S6" i="1"/>
  <c r="M20" i="6"/>
  <c r="I20" i="6" s="1"/>
  <c r="S20" i="6" s="1"/>
  <c r="S7" i="1"/>
  <c r="AY81" i="3"/>
  <c r="AY293" i="3"/>
  <c r="AY53" i="3"/>
  <c r="AY548" i="3"/>
  <c r="AY39" i="3"/>
  <c r="AY278" i="3"/>
  <c r="AY335" i="3"/>
  <c r="AY409" i="3"/>
  <c r="AY32" i="3"/>
  <c r="AY458" i="3"/>
  <c r="AY242" i="3"/>
  <c r="AY385" i="3"/>
  <c r="AY220" i="3"/>
  <c r="AY404" i="3"/>
  <c r="AY534" i="3"/>
  <c r="AY434" i="3"/>
  <c r="AY334" i="3"/>
  <c r="AY469" i="3"/>
  <c r="AY231" i="3"/>
  <c r="AY347" i="3"/>
  <c r="AY533" i="3"/>
  <c r="AY462" i="3"/>
  <c r="AY536" i="3"/>
  <c r="AY523" i="3"/>
  <c r="AY453" i="3"/>
  <c r="AY472" i="3"/>
  <c r="AY193" i="3"/>
  <c r="AY227" i="3"/>
  <c r="AY191" i="3"/>
  <c r="AY412" i="3"/>
  <c r="AY376" i="3"/>
  <c r="AY463" i="3"/>
  <c r="AY349" i="3"/>
  <c r="AY77" i="3"/>
  <c r="AY441" i="3"/>
  <c r="AY243" i="3"/>
  <c r="BB6" i="3"/>
  <c r="AY487" i="3"/>
  <c r="AY545" i="3"/>
  <c r="AY190" i="3"/>
  <c r="AY90" i="3"/>
  <c r="AY565" i="3"/>
  <c r="AY510" i="3"/>
  <c r="AY342" i="3"/>
  <c r="AY69" i="3"/>
  <c r="AY301" i="3"/>
  <c r="AY353" i="3"/>
  <c r="AY554" i="3"/>
  <c r="AY547" i="3"/>
  <c r="AY195" i="3"/>
  <c r="AY328" i="3"/>
  <c r="AY399" i="3"/>
  <c r="AY368" i="3"/>
  <c r="AY256" i="3"/>
  <c r="AY121" i="3"/>
  <c r="AY165" i="3"/>
  <c r="AY444" i="3"/>
  <c r="AY568" i="3"/>
  <c r="AY260" i="3"/>
  <c r="AY468" i="3"/>
  <c r="AY393" i="3"/>
  <c r="AY475" i="3"/>
  <c r="AY483" i="3"/>
  <c r="AY78" i="3"/>
  <c r="AY456" i="3"/>
  <c r="AY111" i="3"/>
  <c r="AY427" i="3"/>
  <c r="AY367" i="3"/>
  <c r="AY21" i="3"/>
  <c r="AY383" i="3"/>
  <c r="BE6" i="3"/>
  <c r="AY570" i="3"/>
  <c r="AY261" i="3"/>
  <c r="AY460" i="3"/>
  <c r="AY488" i="3"/>
  <c r="AY423" i="3"/>
  <c r="AY205" i="3"/>
  <c r="AY210" i="3"/>
  <c r="AY189" i="3"/>
  <c r="AY40" i="3"/>
  <c r="AY108" i="3"/>
  <c r="AY375" i="3"/>
  <c r="AY208" i="3"/>
  <c r="AY518" i="3"/>
  <c r="AY171" i="3"/>
  <c r="AY336" i="3"/>
  <c r="AY217" i="3"/>
  <c r="E6" i="3"/>
  <c r="K27" i="6"/>
  <c r="AY388" i="3"/>
  <c r="AY268" i="3"/>
  <c r="AY124" i="3"/>
  <c r="AY116" i="3"/>
  <c r="Q49" i="44"/>
  <c r="Q55" i="44" s="1"/>
  <c r="Q67" i="44"/>
  <c r="D13" i="11"/>
  <c r="C13" i="11" s="1"/>
  <c r="D22" i="12"/>
  <c r="C22" i="12" s="1"/>
  <c r="C20" i="12" s="1"/>
  <c r="AY559" i="3"/>
  <c r="AY153" i="3"/>
  <c r="AY20" i="3"/>
  <c r="AY112" i="3"/>
  <c r="AY245" i="3"/>
  <c r="AY75" i="3"/>
  <c r="AY271" i="3"/>
  <c r="AY279" i="3"/>
  <c r="AY214" i="3"/>
  <c r="C16" i="59"/>
  <c r="T17" i="59"/>
  <c r="D17" i="59"/>
  <c r="D19" i="12"/>
  <c r="C19" i="12" s="1"/>
  <c r="C16" i="12"/>
  <c r="M27" i="6"/>
  <c r="I19" i="6"/>
  <c r="S13" i="59"/>
  <c r="B12" i="59"/>
  <c r="B11" i="59" s="1"/>
  <c r="B10" i="59" s="1"/>
  <c r="B9" i="59" s="1"/>
  <c r="S9" i="59" s="1"/>
  <c r="C7" i="66"/>
  <c r="F8" i="59"/>
  <c r="E9" i="59"/>
  <c r="U9" i="59" s="1"/>
  <c r="D22" i="6"/>
  <c r="D15" i="6"/>
  <c r="D11" i="6"/>
  <c r="D14" i="6"/>
  <c r="D21" i="6"/>
  <c r="E67" i="39"/>
  <c r="D25" i="6"/>
  <c r="D29" i="6"/>
  <c r="D20" i="6"/>
  <c r="D10" i="6"/>
  <c r="D12" i="6"/>
  <c r="H21" i="6"/>
  <c r="D23" i="6"/>
  <c r="F45" i="9"/>
  <c r="H23" i="6"/>
  <c r="C22" i="4"/>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D19" i="6" l="1"/>
  <c r="H25" i="6"/>
  <c r="H26" i="6"/>
  <c r="H24" i="6"/>
  <c r="D26" i="6"/>
  <c r="E62" i="40"/>
  <c r="D24" i="6"/>
  <c r="R24" i="6" s="1"/>
  <c r="D28" i="6"/>
  <c r="H20" i="6"/>
  <c r="H22" i="6"/>
  <c r="D5" i="6"/>
  <c r="D13" i="6"/>
  <c r="K38" i="9"/>
  <c r="C14" i="66" s="1"/>
  <c r="B2" i="66" s="1"/>
  <c r="D7" i="66" s="1"/>
  <c r="B5" i="11"/>
  <c r="C40" i="39"/>
  <c r="B4" i="11"/>
  <c r="E45" i="9"/>
  <c r="S16" i="1"/>
  <c r="D30" i="6"/>
  <c r="R22" i="6"/>
  <c r="R26" i="6"/>
  <c r="C15" i="59"/>
  <c r="D16" i="59"/>
  <c r="S19" i="6"/>
  <c r="S27" i="6" s="1"/>
  <c r="I27" i="6"/>
  <c r="H19" i="6"/>
  <c r="R19" i="6" s="1"/>
  <c r="T9" i="1"/>
  <c r="T13" i="1"/>
  <c r="T10" i="1"/>
  <c r="T6" i="1"/>
  <c r="T12" i="1"/>
  <c r="T8" i="1"/>
  <c r="T7" i="1"/>
  <c r="T11" i="1"/>
  <c r="F7" i="59"/>
  <c r="B8" i="59"/>
  <c r="E8" i="59"/>
  <c r="R25" i="6"/>
  <c r="R21" i="6"/>
  <c r="D27" i="6"/>
  <c r="A20" i="64"/>
  <c r="A6" i="64"/>
  <c r="A20" i="51"/>
  <c r="B15" i="63" s="1"/>
  <c r="N5" i="54"/>
  <c r="B43" i="63" s="1"/>
  <c r="A6" i="51"/>
  <c r="B7" i="63" s="1"/>
  <c r="D16" i="6"/>
  <c r="R23" i="6"/>
  <c r="R20" i="6"/>
  <c r="R7" i="1" s="1"/>
  <c r="R6" i="1"/>
  <c r="C17" i="43"/>
  <c r="C14" i="43"/>
  <c r="C14" i="12"/>
  <c r="C17" i="12"/>
  <c r="I64" i="40"/>
  <c r="H66" i="40"/>
  <c r="H71" i="39"/>
  <c r="I69" i="39"/>
  <c r="N46" i="36"/>
  <c r="E3" i="67"/>
  <c r="B2" i="67"/>
  <c r="D4" i="46"/>
  <c r="B3" i="46"/>
  <c r="B4" i="46"/>
  <c r="F35" i="15"/>
  <c r="M21" i="15"/>
  <c r="F37" i="44"/>
  <c r="M23" i="44"/>
  <c r="C16" i="44"/>
  <c r="C14" i="15"/>
  <c r="F40" i="39" l="1"/>
  <c r="H40" i="39"/>
  <c r="J40" i="39"/>
  <c r="R27" i="6"/>
  <c r="D31" i="6"/>
  <c r="I5" i="6" s="1"/>
  <c r="H27" i="6"/>
  <c r="C20" i="44"/>
  <c r="C17" i="44"/>
  <c r="C15" i="15"/>
  <c r="C18" i="15"/>
  <c r="T16" i="1"/>
  <c r="D15" i="59"/>
  <c r="C14" i="59"/>
  <c r="E7" i="59"/>
  <c r="B7" i="59"/>
  <c r="F6" i="59"/>
  <c r="I6" i="6"/>
  <c r="J22" i="44"/>
  <c r="J20" i="15"/>
  <c r="F62" i="15"/>
  <c r="C61" i="15" s="1"/>
  <c r="C34" i="15"/>
  <c r="C36" i="44"/>
  <c r="R16" i="1"/>
  <c r="C18" i="43"/>
  <c r="C18" i="12"/>
  <c r="C23" i="12" s="1"/>
  <c r="O46" i="36"/>
  <c r="J7" i="36" s="1"/>
  <c r="F7" i="36"/>
  <c r="H7" i="36"/>
  <c r="J64" i="40"/>
  <c r="I66" i="40"/>
  <c r="J69" i="39"/>
  <c r="I71" i="39"/>
  <c r="B3" i="67"/>
  <c r="B4" i="67"/>
  <c r="AC40" i="39" l="1"/>
  <c r="W40" i="39"/>
  <c r="AB40" i="39"/>
  <c r="U40" i="39"/>
  <c r="C13" i="39"/>
  <c r="C11" i="21"/>
  <c r="AA40" i="39"/>
  <c r="S40" i="39"/>
  <c r="C19" i="15"/>
  <c r="C20" i="15" s="1"/>
  <c r="C26" i="15" s="1"/>
  <c r="C21" i="44"/>
  <c r="C22" i="44" s="1"/>
  <c r="C28" i="44" s="1"/>
  <c r="C13" i="59"/>
  <c r="D14" i="59"/>
  <c r="F5" i="59"/>
  <c r="V5" i="59" s="1"/>
  <c r="B6" i="59"/>
  <c r="E6" i="59"/>
  <c r="C19" i="43"/>
  <c r="K69" i="39"/>
  <c r="J71" i="39"/>
  <c r="U7" i="36"/>
  <c r="AB7" i="36"/>
  <c r="T36" i="36" s="1"/>
  <c r="G36" i="36" s="1"/>
  <c r="AC7" i="36"/>
  <c r="V36" i="36" s="1"/>
  <c r="I36" i="36" s="1"/>
  <c r="W7" i="36"/>
  <c r="J66" i="40"/>
  <c r="K64" i="40"/>
  <c r="S7" i="36"/>
  <c r="AA7" i="36"/>
  <c r="R36" i="36" s="1"/>
  <c r="F11" i="21" l="1"/>
  <c r="H11" i="21"/>
  <c r="J11" i="21"/>
  <c r="J13" i="39"/>
  <c r="H13" i="39"/>
  <c r="F13" i="39"/>
  <c r="C12" i="59"/>
  <c r="T13" i="59"/>
  <c r="D13" i="59"/>
  <c r="E5" i="59"/>
  <c r="U5" i="59" s="1"/>
  <c r="B5" i="59"/>
  <c r="C21" i="43"/>
  <c r="R37" i="36"/>
  <c r="E36" i="36"/>
  <c r="I41" i="36" s="1"/>
  <c r="J41" i="36" s="1"/>
  <c r="K66" i="40"/>
  <c r="L64" i="40"/>
  <c r="G41" i="36"/>
  <c r="H41" i="36" s="1"/>
  <c r="G40" i="36"/>
  <c r="H40" i="36" s="1"/>
  <c r="I40" i="36"/>
  <c r="J40" i="36" s="1"/>
  <c r="L69" i="39"/>
  <c r="K71" i="39"/>
  <c r="AC13" i="39" l="1"/>
  <c r="W13" i="39"/>
  <c r="W11" i="21"/>
  <c r="AC11" i="21"/>
  <c r="V48" i="21" s="1"/>
  <c r="I48" i="21" s="1"/>
  <c r="S13" i="39"/>
  <c r="AA13" i="39"/>
  <c r="U11" i="21"/>
  <c r="AB11" i="21"/>
  <c r="T48" i="21" s="1"/>
  <c r="G48" i="21" s="1"/>
  <c r="G52" i="21" s="1"/>
  <c r="H52" i="21" s="1"/>
  <c r="AB13" i="39"/>
  <c r="U13" i="39"/>
  <c r="S11" i="21"/>
  <c r="AA11" i="21"/>
  <c r="R48" i="21" s="1"/>
  <c r="C11" i="59"/>
  <c r="D12" i="59"/>
  <c r="S5" i="59"/>
  <c r="L71" i="39"/>
  <c r="M69" i="39"/>
  <c r="M64" i="40"/>
  <c r="L66" i="40"/>
  <c r="E40" i="36"/>
  <c r="F40" i="36" s="1"/>
  <c r="E41" i="36"/>
  <c r="F41" i="36" s="1"/>
  <c r="C37" i="36"/>
  <c r="B3" i="36" s="1"/>
  <c r="B2" i="36" s="1"/>
  <c r="C36" i="36"/>
  <c r="G53" i="21" l="1"/>
  <c r="H53" i="21" s="1"/>
  <c r="I52" i="21"/>
  <c r="J52" i="21" s="1"/>
  <c r="R49" i="21"/>
  <c r="E48" i="21"/>
  <c r="I53" i="21" s="1"/>
  <c r="J53" i="21" s="1"/>
  <c r="C10" i="59"/>
  <c r="D11" i="59"/>
  <c r="N64" i="40"/>
  <c r="N66" i="40" s="1"/>
  <c r="M66" i="40"/>
  <c r="N69" i="39"/>
  <c r="N71" i="39" s="1"/>
  <c r="M71" i="39"/>
  <c r="C48" i="21" l="1"/>
  <c r="C49" i="21"/>
  <c r="B3" i="21" s="1"/>
  <c r="E52" i="21"/>
  <c r="F52" i="21" s="1"/>
  <c r="E53" i="21"/>
  <c r="F53" i="21" s="1"/>
  <c r="C9" i="59"/>
  <c r="D10" i="59"/>
  <c r="J9" i="40"/>
  <c r="H9" i="40"/>
  <c r="F9" i="40"/>
  <c r="J9" i="39"/>
  <c r="H9" i="39"/>
  <c r="F9" i="39"/>
  <c r="B2" i="21" l="1"/>
  <c r="C8" i="59"/>
  <c r="T9" i="59"/>
  <c r="D9" i="59"/>
  <c r="S9" i="39"/>
  <c r="AA9" i="39"/>
  <c r="R49" i="39" s="1"/>
  <c r="W9" i="39"/>
  <c r="AC9" i="39"/>
  <c r="U9" i="40"/>
  <c r="AB9" i="40"/>
  <c r="T44" i="40" s="1"/>
  <c r="G44" i="40" s="1"/>
  <c r="U9" i="39"/>
  <c r="AB9" i="39"/>
  <c r="T49" i="39" s="1"/>
  <c r="S9" i="40"/>
  <c r="AA9" i="40"/>
  <c r="R44" i="40" s="1"/>
  <c r="AC9" i="40"/>
  <c r="V44" i="40" s="1"/>
  <c r="I44" i="40" s="1"/>
  <c r="I48" i="40" s="1"/>
  <c r="J48" i="40" s="1"/>
  <c r="W9" i="40"/>
  <c r="V49" i="39" l="1"/>
  <c r="I49" i="39" s="1"/>
  <c r="I53" i="39" s="1"/>
  <c r="J53" i="39" s="1"/>
  <c r="G49" i="39"/>
  <c r="G53" i="39" s="1"/>
  <c r="H53" i="39" s="1"/>
  <c r="C7" i="59"/>
  <c r="D8" i="59"/>
  <c r="R45" i="40"/>
  <c r="E44" i="40"/>
  <c r="G48" i="40"/>
  <c r="H48" i="40" s="1"/>
  <c r="G49" i="40"/>
  <c r="H49" i="40" s="1"/>
  <c r="E49" i="39"/>
  <c r="R50" i="39" l="1"/>
  <c r="C50" i="39" s="1"/>
  <c r="I54" i="39"/>
  <c r="J54" i="39" s="1"/>
  <c r="G54" i="39"/>
  <c r="H54" i="39" s="1"/>
  <c r="D7" i="59"/>
  <c r="C6" i="59"/>
  <c r="E54" i="39"/>
  <c r="F54" i="39" s="1"/>
  <c r="E53" i="39"/>
  <c r="F53" i="39" s="1"/>
  <c r="I49" i="40"/>
  <c r="J49" i="40" s="1"/>
  <c r="E49" i="40"/>
  <c r="F49" i="40" s="1"/>
  <c r="E48" i="40"/>
  <c r="F48" i="40" s="1"/>
  <c r="C49"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0" i="46"/>
  <c r="B5" i="40"/>
  <c r="B4" i="40"/>
  <c r="B3" i="40"/>
  <c r="C19" i="9"/>
  <c r="L43" i="9" l="1"/>
  <c r="B4" i="39"/>
  <c r="B5" i="39"/>
  <c r="B3"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C44" i="44"/>
  <c r="C45" i="44" s="1"/>
  <c r="B2" i="44" s="1"/>
  <c r="Q71" i="44"/>
  <c r="Q70" i="44" s="1"/>
  <c r="L51" i="15"/>
  <c r="Q68" i="15" l="1"/>
  <c r="L57" i="15"/>
  <c r="L60" i="15" s="1"/>
  <c r="Q67" i="15" s="1"/>
  <c r="C46" i="15"/>
  <c r="Q66" i="15"/>
  <c r="J42" i="15"/>
  <c r="J43" i="15" s="1"/>
  <c r="B2" i="15"/>
  <c r="B3" i="15" s="1"/>
  <c r="C43" i="15"/>
  <c r="Q48" i="15"/>
  <c r="Q54" i="15" s="1"/>
  <c r="L52" i="44"/>
  <c r="L58" i="44" s="1"/>
  <c r="L61" i="44" s="1"/>
  <c r="B3" i="44"/>
  <c r="B5" i="44"/>
  <c r="B4" i="44"/>
  <c r="Q76" i="15" l="1"/>
  <c r="Q58" i="15"/>
  <c r="Q63" i="15" s="1"/>
  <c r="Q69" i="44"/>
  <c r="Q59" i="44"/>
  <c r="Q64" i="44" s="1"/>
  <c r="Q68" i="44"/>
  <c r="Q77" i="44" s="1"/>
  <c r="B2" i="35" l="1"/>
  <c r="B3" i="35" l="1"/>
  <c r="D8" i="12" s="1"/>
  <c r="D10" i="12"/>
  <c r="C8" i="12" l="1"/>
  <c r="C10" i="12" s="1"/>
  <c r="C6" i="12" s="1"/>
  <c r="C29" i="12" l="1"/>
  <c r="C24" i="12"/>
  <c r="C35" i="12" l="1"/>
  <c r="C33" i="12" s="1"/>
  <c r="C28" i="12"/>
  <c r="C26" i="12" s="1"/>
  <c r="C31" i="12" s="1"/>
  <c r="C30" i="12" s="1"/>
  <c r="C36" i="12" l="1"/>
  <c r="B2" i="12" s="1"/>
  <c r="B4" i="12" s="1"/>
  <c r="D19" i="9"/>
  <c r="D21" i="9"/>
  <c r="B5" i="12" l="1"/>
  <c r="B3" i="12"/>
  <c r="L44" i="9"/>
  <c r="G19" i="9"/>
  <c r="G22" i="9" s="1"/>
  <c r="D22" i="9"/>
  <c r="G21" i="9"/>
  <c r="D20" i="9"/>
  <c r="C32" i="9" l="1"/>
  <c r="C34" i="9" s="1"/>
  <c r="D28" i="9"/>
  <c r="G20" i="9"/>
  <c r="N43" i="9"/>
  <c r="D27" i="9"/>
  <c r="O38" i="9" l="1"/>
  <c r="K25" i="9" s="1"/>
  <c r="C35" i="9"/>
  <c r="F42" i="9" s="1"/>
  <c r="C33" i="9"/>
  <c r="N38" i="9" s="1"/>
  <c r="K28" i="9" s="1"/>
  <c r="C42" i="9"/>
  <c r="D63" i="9" s="1"/>
  <c r="O43" i="9"/>
  <c r="M38" i="9"/>
  <c r="K27" i="9" s="1"/>
  <c r="E42" i="9"/>
  <c r="P5" i="54" s="1"/>
  <c r="B46" i="63" s="1"/>
  <c r="D42" i="9" l="1"/>
  <c r="Q5" i="54" s="1"/>
  <c r="B47" i="63" s="1"/>
  <c r="K26" i="9"/>
  <c r="N68" i="9"/>
  <c r="R5" i="54"/>
  <c r="B48" i="63" s="1"/>
  <c r="D14" i="66"/>
  <c r="F14" i="66" s="1"/>
  <c r="C44" i="9"/>
  <c r="E44" i="9" s="1"/>
  <c r="D70" i="9"/>
  <c r="C96" i="9"/>
  <c r="C91" i="9" s="1"/>
  <c r="D73" i="9"/>
  <c r="N73" i="9" s="1"/>
  <c r="C82" i="9"/>
  <c r="C81" i="9" s="1"/>
  <c r="C85" i="9" s="1"/>
  <c r="C86" i="9" s="1"/>
  <c r="D72" i="9" s="1"/>
  <c r="C103" i="9"/>
  <c r="C90" i="9"/>
  <c r="C111" i="9"/>
  <c r="C104" i="9" s="1"/>
  <c r="D71" i="9"/>
  <c r="D66" i="9" s="1"/>
  <c r="N72" i="9" s="1"/>
  <c r="E14" i="66" l="1"/>
  <c r="B5" i="66"/>
  <c r="D5" i="66" s="1"/>
  <c r="O39" i="9"/>
  <c r="K29" i="9" s="1"/>
  <c r="K30" i="9" s="1"/>
  <c r="C97" i="9"/>
  <c r="C98" i="9" s="1"/>
  <c r="E98" i="9" s="1"/>
  <c r="E99" i="9" s="1"/>
  <c r="G14" i="66"/>
  <c r="B6" i="66" s="1"/>
  <c r="C6" i="66" s="1"/>
  <c r="F44" i="9"/>
  <c r="N69" i="9"/>
  <c r="M83" i="9" s="1"/>
  <c r="N83" i="9" s="1"/>
  <c r="D44" i="9"/>
  <c r="C113" i="9"/>
  <c r="C5" i="66" l="1"/>
  <c r="R6" i="54"/>
  <c r="B50" i="63" s="1"/>
  <c r="M84" i="9"/>
  <c r="N84" i="9" s="1"/>
  <c r="M87" i="9"/>
  <c r="N87" i="9" s="1"/>
  <c r="M85" i="9"/>
  <c r="N85" i="9" s="1"/>
  <c r="M88" i="9"/>
  <c r="N88" i="9" s="1"/>
  <c r="M86" i="9"/>
  <c r="N86" i="9" s="1"/>
  <c r="D6" i="66"/>
  <c r="C99" i="9"/>
  <c r="C114" i="9"/>
  <c r="E114" i="9" s="1"/>
  <c r="E115" i="9" s="1"/>
  <c r="N89" i="9" l="1"/>
  <c r="O89" i="9" s="1"/>
  <c r="C115" i="9"/>
  <c r="D76" i="9" s="1"/>
  <c r="D74" i="9" s="1"/>
  <c r="N74" i="9" s="1"/>
  <c r="O77" i="9" s="1"/>
  <c r="O78" i="9" l="1"/>
  <c r="Q77" i="9"/>
  <c r="O79" i="9"/>
  <c r="O81" i="9" l="1"/>
  <c r="C46" i="9"/>
  <c r="O80" i="9"/>
  <c r="D46" i="9" l="1"/>
  <c r="F46" i="9"/>
  <c r="O41" i="9"/>
  <c r="E46" i="9"/>
  <c r="K33" i="9"/>
  <c r="R8" i="54" l="1"/>
  <c r="B54" i="63" s="1"/>
  <c r="I14" i="66"/>
  <c r="B8" i="66" s="1"/>
  <c r="C8" i="66" s="1"/>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<sst xmlns="http://schemas.openxmlformats.org/spreadsheetml/2006/main" count="9699" uniqueCount="4222">
  <si>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</si>
  <si>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</si>
  <si>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</si>
  <si>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</si>
  <si>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</si>
  <si>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</si>
  <si>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</si>
  <si>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</si>
  <si>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</si>
  <si>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</si>
  <si>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</si>
  <si>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</si>
  <si>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</si>
  <si>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</si>
  <si>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</si>
  <si>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</si>
  <si>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</si>
  <si>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</si>
  <si>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</si>
  <si>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</si>
  <si>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</si>
  <si>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</si>
  <si>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</si>
  <si>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</si>
  <si>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</si>
  <si>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</si>
  <si>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</si>
  <si>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</si>
  <si>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</si>
  <si>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</si>
  <si>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</si>
  <si>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</si>
  <si>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</si>
  <si>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</si>
  <si>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</si>
  <si>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</si>
  <si>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</si>
  <si>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</si>
  <si>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</si>
  <si>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</si>
  <si>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</si>
  <si>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</si>
  <si>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</si>
  <si>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</si>
  <si>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</si>
  <si>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</si>
  <si>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</si>
  <si>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</si>
  <si>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</si>
  <si>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</si>
  <si>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</si>
  <si>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</si>
  <si>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</si>
  <si>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</si>
  <si>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</si>
  <si>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</si>
  <si>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</si>
  <si>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</si>
  <si>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</si>
  <si>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</si>
  <si>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</si>
  <si>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</si>
  <si>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</si>
  <si>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</si>
  <si>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</si>
  <si>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</si>
  <si>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</si>
  <si>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</si>
  <si>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</si>
  <si>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</si>
  <si>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</si>
  <si>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</si>
  <si>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</si>
  <si>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</si>
  <si>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</si>
  <si>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</si>
  <si>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</si>
  <si>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</si>
  <si>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</si>
  <si>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</si>
  <si>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</si>
  <si>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</si>
  <si>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</si>
  <si>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</si>
  <si>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</si>
  <si>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</si>
  <si>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</si>
  <si>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</si>
  <si>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</si>
  <si>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</si>
  <si>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</si>
  <si>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</si>
  <si>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</si>
  <si>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</si>
  <si>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</si>
  <si>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</si>
  <si>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</si>
  <si>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</si>
  <si>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</si>
  <si>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</si>
  <si>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</si>
  <si>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</si>
  <si>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</si>
  <si>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</si>
  <si>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</si>
  <si>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</si>
  <si>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</si>
  <si>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</si>
  <si>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</si>
  <si>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</si>
  <si>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</si>
  <si>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</si>
  <si>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</si>
  <si>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</si>
  <si>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</si>
  <si>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</si>
  <si>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</si>
  <si>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</si>
  <si>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</si>
  <si>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</si>
  <si>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</si>
  <si>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</si>
  <si>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</si>
  <si>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</si>
  <si>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</si>
  <si>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</si>
  <si>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</si>
  <si>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</si>
  <si>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</si>
  <si>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</si>
  <si>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</si>
  <si>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</si>
  <si>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</si>
  <si>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</si>
  <si>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</si>
  <si>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</si>
  <si>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</si>
  <si>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</si>
  <si>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</si>
  <si>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</si>
  <si>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</si>
  <si>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</si>
  <si>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</si>
  <si>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</si>
  <si>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</si>
  <si>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</si>
  <si>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</si>
  <si>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</si>
  <si>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</si>
  <si>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</si>
  <si>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</si>
  <si>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</si>
  <si>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</si>
  <si>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</si>
  <si>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</si>
  <si>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</si>
  <si>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</si>
  <si>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</si>
  <si>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</si>
  <si>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</si>
  <si>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</si>
  <si>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</si>
  <si>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</si>
  <si>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</si>
  <si>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</si>
  <si>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</si>
  <si>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</si>
  <si>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</si>
  <si>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</si>
  <si>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</si>
  <si>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</si>
  <si>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</si>
  <si>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</si>
  <si>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</si>
  <si>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</si>
  <si>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</si>
  <si>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</si>
  <si>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</si>
  <si>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</si>
  <si>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</si>
  <si>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</si>
  <si>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</si>
  <si>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</si>
  <si>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</si>
  <si>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</si>
  <si>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</si>
  <si>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</si>
  <si>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</si>
  <si>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</si>
  <si>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</si>
  <si>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</si>
  <si>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</si>
  <si>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</si>
  <si>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</si>
  <si>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</si>
  <si>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</si>
  <si>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</si>
  <si>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</si>
  <si>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</si>
  <si>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</si>
  <si>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</si>
  <si>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</si>
  <si>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</si>
  <si>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</si>
  <si>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</si>
  <si>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</si>
  <si>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</si>
  <si>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</si>
  <si>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</si>
  <si>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</si>
  <si>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</si>
  <si>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</si>
  <si>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</si>
  <si>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</si>
  <si>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</si>
  <si>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</si>
  <si>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</si>
  <si>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</si>
  <si>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</si>
  <si>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</si>
  <si>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</si>
  <si>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</si>
  <si>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</si>
  <si>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</si>
  <si>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</si>
  <si>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</si>
  <si>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</si>
  <si>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</si>
  <si>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</si>
  <si>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</si>
  <si>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</si>
  <si>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</si>
  <si>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</si>
  <si>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</si>
  <si>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</si>
  <si>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</si>
  <si>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</si>
  <si>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</si>
  <si>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</si>
  <si>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</si>
  <si>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</si>
  <si>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</si>
  <si>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</si>
  <si>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</si>
  <si>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</si>
  <si>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</si>
  <si>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</si>
  <si>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</si>
  <si>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</si>
  <si>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</si>
  <si>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</si>
  <si>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</si>
  <si>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</si>
  <si>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</si>
  <si>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</si>
  <si>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</si>
  <si>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</si>
  <si>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</si>
  <si>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</si>
  <si>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</si>
  <si>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</si>
  <si>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</si>
  <si>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</si>
  <si>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</si>
  <si>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</si>
  <si>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</si>
  <si>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</si>
  <si>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</si>
  <si>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</si>
  <si>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</si>
  <si>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</si>
  <si>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</si>
  <si>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</si>
  <si>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</si>
  <si>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</si>
  <si>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</si>
  <si>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</si>
  <si>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</si>
  <si>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</si>
  <si>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</si>
  <si>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</si>
  <si>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</si>
  <si>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</si>
  <si>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</si>
  <si>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</si>
  <si>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</si>
  <si>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</si>
  <si>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</si>
  <si>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</si>
  <si>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</si>
  <si>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</si>
  <si>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</si>
  <si>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</si>
  <si>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</si>
  <si>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</si>
  <si>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</si>
  <si>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</si>
  <si>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</si>
  <si>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</si>
  <si>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</si>
  <si>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</si>
  <si>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</si>
  <si>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</si>
  <si>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</si>
  <si>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</si>
  <si>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</si>
  <si>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</si>
  <si>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</si>
  <si>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</si>
  <si>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</si>
  <si>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</si>
  <si>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</si>
  <si>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</si>
  <si>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</si>
  <si>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</si>
  <si>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</si>
  <si>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</si>
  <si>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</si>
  <si>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</si>
  <si>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</si>
  <si>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</si>
  <si>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</si>
  <si>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</si>
  <si>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</si>
  <si>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</si>
  <si>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</si>
  <si>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</si>
  <si>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</si>
  <si>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</si>
  <si>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</si>
  <si>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</si>
  <si>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</si>
  <si>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</si>
  <si>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</si>
  <si>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</si>
  <si>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</si>
  <si>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</si>
  <si>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</si>
  <si>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</si>
  <si>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</si>
  <si>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</si>
  <si>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</si>
  <si>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</si>
  <si>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</si>
  <si>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</si>
  <si>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</si>
  <si>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</si>
  <si>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</si>
  <si>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</si>
  <si>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</si>
  <si>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</si>
  <si>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</si>
  <si>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</si>
  <si>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</si>
  <si>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</si>
  <si>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</si>
  <si>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</si>
  <si>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</si>
  <si>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</si>
  <si>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</si>
  <si>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</si>
  <si>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</si>
  <si>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</si>
  <si>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</si>
  <si>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</si>
  <si>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</si>
  <si>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</si>
  <si>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</si>
  <si>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</si>
  <si>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</si>
  <si>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</si>
  <si>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</si>
  <si>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</si>
  <si>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</si>
  <si>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</si>
  <si>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</si>
  <si>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</si>
  <si>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</si>
  <si>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</si>
  <si>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</si>
  <si>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</si>
  <si>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</si>
  <si>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</si>
  <si>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</si>
  <si>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</si>
  <si>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</si>
  <si>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</si>
  <si>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</si>
  <si>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</si>
  <si>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</si>
  <si>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</si>
  <si>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</si>
  <si>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</si>
  <si>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</si>
  <si>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</si>
  <si>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</si>
  <si>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</si>
  <si>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</si>
  <si>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</si>
  <si>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</si>
  <si>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</si>
  <si>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</si>
  <si>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</si>
  <si>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</si>
  <si>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</si>
  <si>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</si>
  <si>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</si>
  <si>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</si>
  <si>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</si>
  <si>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</si>
  <si>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</si>
  <si>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</si>
  <si>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</si>
  <si>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</si>
  <si>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</si>
  <si>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</si>
  <si>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</si>
  <si>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</si>
  <si>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</si>
  <si>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</si>
  <si>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</si>
  <si>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</si>
  <si>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</si>
  <si>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</si>
  <si>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</si>
  <si>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</si>
  <si>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</si>
  <si>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</si>
  <si>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</si>
  <si>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</si>
  <si>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</si>
  <si>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</si>
  <si>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</si>
  <si>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</si>
  <si>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</si>
  <si>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</si>
  <si>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</si>
  <si>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</si>
  <si>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</si>
  <si>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</si>
  <si>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</si>
  <si>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</si>
  <si>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</si>
  <si>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</si>
  <si>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</si>
  <si>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</si>
  <si>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</si>
  <si>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</si>
  <si>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</si>
  <si>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</si>
  <si>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</si>
  <si>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</si>
  <si>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</si>
  <si>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</si>
  <si>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</si>
  <si>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</si>
  <si>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</si>
  <si>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</si>
  <si>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</si>
  <si>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</si>
  <si>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</si>
  <si>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</si>
  <si>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</si>
  <si>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</si>
  <si>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</si>
  <si>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</si>
  <si>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</si>
  <si>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</si>
  <si>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</si>
  <si>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</si>
  <si>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</si>
  <si>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</si>
  <si>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</si>
  <si>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</si>
  <si>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</si>
  <si>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</si>
  <si>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</si>
  <si>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</si>
  <si>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</si>
  <si>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</si>
  <si>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</si>
  <si>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</si>
  <si>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</si>
  <si>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</si>
  <si>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</si>
  <si>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</si>
  <si>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</si>
  <si>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</si>
  <si>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</si>
  <si>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</si>
  <si>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</si>
  <si>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</si>
  <si>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</si>
  <si>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</si>
  <si>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</si>
  <si>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</si>
  <si>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</si>
  <si>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</si>
  <si>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</si>
  <si>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</si>
  <si>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</si>
  <si>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</si>
  <si>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</si>
  <si>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</si>
  <si>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</si>
  <si>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</si>
  <si>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</si>
  <si>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</si>
  <si>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</si>
  <si>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</si>
  <si>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</si>
  <si>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</si>
  <si>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</si>
  <si>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</si>
  <si>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</si>
  <si>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</si>
  <si>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</si>
  <si>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</si>
  <si>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</si>
  <si>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</si>
  <si>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</si>
  <si>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</si>
  <si>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</si>
  <si>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</si>
  <si>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</si>
  <si>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</si>
  <si>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</si>
  <si>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</si>
  <si>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</si>
  <si>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</si>
  <si>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</si>
  <si>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</si>
  <si>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</si>
  <si>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</si>
  <si>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</si>
  <si>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</si>
  <si>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</si>
  <si>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</si>
  <si>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</si>
  <si>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</si>
  <si>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</si>
  <si>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</si>
  <si>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</si>
  <si>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</si>
  <si>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</si>
  <si>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</si>
  <si>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</si>
  <si>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</si>
  <si>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</si>
  <si>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</si>
  <si>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</si>
  <si>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</si>
  <si>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</si>
  <si>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</si>
  <si>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</si>
  <si>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</si>
  <si>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</si>
  <si>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</si>
  <si>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</si>
  <si>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</si>
  <si>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</si>
  <si>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</si>
  <si>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</si>
  <si>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</si>
  <si>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</si>
  <si>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</si>
  <si>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</si>
  <si>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</si>
  <si>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</si>
  <si>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</si>
  <si>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</si>
  <si>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</si>
  <si>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</si>
  <si>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</si>
  <si>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</si>
  <si>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</si>
  <si>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</si>
  <si>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</si>
  <si>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</si>
  <si>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</si>
  <si>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</si>
  <si>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</si>
  <si>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</si>
  <si>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</si>
  <si>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</si>
  <si>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</si>
  <si>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</si>
  <si>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</si>
  <si>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</si>
  <si>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</si>
  <si>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</si>
  <si>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</si>
  <si>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</si>
  <si>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</si>
  <si>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</si>
  <si>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</si>
  <si>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</si>
  <si>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</si>
  <si>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</si>
  <si>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</si>
  <si>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</si>
  <si>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</si>
  <si>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</si>
  <si>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</si>
  <si>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</si>
  <si>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</si>
  <si>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</si>
  <si>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</si>
  <si>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</si>
  <si>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</si>
  <si>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</si>
  <si>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</si>
  <si>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</si>
  <si>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</si>
  <si>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</si>
  <si>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</si>
  <si>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</si>
  <si>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</si>
  <si>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</si>
  <si>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</si>
  <si>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</si>
  <si>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</si>
  <si>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</si>
  <si>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</si>
  <si>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</si>
  <si>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</si>
  <si>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</si>
  <si>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</si>
  <si>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</si>
  <si>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</si>
  <si>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</si>
  <si>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</si>
  <si>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</si>
  <si>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</si>
  <si>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</si>
  <si>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</si>
  <si>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</si>
  <si>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</si>
  <si>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</si>
  <si>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</si>
  <si>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</si>
  <si>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</si>
  <si>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</si>
  <si>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</si>
  <si>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</si>
  <si>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</si>
  <si>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</si>
  <si>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</si>
  <si>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</si>
  <si>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</si>
  <si>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</si>
  <si>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</si>
  <si>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</si>
  <si>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</si>
  <si>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</si>
  <si>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</si>
  <si>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</si>
  <si>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</si>
  <si>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</si>
  <si>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</si>
  <si>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</si>
  <si>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</si>
  <si>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</si>
  <si>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</si>
  <si>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</si>
  <si>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</si>
  <si>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</si>
  <si>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</si>
  <si>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</si>
  <si>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</si>
  <si>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</si>
  <si>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</si>
  <si>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</si>
  <si>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</si>
  <si>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</si>
  <si>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</si>
  <si>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</si>
  <si>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</si>
  <si>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</si>
  <si>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</si>
  <si>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</si>
  <si>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</si>
  <si>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</si>
  <si>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</si>
  <si>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</si>
  <si>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</si>
  <si>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</si>
  <si>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</si>
  <si>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</si>
  <si>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</si>
  <si>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</si>
  <si>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</si>
  <si>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</si>
  <si>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</si>
  <si>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</si>
  <si>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</si>
  <si>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</si>
  <si>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</si>
  <si>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</si>
  <si>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</si>
  <si>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</si>
  <si>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</si>
  <si>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</si>
  <si>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</si>
  <si>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</si>
  <si>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</si>
  <si>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</si>
  <si>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</si>
  <si>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</si>
  <si>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</si>
  <si>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</si>
  <si>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</si>
  <si>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</si>
  <si>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</si>
  <si>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</si>
  <si>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</si>
  <si>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</si>
  <si>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</si>
  <si>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</si>
  <si>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</si>
  <si>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</si>
  <si>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</si>
  <si>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</si>
  <si>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</si>
  <si>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</si>
  <si>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</si>
  <si>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</si>
  <si>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</si>
  <si>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</si>
  <si>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</si>
  <si>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</si>
  <si>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</si>
  <si>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</si>
  <si>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</si>
  <si>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</si>
  <si>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</si>
  <si>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</si>
  <si>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</si>
  <si>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</si>
  <si>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</si>
  <si>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</si>
  <si>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</si>
  <si>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</si>
  <si>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</si>
  <si>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</si>
  <si>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</si>
  <si>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</si>
  <si>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</si>
  <si>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</si>
  <si>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</si>
  <si>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</si>
  <si>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</si>
  <si>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</si>
  <si>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</si>
  <si>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</si>
  <si>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</si>
  <si>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</si>
  <si>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</si>
  <si>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</si>
  <si>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</si>
  <si>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</si>
  <si>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</si>
  <si>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</si>
  <si>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</si>
  <si>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</si>
  <si>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</si>
  <si>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</si>
  <si>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</si>
  <si>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</si>
  <si>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</si>
  <si>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</si>
  <si>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</si>
  <si>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</si>
  <si>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</si>
  <si>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</si>
  <si>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</si>
  <si>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</si>
  <si>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</si>
  <si>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</si>
  <si>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</si>
  <si>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</si>
  <si>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</si>
  <si>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</si>
  <si>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</si>
  <si>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</si>
  <si>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</si>
  <si>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</si>
  <si>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</si>
  <si>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</si>
  <si>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</si>
  <si>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</si>
  <si>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</si>
  <si>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</si>
  <si>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</si>
  <si>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</si>
  <si>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</si>
  <si>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</si>
  <si>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</si>
  <si>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</si>
  <si>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</si>
  <si>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</si>
  <si>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</si>
  <si>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</si>
  <si>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</si>
  <si>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</si>
  <si>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</si>
  <si>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</si>
  <si>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</si>
  <si>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</si>
  <si>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</si>
  <si>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</si>
  <si>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</si>
  <si>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</si>
  <si>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</si>
  <si>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</si>
  <si>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</si>
  <si>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</si>
  <si>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</si>
  <si>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</si>
  <si>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</si>
  <si>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</si>
  <si>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</si>
  <si>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</si>
  <si>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</si>
  <si>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</si>
  <si>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</si>
  <si>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</si>
  <si>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</si>
  <si>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</si>
  <si>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</si>
  <si>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</si>
  <si>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</si>
  <si>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</si>
  <si>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</si>
  <si>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</si>
  <si>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</si>
  <si>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</si>
  <si>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</si>
  <si>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</si>
  <si>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</si>
  <si>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</si>
  <si>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</si>
  <si>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</si>
  <si>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</si>
  <si>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</si>
  <si>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</si>
  <si>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</si>
  <si>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</si>
  <si>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</si>
  <si>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</si>
  <si>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</si>
  <si>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</si>
  <si>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</si>
  <si>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</si>
  <si>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</si>
  <si>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</si>
  <si>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</si>
  <si>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</si>
  <si>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</si>
  <si>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</si>
  <si>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</si>
  <si>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</si>
  <si>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</si>
  <si>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</si>
  <si>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</si>
  <si>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</si>
  <si>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</si>
  <si>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</si>
  <si>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</si>
  <si>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</si>
  <si>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</si>
  <si>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</si>
  <si>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</si>
  <si>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</si>
  <si>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</si>
  <si>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</si>
  <si>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</si>
  <si>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</si>
  <si>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</si>
  <si>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</si>
  <si>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</si>
  <si>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</si>
  <si>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</si>
  <si>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</si>
  <si>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</si>
  <si>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</si>
  <si>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</si>
  <si>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</si>
  <si>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</si>
  <si>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</si>
  <si>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</si>
  <si>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</si>
  <si>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</si>
  <si>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</si>
  <si>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</si>
  <si>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</si>
  <si>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</si>
  <si>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</si>
  <si>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</si>
  <si>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</si>
  <si>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</si>
  <si>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</si>
  <si>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</si>
  <si>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</si>
  <si>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</si>
  <si>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</si>
  <si>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</si>
  <si>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</si>
  <si>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</si>
  <si>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</si>
  <si>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</si>
  <si>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</si>
  <si>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</si>
  <si>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</si>
  <si>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</si>
  <si>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</si>
  <si>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</si>
  <si>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</si>
  <si>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</si>
  <si>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</si>
  <si>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</si>
  <si>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</si>
  <si>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</si>
  <si>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</si>
  <si>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</si>
  <si>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</si>
  <si>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</si>
  <si>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</si>
  <si>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</si>
  <si>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</si>
  <si>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</si>
  <si>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</si>
  <si>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</si>
  <si>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</si>
  <si>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</si>
  <si>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</si>
  <si>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</si>
  <si>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</si>
  <si>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</si>
  <si>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</si>
  <si>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</si>
  <si>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</si>
  <si>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</si>
  <si>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</si>
  <si>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</si>
  <si>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</si>
  <si>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</si>
  <si>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</si>
  <si>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</si>
  <si>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</si>
  <si>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</si>
  <si>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</si>
  <si>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</si>
  <si>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</si>
  <si>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</si>
  <si>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</si>
  <si>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</si>
  <si>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</si>
  <si>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</si>
  <si>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</si>
  <si>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</si>
  <si>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</si>
  <si>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</si>
  <si>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</si>
  <si>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</si>
  <si>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</si>
  <si>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</si>
  <si>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</si>
  <si>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</si>
  <si>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</si>
  <si>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</si>
  <si>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</si>
  <si>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</si>
  <si>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</si>
  <si>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</si>
  <si>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</si>
  <si>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</si>
  <si>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</si>
  <si>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</si>
  <si>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</si>
  <si>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</si>
  <si>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</si>
  <si>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</si>
  <si>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</si>
  <si>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</si>
  <si>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</si>
  <si>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</si>
  <si>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</si>
  <si>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</si>
  <si>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</si>
  <si>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</si>
  <si>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</si>
  <si>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</si>
  <si>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</si>
  <si>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</si>
  <si>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</si>
  <si>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</si>
  <si>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</si>
  <si>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</si>
  <si>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</si>
  <si>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</si>
  <si>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</si>
  <si>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</si>
  <si>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</si>
  <si>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</si>
  <si>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</si>
  <si>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</si>
  <si>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</si>
  <si>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</si>
  <si>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</si>
  <si>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</si>
  <si>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</si>
  <si>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</si>
  <si>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</si>
  <si>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</si>
  <si>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</si>
  <si>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</si>
  <si>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</si>
  <si>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</si>
  <si>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</si>
  <si>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</si>
  <si>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</si>
  <si>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</si>
  <si>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</si>
  <si>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</si>
  <si>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</si>
  <si>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</si>
  <si>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</si>
  <si>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</si>
  <si>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</si>
  <si>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</si>
  <si>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</si>
  <si>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</si>
  <si>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</si>
  <si>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</si>
  <si>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</si>
  <si>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</si>
  <si>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</si>
  <si>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</si>
  <si>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</si>
  <si>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</si>
  <si>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</si>
  <si>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</si>
  <si>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</si>
  <si>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</si>
  <si>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</si>
  <si>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</si>
  <si>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</si>
  <si>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</si>
  <si>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</si>
  <si>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</si>
  <si>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</si>
  <si>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</si>
  <si>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</si>
  <si>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</si>
  <si>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</si>
  <si>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</si>
  <si>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</si>
  <si>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</si>
  <si>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</si>
  <si>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</si>
  <si>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</si>
  <si>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</si>
  <si>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</si>
  <si>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</si>
  <si>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</si>
  <si>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</si>
  <si>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</si>
  <si>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</si>
  <si>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</si>
  <si>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</si>
  <si>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</si>
  <si>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</si>
  <si>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</si>
  <si>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</si>
  <si>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</si>
  <si>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</si>
  <si>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</si>
  <si>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</si>
  <si>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</si>
  <si>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</si>
  <si>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</si>
  <si>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</si>
  <si>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</si>
  <si>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</si>
  <si>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</si>
  <si>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</si>
  <si>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</si>
  <si>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</si>
  <si>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</si>
  <si>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</si>
  <si>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</si>
  <si>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</si>
  <si>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</si>
  <si>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</si>
  <si>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</si>
  <si>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</si>
  <si>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</si>
  <si>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</si>
  <si>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</si>
  <si>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</si>
  <si>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</si>
  <si>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</si>
  <si>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</si>
  <si>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</si>
  <si>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</si>
  <si>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</si>
  <si>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</si>
  <si>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</si>
  <si>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</si>
  <si>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</si>
  <si>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</si>
  <si>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</si>
  <si>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</si>
  <si>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</si>
  <si>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</si>
  <si>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</si>
  <si>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</si>
  <si>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</si>
  <si>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</si>
  <si>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</si>
  <si>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</si>
  <si>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</si>
  <si>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</si>
  <si>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</si>
  <si>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</si>
  <si>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</si>
  <si>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</si>
  <si>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</si>
  <si>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</si>
  <si>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</si>
  <si>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</si>
  <si>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</si>
  <si>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</si>
  <si>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</si>
  <si>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</si>
  <si>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</si>
  <si>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</si>
  <si>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</si>
  <si>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</si>
  <si>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</si>
  <si>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</si>
  <si>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</si>
  <si>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</si>
  <si>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</si>
  <si>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</si>
  <si>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</si>
  <si>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</si>
  <si>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</si>
  <si>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</si>
  <si>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</si>
  <si>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</si>
  <si>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</si>
  <si>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</si>
  <si>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</si>
  <si>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</si>
  <si>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</si>
  <si>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</si>
  <si>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</si>
  <si>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</si>
  <si>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</si>
  <si>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</si>
  <si>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</si>
  <si>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</si>
  <si>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</si>
  <si>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</si>
  <si>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</si>
  <si>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</si>
  <si>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</si>
  <si>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</si>
  <si>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</si>
  <si>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</si>
  <si>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</si>
  <si>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</si>
  <si>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</si>
  <si>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</si>
  <si>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</si>
  <si>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</si>
  <si>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</si>
  <si>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</si>
  <si>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</si>
  <si>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</si>
  <si>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</si>
  <si>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</si>
  <si>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</si>
  <si>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</si>
  <si>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</si>
  <si>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</si>
  <si>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</si>
  <si>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</si>
  <si>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</si>
  <si>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</si>
  <si>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</si>
  <si>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</si>
  <si>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</si>
  <si>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</si>
  <si>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</si>
  <si>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</si>
  <si>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</si>
  <si>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</si>
  <si>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</si>
  <si>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</si>
  <si>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</si>
  <si>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</si>
  <si>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</si>
  <si>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</si>
  <si>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</si>
  <si>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</si>
  <si>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</si>
  <si>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</si>
  <si>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</si>
  <si>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</si>
  <si>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</si>
  <si>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</si>
  <si>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</si>
  <si>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</si>
  <si>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</si>
  <si>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</si>
  <si>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</si>
  <si>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</si>
  <si>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</si>
  <si>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</si>
  <si>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</si>
  <si>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</si>
  <si>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</si>
  <si>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</si>
  <si>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</si>
  <si>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</si>
  <si>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</si>
  <si>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</si>
  <si>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</si>
  <si>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</si>
  <si>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</si>
  <si>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</si>
  <si>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</si>
  <si>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</si>
  <si>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</si>
  <si>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</si>
  <si>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</si>
  <si>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</si>
  <si>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</si>
  <si>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</si>
  <si>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</si>
  <si>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</si>
  <si>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</si>
  <si>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</si>
  <si>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</si>
  <si>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</si>
  <si>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</si>
  <si>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</si>
  <si>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</si>
  <si>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</si>
  <si>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</si>
  <si>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</si>
  <si>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</si>
  <si>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</si>
  <si>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</si>
  <si>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</si>
  <si>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</si>
  <si>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</si>
  <si>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</si>
  <si>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</si>
  <si>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</si>
  <si>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</si>
  <si>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</si>
  <si>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</si>
  <si>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</si>
  <si>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</si>
  <si>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</si>
  <si>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</si>
  <si>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</si>
  <si>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</si>
  <si>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</si>
  <si>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</si>
  <si>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</si>
  <si>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</si>
  <si>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</si>
  <si>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</si>
  <si>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</si>
  <si>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</si>
  <si>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</si>
  <si>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</si>
  <si>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</si>
  <si>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</si>
  <si>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</si>
  <si>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</si>
  <si>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</si>
  <si>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</si>
  <si>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</si>
  <si>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</si>
  <si>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</si>
  <si>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</si>
  <si>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</si>
  <si>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</si>
  <si>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</si>
  <si>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</si>
  <si>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</si>
  <si>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</si>
  <si>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</si>
  <si>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</si>
  <si>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</si>
  <si>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</si>
  <si>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</si>
  <si>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</si>
  <si>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</si>
  <si>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</si>
  <si>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</si>
  <si>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</si>
  <si>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</si>
  <si>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</si>
  <si>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</si>
  <si>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</si>
  <si>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</si>
  <si>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</si>
  <si>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</si>
  <si>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</si>
  <si>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</si>
  <si>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</si>
  <si>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</si>
  <si>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</si>
  <si>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</si>
  <si>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</si>
  <si>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</si>
  <si>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</si>
  <si>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</si>
  <si>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</si>
  <si>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</si>
  <si>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</si>
  <si>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</si>
  <si>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</si>
  <si>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</si>
  <si>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</si>
  <si>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</si>
  <si>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</si>
  <si>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</si>
  <si>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</si>
  <si>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</si>
  <si>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</si>
  <si>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</si>
  <si>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</si>
  <si>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</si>
  <si>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</si>
  <si>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</si>
  <si>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</si>
  <si>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</si>
  <si>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</si>
  <si>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</si>
  <si>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</si>
  <si>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</si>
  <si>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</si>
  <si>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</si>
  <si>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</si>
  <si>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</si>
  <si>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</si>
  <si>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</si>
  <si>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</si>
  <si>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</si>
  <si>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</si>
  <si>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</si>
  <si>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</si>
  <si>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</si>
  <si>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</si>
  <si>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</si>
  <si>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</si>
  <si>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</si>
  <si>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</si>
  <si>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</si>
  <si>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</si>
  <si>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</si>
  <si>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</si>
  <si>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</si>
  <si>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</si>
  <si>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</si>
  <si>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</si>
  <si>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</si>
  <si>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</si>
  <si>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</si>
  <si>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</si>
  <si>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</si>
  <si>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</si>
  <si>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</si>
  <si>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</si>
  <si>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</si>
  <si>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</si>
  <si>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</si>
  <si>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</si>
  <si>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</si>
  <si>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</si>
  <si>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</si>
  <si>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</si>
  <si>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</si>
  <si>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</si>
  <si>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</si>
  <si>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</si>
  <si>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</si>
  <si>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</si>
  <si>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</si>
  <si>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</si>
  <si>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</si>
  <si>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</si>
  <si>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</si>
  <si>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</si>
  <si>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</si>
  <si>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</si>
  <si>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</si>
  <si>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</si>
  <si>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</si>
  <si>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</si>
  <si>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</si>
  <si>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</si>
  <si>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</si>
  <si>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</si>
  <si>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</si>
  <si>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</si>
  <si>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</si>
  <si>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</si>
  <si>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</si>
  <si>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</si>
  <si>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</si>
  <si>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</si>
  <si>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</si>
  <si>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</si>
  <si>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</si>
  <si>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</si>
  <si>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</si>
  <si>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</si>
  <si>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</si>
  <si>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</si>
  <si>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</si>
  <si>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</si>
  <si>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</si>
  <si>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</si>
  <si>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</si>
  <si>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</si>
  <si>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</si>
  <si>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</si>
  <si>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</si>
  <si>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</si>
  <si>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</si>
  <si>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</si>
  <si>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</si>
  <si>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</si>
  <si>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</si>
  <si>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</si>
  <si>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</si>
  <si>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</si>
  <si>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</si>
  <si>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</si>
  <si>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</si>
  <si>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</si>
  <si>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</si>
  <si>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</si>
  <si>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</si>
  <si>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</si>
  <si>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</si>
  <si>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</si>
  <si>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</si>
  <si>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</si>
  <si>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</si>
  <si>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</si>
  <si>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</si>
  <si>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</si>
  <si>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</si>
  <si>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</si>
  <si>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</si>
  <si>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</si>
  <si>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</si>
  <si>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</si>
  <si>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</si>
  <si>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</si>
  <si>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</si>
  <si>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</si>
  <si>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</si>
  <si>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</si>
  <si>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</si>
  <si>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</si>
  <si>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</si>
  <si>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</si>
  <si>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</si>
  <si>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</si>
  <si>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</si>
  <si>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</si>
  <si>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</si>
  <si>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</si>
  <si>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</si>
  <si>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</si>
  <si>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</si>
  <si>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</si>
  <si>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</si>
  <si>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</si>
  <si>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</si>
  <si>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</si>
  <si>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</si>
  <si>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</si>
  <si>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</si>
  <si>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</si>
  <si>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</si>
  <si>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</si>
  <si>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</si>
  <si>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</si>
  <si>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</si>
  <si>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</si>
  <si>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</si>
  <si>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</si>
  <si>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</si>
  <si>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</si>
  <si>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</si>
  <si>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</si>
  <si>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</si>
  <si>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</si>
  <si>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</si>
  <si>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</si>
  <si>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</si>
  <si>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</si>
  <si>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</si>
  <si>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</si>
  <si>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</si>
  <si>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</si>
  <si>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</si>
  <si>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</si>
  <si>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</si>
  <si>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</si>
  <si>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</si>
  <si>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</si>
  <si>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</si>
  <si>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</si>
  <si>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</si>
  <si>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</si>
  <si>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</si>
  <si>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</si>
  <si>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</si>
  <si>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</si>
  <si>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</si>
  <si>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</si>
  <si>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</si>
  <si>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</si>
  <si>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</si>
  <si>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</si>
  <si>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</si>
  <si>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</si>
  <si>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</si>
  <si>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</si>
  <si>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</si>
  <si>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</si>
  <si>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</si>
  <si>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</si>
  <si>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</si>
  <si>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</si>
  <si>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</si>
  <si>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</si>
  <si>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</si>
  <si>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</si>
  <si>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</si>
  <si>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</si>
  <si>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</si>
  <si>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</si>
  <si>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</si>
  <si>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</si>
  <si>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</si>
  <si>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</si>
  <si>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</si>
  <si>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</si>
  <si>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</si>
  <si>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</si>
  <si>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</si>
  <si>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</si>
  <si>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</si>
  <si>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</si>
  <si>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</si>
  <si>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</si>
  <si>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</si>
  <si>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</si>
  <si>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</si>
  <si>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</si>
  <si>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</si>
  <si>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</si>
  <si>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</si>
  <si>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</si>
  <si>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</si>
  <si>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</si>
  <si>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</si>
  <si>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</si>
  <si>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</si>
  <si>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</si>
  <si>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</si>
  <si>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</si>
  <si>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</si>
  <si>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</si>
  <si>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</si>
  <si>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</si>
  <si>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</si>
  <si>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</si>
  <si>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</si>
  <si>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</si>
  <si>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</si>
  <si>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</si>
  <si>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</si>
  <si>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</si>
  <si>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</si>
  <si>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</si>
  <si>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</si>
  <si>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</si>
  <si>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</si>
  <si>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</si>
  <si>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</si>
  <si>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</si>
  <si>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</si>
  <si>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</si>
  <si>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</si>
  <si>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</si>
  <si>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</si>
  <si>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</si>
  <si>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</si>
  <si>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</si>
  <si>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</si>
  <si>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</si>
  <si>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</si>
  <si>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</si>
  <si>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</si>
  <si>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</si>
  <si>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</si>
  <si>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</si>
  <si>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</si>
  <si>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</si>
  <si>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</si>
  <si>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</si>
  <si>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</si>
  <si>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</si>
  <si>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</si>
  <si>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</si>
  <si>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</si>
  <si>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</si>
  <si>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</si>
  <si>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</si>
  <si>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</si>
  <si>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</si>
  <si>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</si>
  <si>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</si>
  <si>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</si>
  <si>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</si>
  <si>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</si>
  <si>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</si>
  <si>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</si>
  <si>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</si>
  <si>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</si>
  <si>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</si>
  <si>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</si>
  <si>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</si>
  <si>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</si>
  <si>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</si>
  <si>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</si>
  <si>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</si>
  <si>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</si>
  <si>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</si>
  <si>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</si>
  <si>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</si>
  <si>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</si>
  <si>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</si>
  <si>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</si>
  <si>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</si>
  <si>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</si>
  <si>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</si>
  <si>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</si>
  <si>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</si>
  <si>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</si>
  <si>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</si>
  <si>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</si>
  <si>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</si>
  <si>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</si>
  <si>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</si>
  <si>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</si>
  <si>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</si>
  <si>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</si>
  <si>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</si>
  <si>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</si>
  <si>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</si>
  <si>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</si>
  <si>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</si>
  <si>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</si>
  <si>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</si>
  <si>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</si>
  <si>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</si>
  <si>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</si>
  <si>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</si>
  <si>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</si>
  <si>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</si>
  <si>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</si>
  <si>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</si>
  <si>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</si>
  <si>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</si>
  <si>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</si>
  <si>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</si>
  <si>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</si>
  <si>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</si>
  <si>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</si>
  <si>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</si>
  <si>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</si>
  <si>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</si>
  <si>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</si>
  <si>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</si>
  <si>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</si>
  <si>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</si>
  <si>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</si>
  <si>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</si>
  <si>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</si>
  <si>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</si>
  <si>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</si>
  <si>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</si>
  <si>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</si>
  <si>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</si>
  <si>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</si>
  <si>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</si>
  <si>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</si>
  <si>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</si>
  <si>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</si>
  <si>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</si>
  <si>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</si>
  <si>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</si>
  <si>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</si>
  <si>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</si>
  <si>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</si>
  <si>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</si>
  <si>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</si>
  <si>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</si>
  <si>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</si>
  <si>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</si>
  <si>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</si>
  <si>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</si>
  <si>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</si>
  <si>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</si>
  <si>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</si>
  <si>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</si>
  <si>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</si>
  <si>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</si>
  <si>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</si>
  <si>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</si>
  <si>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</si>
  <si>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</si>
  <si>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</si>
  <si>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</si>
  <si>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</si>
  <si>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</si>
  <si>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</si>
  <si>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</si>
  <si>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</si>
  <si>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</si>
  <si>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</si>
  <si>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</si>
  <si>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</si>
  <si>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</si>
  <si>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</si>
  <si>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</si>
  <si>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</si>
  <si>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</si>
  <si>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</si>
  <si>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</si>
  <si>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</si>
  <si>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</si>
  <si>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</si>
  <si>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</si>
  <si>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</si>
  <si>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</si>
  <si>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</si>
  <si>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</si>
  <si>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</si>
  <si>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</si>
  <si>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</si>
  <si>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</si>
  <si>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</si>
  <si>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</si>
  <si>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</si>
  <si>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</si>
  <si>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</si>
  <si>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</si>
  <si>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</si>
  <si>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</si>
  <si>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</si>
  <si>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</si>
  <si>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</si>
  <si>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</si>
  <si>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</si>
  <si>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</si>
  <si>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</si>
  <si>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</si>
  <si>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</si>
  <si>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</si>
  <si>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</si>
  <si>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</si>
  <si>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</si>
  <si>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</si>
  <si>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</si>
  <si>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</si>
  <si>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</si>
  <si>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</si>
  <si>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</si>
  <si>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</si>
  <si>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</si>
  <si>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</si>
  <si>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</si>
  <si>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</si>
  <si>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</si>
  <si>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</si>
  <si>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</si>
  <si>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</si>
  <si>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</si>
  <si>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</si>
  <si>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</si>
  <si>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</si>
  <si>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</si>
  <si>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</si>
  <si>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</si>
  <si>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</si>
  <si>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</si>
  <si>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</si>
  <si>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</si>
  <si>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</si>
  <si>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</si>
  <si>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</si>
  <si>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</si>
  <si>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</si>
  <si>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</si>
  <si>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</si>
  <si>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</si>
  <si>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</si>
  <si>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</si>
  <si>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</si>
  <si>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</si>
  <si>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</si>
  <si>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</si>
  <si>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</si>
  <si>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</si>
  <si>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</si>
  <si>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</si>
  <si>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</si>
  <si>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</si>
  <si>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</si>
  <si>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</si>
  <si>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</si>
  <si>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</si>
  <si>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</si>
  <si>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</si>
  <si>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</si>
  <si>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</si>
  <si>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</si>
  <si>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</si>
  <si>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</si>
  <si>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</si>
  <si>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</si>
  <si>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</si>
  <si>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</si>
  <si>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</si>
  <si>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</si>
  <si>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</si>
  <si>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</si>
  <si>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</si>
  <si>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</si>
  <si>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</si>
  <si>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</si>
  <si>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</si>
  <si>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</si>
  <si>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</si>
  <si>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</si>
  <si>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</si>
  <si>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</si>
  <si>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</si>
  <si>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</si>
  <si>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</si>
  <si>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</si>
  <si>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</si>
  <si>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</si>
  <si>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</si>
  <si>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</si>
  <si>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</si>
  <si>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</si>
  <si>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</si>
  <si>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</si>
  <si>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</si>
  <si>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</si>
  <si>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</si>
  <si>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</si>
  <si>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</si>
  <si>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</si>
  <si>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</si>
  <si>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</si>
  <si>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</si>
  <si>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</si>
  <si>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</si>
  <si>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</si>
  <si>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</si>
  <si>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</si>
  <si>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</si>
  <si>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</si>
  <si>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</si>
  <si>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</si>
  <si>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</si>
  <si>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</si>
  <si>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</si>
  <si>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</si>
  <si>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</si>
  <si>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</si>
  <si>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</si>
  <si>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</si>
  <si>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</si>
  <si>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</si>
  <si>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</si>
  <si>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</si>
  <si>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</si>
  <si>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</si>
  <si>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</si>
  <si>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</si>
  <si>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</si>
  <si>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</si>
  <si>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</si>
  <si>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</si>
  <si>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</si>
  <si>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</si>
  <si>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</si>
  <si>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</si>
  <si>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</si>
  <si>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</si>
  <si>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</si>
  <si>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</si>
  <si>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</si>
  <si>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</si>
  <si>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</si>
  <si>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</si>
  <si>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</si>
  <si>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</si>
  <si>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</si>
  <si>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</si>
  <si>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</si>
  <si>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</si>
  <si>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</si>
  <si>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</si>
  <si>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</si>
  <si>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</si>
  <si>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</si>
  <si>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</si>
  <si>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</si>
  <si>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</si>
  <si>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</si>
  <si>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</si>
  <si>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</si>
  <si>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</si>
  <si>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</si>
  <si>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</si>
  <si>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</si>
  <si>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</si>
  <si>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</si>
  <si>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</si>
  <si>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</si>
  <si>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</si>
  <si>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</si>
  <si>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</si>
  <si>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</si>
  <si>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</si>
  <si>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</si>
  <si>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</si>
  <si>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</si>
  <si>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</si>
  <si>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</si>
  <si>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</si>
  <si>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</si>
  <si>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</si>
  <si>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</si>
  <si>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</si>
  <si>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</si>
  <si>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</si>
  <si>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</si>
  <si>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</si>
  <si>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</si>
  <si>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</si>
  <si>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</si>
  <si>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</si>
  <si>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</si>
  <si>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</si>
  <si>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</si>
  <si>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</si>
  <si>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</si>
  <si>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</si>
  <si>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</si>
  <si>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</si>
  <si>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</si>
  <si>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</si>
  <si>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</si>
  <si>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</si>
  <si>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</si>
  <si>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</si>
  <si>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</si>
  <si>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</si>
  <si>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</si>
  <si>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</si>
  <si>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</si>
  <si>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</si>
  <si>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</si>
  <si>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</si>
  <si>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</si>
  <si>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</si>
  <si>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</si>
  <si>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</si>
  <si>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</si>
  <si>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</si>
  <si>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</si>
  <si>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</si>
  <si>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</si>
  <si>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</si>
  <si>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</si>
  <si>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</si>
  <si>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</si>
  <si>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</si>
  <si>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</si>
  <si>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</si>
  <si>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</si>
  <si>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</si>
  <si>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</si>
  <si>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</si>
  <si>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</si>
  <si>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</si>
  <si>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</si>
  <si>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</si>
  <si>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</si>
  <si>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</si>
  <si>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</si>
  <si>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</si>
  <si>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</si>
  <si>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</si>
  <si>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</si>
  <si>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</si>
  <si>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</si>
  <si>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</si>
  <si>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</si>
  <si>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</si>
  <si>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</si>
  <si>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</si>
  <si>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</si>
  <si>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</si>
  <si>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</si>
  <si>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</si>
  <si>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</si>
  <si>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</si>
  <si>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</si>
  <si>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</si>
  <si>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</si>
  <si>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</si>
  <si>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</si>
  <si>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</si>
  <si>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</si>
  <si>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</si>
  <si>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</si>
  <si>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</si>
  <si>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</si>
  <si>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</si>
  <si>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</si>
  <si>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</si>
  <si>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</si>
  <si>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</si>
  <si>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</si>
  <si>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</si>
  <si>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</si>
  <si>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</si>
  <si>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</si>
  <si>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</si>
  <si>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</si>
  <si>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</si>
  <si>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</si>
  <si>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</si>
  <si>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</si>
  <si>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</si>
  <si>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</si>
  <si>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</si>
  <si>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</si>
  <si>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</si>
  <si>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</si>
  <si>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</si>
  <si>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</si>
  <si>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</si>
  <si>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</si>
  <si>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</si>
  <si>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</si>
  <si>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</si>
  <si>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</si>
  <si>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</si>
  <si>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</si>
  <si>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</si>
  <si>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</si>
  <si>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</si>
  <si>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</si>
  <si>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</si>
  <si>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</si>
  <si>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</si>
  <si>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</si>
  <si>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</si>
  <si>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</si>
  <si>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</si>
  <si>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</si>
  <si>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</si>
  <si>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</si>
  <si>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</si>
  <si>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</si>
  <si>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</si>
  <si>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</si>
  <si>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</si>
  <si>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</si>
  <si>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</si>
  <si>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</si>
  <si>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</si>
  <si>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</si>
  <si>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</si>
  <si>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</si>
  <si>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</si>
  <si>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</si>
  <si>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</si>
  <si>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</si>
  <si>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</si>
  <si>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</si>
  <si>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</si>
  <si>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</si>
  <si>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</si>
  <si>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</si>
  <si>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</si>
  <si>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</si>
  <si>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</si>
  <si>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</si>
  <si>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</si>
  <si>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</si>
  <si>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</si>
  <si>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</si>
  <si>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</si>
  <si>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</si>
  <si>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</si>
  <si>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</si>
  <si>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</si>
  <si>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</si>
  <si>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</si>
  <si>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</si>
  <si>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</si>
  <si>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</si>
  <si>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</si>
  <si>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</si>
  <si>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</si>
  <si>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</si>
  <si>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</si>
  <si>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</si>
  <si>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</si>
  <si>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</si>
  <si>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</si>
  <si>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</si>
  <si>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</si>
  <si>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</si>
  <si>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</si>
  <si>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</si>
  <si>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</si>
  <si>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</si>
  <si>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</si>
  <si>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</si>
  <si>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</si>
  <si>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</si>
  <si>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</si>
  <si>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</si>
  <si>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</si>
  <si>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</si>
  <si>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</si>
  <si>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</si>
  <si>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</si>
  <si>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</si>
  <si>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</si>
  <si>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</si>
  <si>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</si>
  <si>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</si>
  <si>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</si>
  <si>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</si>
  <si>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</si>
  <si>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</si>
  <si>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</si>
  <si>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</si>
  <si>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</si>
  <si>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</si>
  <si>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</si>
  <si>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</si>
  <si>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</si>
  <si>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</si>
  <si>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</si>
  <si>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</si>
  <si>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</si>
  <si>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</si>
  <si>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</si>
  <si>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</si>
  <si>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</si>
  <si>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</si>
  <si>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</si>
  <si>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</si>
  <si>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</si>
  <si>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</si>
  <si>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</si>
  <si>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</si>
  <si>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</si>
  <si>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</si>
  <si>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</si>
  <si>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</si>
  <si>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</si>
  <si>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</si>
  <si>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</si>
  <si>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</si>
  <si>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</si>
  <si>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</si>
  <si>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</si>
  <si>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</si>
  <si>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</si>
  <si>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</si>
  <si>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</si>
  <si>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</si>
  <si>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</si>
  <si>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</si>
  <si>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</si>
  <si>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</si>
  <si>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</si>
  <si>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</si>
  <si>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</si>
  <si>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</si>
  <si>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</si>
  <si>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</si>
  <si>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</si>
  <si>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</si>
  <si>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</si>
  <si>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</si>
  <si>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</si>
  <si>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</si>
  <si>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</si>
  <si>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</si>
  <si>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</si>
  <si>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</si>
  <si>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</si>
  <si>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</si>
  <si>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</si>
  <si>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</si>
  <si>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</si>
  <si>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</si>
  <si>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</si>
  <si>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</si>
  <si>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</si>
  <si>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</si>
  <si>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</si>
  <si>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</si>
  <si>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</si>
  <si>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</si>
  <si>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</si>
  <si>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</si>
  <si>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</si>
  <si>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</si>
  <si>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</si>
  <si>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</si>
  <si>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</si>
  <si>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</si>
  <si>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</si>
  <si>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</si>
  <si>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</si>
  <si>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</si>
  <si>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</si>
  <si>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</si>
  <si>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</si>
  <si>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</si>
  <si>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</si>
  <si>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</si>
  <si>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</si>
  <si>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</si>
  <si>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</si>
  <si>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</si>
  <si>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</si>
  <si>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</si>
  <si>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</si>
  <si>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</si>
  <si>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</si>
  <si>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</si>
  <si>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</si>
  <si>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</si>
  <si>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</si>
  <si>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</si>
  <si>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</si>
  <si>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</si>
  <si>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</si>
  <si>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</si>
  <si>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</si>
  <si>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</si>
  <si>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</si>
  <si>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</si>
  <si>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</si>
  <si>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</si>
  <si>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</si>
  <si>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</si>
  <si>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</si>
  <si>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</si>
  <si>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</si>
  <si>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</si>
  <si>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</si>
  <si>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</si>
  <si>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</si>
  <si>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</si>
  <si>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</si>
  <si>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</si>
  <si>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</si>
  <si>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</si>
  <si>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</si>
  <si>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</si>
  <si>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</si>
  <si>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</si>
  <si>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</si>
  <si>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</si>
  <si>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</si>
  <si>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</si>
  <si>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</si>
  <si>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</si>
  <si>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</si>
  <si>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</si>
  <si>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</si>
  <si>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</si>
  <si>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</si>
  <si>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</si>
  <si>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</si>
  <si>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</si>
  <si>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</si>
  <si>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</si>
  <si>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</si>
  <si>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</si>
  <si>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</si>
  <si>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</si>
  <si>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</si>
  <si>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</si>
  <si>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</si>
  <si>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</si>
  <si>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</si>
  <si>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</si>
  <si>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</si>
  <si>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</si>
  <si>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</si>
  <si>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</si>
  <si>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</si>
  <si>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</si>
  <si>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</si>
  <si>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</si>
  <si>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</si>
  <si>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</si>
  <si>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</si>
  <si>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</si>
  <si>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</si>
  <si>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</si>
  <si>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</si>
  <si>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</si>
  <si>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</si>
  <si>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</si>
  <si>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</si>
  <si>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</si>
  <si>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</si>
  <si>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</si>
  <si>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</si>
  <si>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</si>
  <si>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</si>
  <si>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</si>
  <si>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</si>
  <si>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</si>
  <si>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</si>
  <si>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</si>
  <si>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</si>
  <si>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</si>
  <si>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</si>
  <si>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</si>
  <si>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</si>
  <si>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</si>
  <si>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</si>
  <si>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</si>
  <si>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</si>
  <si>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</si>
  <si>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</si>
  <si>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</si>
  <si>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</si>
  <si>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</si>
  <si>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</si>
  <si>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</si>
  <si>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</si>
  <si>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</si>
  <si>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</si>
  <si>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</si>
  <si>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</si>
  <si>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</si>
  <si>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</si>
  <si>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</si>
  <si>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</si>
  <si>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</si>
  <si>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</si>
  <si>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</si>
  <si>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</si>
  <si>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</si>
  <si>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</si>
  <si>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</si>
  <si>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</si>
  <si>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</si>
  <si>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</si>
  <si>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</si>
  <si>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</si>
  <si>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</si>
  <si>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</si>
  <si>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</si>
  <si>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</si>
  <si>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</si>
  <si>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</si>
  <si>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</si>
  <si>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</si>
  <si>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</si>
  <si>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</si>
  <si>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</si>
  <si>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</si>
  <si>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</si>
  <si>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</si>
  <si>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</si>
  <si>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</si>
  <si>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</si>
  <si>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</si>
  <si>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</si>
  <si>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</si>
  <si>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</si>
  <si>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</si>
  <si>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</si>
  <si>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</si>
  <si>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</si>
  <si>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</si>
  <si>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</si>
  <si>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</si>
  <si>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</si>
  <si>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</si>
  <si>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</si>
  <si>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</si>
  <si>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</si>
  <si>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</si>
  <si>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</si>
  <si>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</si>
  <si>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</si>
  <si>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</si>
  <si>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</si>
  <si>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</si>
  <si>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</si>
  <si>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</si>
  <si>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</si>
  <si>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</si>
  <si>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</si>
  <si>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</si>
  <si>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</si>
  <si>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</si>
  <si>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</si>
  <si>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</si>
  <si>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</si>
  <si>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</si>
  <si>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</si>
  <si>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</si>
  <si>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</si>
  <si>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</si>
  <si>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</si>
  <si>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</si>
  <si>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</si>
  <si>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</si>
  <si>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</si>
  <si>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</si>
  <si>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</si>
  <si>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</si>
  <si>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</si>
  <si>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</si>
  <si>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</si>
  <si>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</si>
  <si>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</si>
  <si>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</si>
  <si>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</si>
  <si>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</si>
  <si>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</si>
  <si>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</si>
  <si>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</si>
  <si>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</si>
  <si>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</si>
  <si>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</si>
  <si>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</si>
  <si>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</si>
  <si>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</si>
  <si>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</si>
  <si>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</si>
  <si>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</si>
  <si>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</si>
  <si>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</si>
  <si>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</si>
  <si>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</si>
  <si>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</si>
  <si>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</si>
  <si>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</si>
  <si>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</si>
  <si>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</si>
  <si>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</si>
  <si>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</si>
  <si>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</si>
  <si>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</si>
  <si>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</si>
  <si>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</si>
  <si>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</si>
  <si>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</si>
  <si>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</si>
  <si>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</si>
  <si>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</si>
  <si>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</si>
  <si>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</si>
  <si>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</si>
  <si>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</si>
  <si>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</si>
  <si>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</si>
  <si>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</si>
  <si>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</si>
  <si>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</si>
  <si>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</si>
  <si>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</si>
  <si>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</si>
  <si>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</si>
  <si>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</si>
  <si>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</si>
  <si>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</si>
  <si>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</si>
  <si>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</si>
  <si>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</si>
  <si>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</si>
  <si>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</si>
  <si>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</si>
  <si>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</si>
  <si>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</si>
  <si>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</si>
  <si>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</si>
  <si>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</si>
  <si>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</si>
  <si>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</si>
  <si>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</si>
  <si>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</si>
  <si>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</si>
  <si>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</si>
  <si>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</si>
  <si>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</si>
  <si>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</si>
  <si>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</si>
  <si>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</si>
  <si>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</si>
  <si>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</si>
  <si>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</si>
  <si>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</si>
  <si>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</si>
  <si>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</si>
  <si>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</si>
  <si>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</si>
  <si>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</si>
  <si>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</si>
  <si>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</si>
  <si>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</si>
  <si>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</si>
  <si>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</si>
  <si>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</si>
  <si>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</si>
  <si>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</si>
  <si>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</si>
  <si>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</si>
  <si>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</si>
  <si>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</si>
  <si>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</si>
  <si>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</si>
  <si>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</si>
  <si>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</si>
  <si>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</si>
  <si>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</si>
  <si>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</si>
  <si>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</si>
  <si>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</si>
  <si>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</si>
  <si>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</si>
  <si>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</si>
  <si>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</si>
  <si>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</si>
  <si>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</si>
  <si>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</si>
  <si>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</si>
  <si>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</si>
  <si>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</si>
  <si>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</si>
  <si>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</si>
  <si>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</si>
  <si>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</si>
  <si>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</si>
  <si>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</si>
  <si>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</si>
  <si>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</si>
  <si>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</si>
  <si>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</si>
  <si>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</si>
  <si>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</si>
  <si>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</si>
  <si>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</si>
  <si>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</si>
  <si>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</si>
  <si>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</si>
  <si>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</si>
  <si>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</si>
  <si>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</si>
  <si>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</si>
  <si>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</si>
  <si>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</si>
  <si>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</si>
  <si>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</si>
  <si>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</si>
  <si>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</si>
  <si>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</si>
  <si>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</si>
  <si>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</si>
  <si>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</si>
  <si>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</si>
  <si>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</si>
  <si>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</si>
  <si>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</si>
  <si>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</si>
  <si>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</si>
  <si>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</si>
  <si>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</si>
  <si>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</si>
  <si>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</si>
  <si>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</si>
  <si>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</si>
  <si>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</si>
  <si>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</si>
  <si>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</si>
  <si>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</si>
  <si>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</si>
  <si>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</si>
  <si>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</si>
  <si>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</si>
  <si>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</si>
  <si>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</si>
  <si>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</si>
  <si>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</si>
  <si>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</si>
  <si>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</si>
  <si>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</si>
  <si>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</si>
  <si>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</si>
  <si>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</si>
  <si>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</si>
  <si>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</si>
  <si>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</si>
  <si>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</si>
  <si>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</si>
  <si>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</si>
  <si>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</si>
  <si>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</si>
  <si>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</si>
  <si>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</si>
  <si>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</si>
  <si>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</si>
  <si>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</si>
  <si>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</si>
  <si>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</si>
  <si>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</si>
  <si>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</si>
  <si>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</si>
  <si>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</si>
  <si>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</si>
  <si>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</si>
  <si>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</si>
  <si>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</si>
  <si>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</si>
  <si>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</si>
  <si>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</si>
  <si>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</si>
  <si>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</si>
  <si>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</si>
  <si>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</si>
  <si>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</si>
  <si>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</si>
  <si>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</si>
  <si>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</si>
  <si>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</si>
  <si>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</si>
  <si>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</si>
  <si>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</si>
  <si>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</si>
  <si>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</si>
  <si>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</si>
  <si>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</si>
  <si>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</si>
  <si>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</si>
  <si>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</si>
  <si>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</si>
  <si>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</si>
  <si>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</si>
  <si>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</si>
  <si>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</si>
  <si>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</si>
  <si>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</si>
  <si>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</si>
  <si>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</si>
  <si>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</si>
  <si>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</si>
  <si>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</si>
  <si>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</si>
  <si>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</si>
  <si>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</si>
  <si>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</si>
  <si>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</si>
  <si>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</si>
  <si>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</si>
  <si>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</si>
  <si>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</si>
  <si>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</si>
  <si>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</si>
  <si>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</si>
  <si>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</si>
  <si>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</si>
  <si>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</si>
  <si>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</si>
  <si>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</si>
  <si>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</si>
  <si>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</si>
  <si>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</si>
  <si>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</si>
  <si>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</si>
  <si>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</si>
  <si>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</si>
  <si>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</si>
  <si>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</si>
  <si>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</si>
  <si>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</si>
  <si>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</si>
  <si>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</si>
  <si>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</si>
  <si>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</si>
  <si>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</si>
  <si>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</si>
  <si>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</si>
  <si>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</si>
  <si>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</si>
  <si>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</si>
  <si>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</si>
  <si>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</si>
  <si>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</si>
  <si>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</si>
  <si>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</si>
  <si>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</si>
  <si>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</si>
  <si>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</si>
  <si>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</si>
  <si>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</si>
  <si>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</si>
  <si>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</si>
  <si>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</si>
  <si>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</si>
  <si>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</si>
  <si>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</si>
  <si>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</si>
  <si>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</si>
  <si>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</si>
  <si>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</si>
  <si>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</si>
  <si>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</si>
  <si>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</si>
  <si>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</si>
  <si>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</si>
  <si>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</si>
  <si>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</si>
  <si>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</si>
  <si>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</si>
  <si>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</si>
  <si>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</si>
  <si>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</si>
  <si>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</si>
  <si>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</si>
  <si>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</si>
  <si>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</si>
  <si>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</si>
  <si>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</si>
  <si>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</si>
  <si>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</si>
  <si>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</si>
  <si>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</si>
  <si>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</si>
  <si>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</si>
  <si>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</si>
  <si>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</si>
  <si>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</si>
  <si>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</si>
  <si>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</si>
  <si>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</si>
  <si>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</si>
  <si>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</si>
  <si>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</si>
  <si>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</si>
  <si>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</si>
  <si>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</si>
  <si>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</si>
  <si>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</si>
  <si>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</si>
  <si>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</si>
  <si>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</si>
  <si>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</si>
  <si>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</si>
  <si>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</si>
  <si>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</si>
  <si>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</si>
  <si>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</si>
  <si>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</si>
  <si>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</si>
  <si>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</si>
  <si>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</si>
  <si>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</si>
  <si>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</si>
  <si>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</si>
  <si>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</si>
  <si>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</si>
  <si>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</si>
  <si>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</si>
  <si>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</si>
  <si>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</si>
  <si>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</si>
  <si>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</si>
  <si>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</si>
  <si>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</si>
  <si>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</si>
  <si>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</si>
  <si>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</si>
  <si>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</si>
  <si>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</si>
  <si>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</si>
  <si>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</si>
  <si>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</si>
  <si>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</si>
  <si>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</si>
  <si>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</si>
  <si>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</si>
  <si>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</si>
  <si>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</si>
  <si>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</si>
  <si>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</si>
  <si>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</si>
  <si>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</si>
  <si>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</si>
  <si>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</si>
  <si>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</si>
  <si>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</si>
  <si>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</si>
  <si>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</si>
  <si>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</si>
  <si>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</si>
  <si>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</si>
  <si>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</si>
  <si>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</si>
  <si>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</si>
  <si>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</si>
  <si>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</si>
  <si>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</si>
  <si>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</si>
  <si>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</si>
  <si>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</si>
  <si>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</si>
  <si>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</si>
  <si>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</si>
  <si>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</si>
  <si>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</si>
  <si>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</si>
  <si>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</si>
  <si>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</si>
  <si>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</si>
  <si>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</si>
  <si>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</si>
  <si>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</si>
  <si>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</si>
  <si>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</si>
  <si>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</si>
  <si>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</si>
  <si>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</si>
  <si>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</si>
  <si>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</si>
  <si>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</si>
  <si>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</si>
  <si>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</si>
  <si>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</si>
  <si>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</si>
  <si>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</si>
  <si>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</si>
  <si>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</si>
  <si>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</si>
  <si>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</si>
  <si>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</si>
  <si>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</si>
  <si>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</si>
  <si>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</si>
  <si>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</si>
  <si>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</si>
  <si>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</si>
  <si>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</si>
  <si>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</si>
  <si>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</si>
  <si>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</si>
  <si>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</si>
  <si>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</si>
  <si>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</si>
  <si>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</si>
  <si>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</si>
  <si>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</si>
  <si>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</si>
  <si>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</si>
  <si>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</si>
  <si>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</si>
  <si>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</si>
  <si>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</si>
  <si>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</si>
  <si>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</si>
  <si>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</si>
  <si>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</si>
  <si>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</si>
  <si>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</si>
  <si>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</si>
  <si>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</si>
  <si>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</si>
  <si>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</si>
  <si>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</si>
  <si>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</si>
  <si>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</si>
  <si>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</si>
  <si>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</si>
  <si>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</si>
  <si>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</si>
  <si>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</si>
  <si>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</si>
  <si>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</si>
  <si>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</si>
  <si>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</si>
  <si>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</si>
  <si>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</si>
  <si>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</si>
  <si>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</si>
  <si>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</si>
  <si>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</si>
  <si>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</si>
  <si>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</si>
  <si>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</si>
  <si>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</si>
  <si>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</si>
  <si>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</si>
  <si>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</si>
  <si>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</si>
  <si>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</si>
  <si>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</si>
  <si>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</si>
  <si>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</si>
  <si>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</si>
  <si>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</si>
  <si>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</si>
  <si>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</si>
  <si>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</si>
  <si>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</si>
  <si>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</si>
  <si>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</si>
  <si>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</si>
  <si>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</si>
  <si>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</si>
  <si>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</si>
  <si>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</si>
  <si>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</si>
  <si>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</si>
  <si>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</si>
  <si>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</si>
  <si>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</si>
  <si>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</si>
  <si>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</si>
  <si>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</si>
  <si>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</si>
  <si>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</si>
  <si>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</si>
  <si>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</si>
  <si>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</si>
  <si>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</si>
  <si>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</si>
  <si>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</si>
  <si>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</si>
  <si>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</si>
  <si>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</si>
  <si>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</si>
  <si>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</si>
  <si>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</si>
  <si>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</si>
  <si>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</si>
  <si>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</si>
  <si>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</si>
  <si>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</si>
  <si>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</si>
  <si>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</si>
  <si>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</si>
  <si>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</si>
  <si>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</si>
  <si>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</si>
  <si>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</si>
  <si>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</si>
  <si>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</si>
  <si>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</si>
  <si>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</si>
  <si>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</si>
  <si>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</si>
  <si>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</si>
  <si>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</si>
  <si>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</si>
  <si>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</si>
  <si>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</si>
  <si>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</si>
  <si>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</si>
  <si>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</si>
  <si>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</si>
  <si>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</si>
  <si>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</si>
  <si>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</si>
  <si>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</si>
  <si>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</si>
  <si>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</si>
  <si>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</si>
  <si>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</si>
  <si>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</si>
  <si>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</si>
  <si>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</si>
  <si>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</si>
  <si>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</si>
  <si>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</si>
  <si>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</si>
  <si>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</si>
  <si>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</si>
  <si>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</si>
  <si>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</si>
  <si>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</si>
  <si>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</si>
  <si>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</si>
  <si>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</si>
  <si>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</si>
  <si>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</si>
  <si>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</si>
  <si>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</si>
  <si>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</si>
  <si>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</si>
  <si>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</si>
  <si>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</si>
  <si>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</si>
  <si>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</si>
  <si>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</si>
  <si>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</si>
  <si>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</si>
  <si>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</si>
  <si>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</si>
  <si>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</si>
  <si>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</si>
  <si>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</si>
  <si>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</si>
  <si>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</si>
  <si>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</si>
  <si>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</si>
  <si>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</si>
  <si>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</si>
  <si>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</si>
  <si>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</si>
  <si>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</si>
  <si>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</si>
  <si>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</si>
  <si>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</si>
  <si>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</si>
  <si>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</si>
  <si>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</si>
  <si>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</si>
  <si>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</si>
  <si>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</si>
  <si>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</si>
  <si>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</si>
  <si>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</si>
  <si>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</si>
  <si>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</si>
  <si>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</si>
  <si>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</si>
  <si>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</si>
  <si>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</si>
  <si>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</si>
  <si>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</si>
  <si>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</si>
  <si>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</si>
  <si>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</si>
  <si>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</si>
  <si>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</si>
  <si>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</si>
  <si>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</si>
  <si>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</si>
  <si>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</si>
  <si>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</si>
  <si>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</si>
  <si>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</si>
  <si>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</si>
  <si>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</si>
  <si>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</si>
  <si>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</si>
  <si>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</si>
  <si>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</si>
  <si>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</si>
  <si>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</si>
  <si>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</si>
  <si>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</si>
  <si>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</si>
  <si>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</si>
  <si>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</si>
  <si>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</si>
  <si>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</si>
  <si>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</si>
  <si>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</si>
  <si>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</si>
  <si>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</si>
  <si>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</si>
  <si>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</si>
  <si>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</si>
  <si>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其他：</t>
  </si>
  <si>
    <t>企业</t>
  </si>
  <si>
    <t>土地证号</t>
    <phoneticPr fontId="225" type="noConversion"/>
  </si>
  <si>
    <t>A0102</t>
    <phoneticPr fontId="225" type="noConversion"/>
  </si>
  <si>
    <t>土地使用权人</t>
    <phoneticPr fontId="225" type="noConversion"/>
  </si>
  <si>
    <t>海口市新埠岛开发建设总公司</t>
    <phoneticPr fontId="225" type="noConversion"/>
  </si>
  <si>
    <t>土地面积</t>
    <phoneticPr fontId="225" type="noConversion"/>
  </si>
  <si>
    <t>用途</t>
    <phoneticPr fontId="225" type="noConversion"/>
  </si>
  <si>
    <t>城镇住宅用地</t>
    <phoneticPr fontId="225" type="noConversion"/>
  </si>
  <si>
    <t>终止日期</t>
    <phoneticPr fontId="225" type="noConversion"/>
  </si>
  <si>
    <t>1#</t>
    <phoneticPr fontId="225" type="noConversion"/>
  </si>
  <si>
    <t>2#</t>
  </si>
  <si>
    <t>2#</t>
    <phoneticPr fontId="225" type="noConversion"/>
  </si>
  <si>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</si>
  <si>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</si>
  <si>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</si>
  <si>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</si>
  <si>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</si>
  <si>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</si>
  <si>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</si>
  <si>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</si>
  <si>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</si>
  <si>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</si>
  <si>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</si>
  <si>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</si>
  <si>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</si>
  <si>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</si>
  <si>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</si>
  <si>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</si>
  <si>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</si>
  <si>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</si>
  <si>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</si>
  <si>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</si>
  <si>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</si>
  <si>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</si>
  <si>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</si>
  <si>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</si>
  <si>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</si>
  <si>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</si>
  <si>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</si>
  <si>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</si>
  <si>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</si>
  <si>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</si>
  <si>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</si>
  <si>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</si>
  <si>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</si>
  <si>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</si>
  <si>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</si>
  <si>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</si>
  <si>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</si>
  <si>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</si>
  <si>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</si>
  <si>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</si>
  <si>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</si>
  <si>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</si>
  <si>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</si>
  <si>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</si>
  <si>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</si>
  <si>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</si>
  <si>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</si>
  <si>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</si>
  <si>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</si>
  <si>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</si>
  <si>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</si>
  <si>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</si>
  <si>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</si>
  <si>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</si>
  <si>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</si>
  <si>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</si>
  <si>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地上</t>
  </si>
  <si>
    <t>地上</t>
    <phoneticPr fontId="225" type="noConversion"/>
  </si>
  <si>
    <t>地下</t>
  </si>
  <si>
    <t>地下</t>
    <phoneticPr fontId="225" type="noConversion"/>
  </si>
  <si>
    <t>地上楼层</t>
    <phoneticPr fontId="225" type="noConversion"/>
  </si>
  <si>
    <t>地下楼层</t>
    <phoneticPr fontId="225" type="noConversion"/>
  </si>
  <si>
    <t>合计</t>
    <phoneticPr fontId="225" type="noConversion"/>
  </si>
  <si>
    <t>59#</t>
  </si>
  <si>
    <t>60#</t>
  </si>
  <si>
    <t>61#</t>
  </si>
  <si>
    <t>62#</t>
  </si>
  <si>
    <t>63#</t>
  </si>
  <si>
    <t>64#</t>
  </si>
  <si>
    <t>65#</t>
  </si>
  <si>
    <t>地下室</t>
    <phoneticPr fontId="225" type="noConversion"/>
  </si>
  <si>
    <t>门楼</t>
    <phoneticPr fontId="225" type="noConversion"/>
  </si>
  <si>
    <t>配电房</t>
    <phoneticPr fontId="225" type="noConversion"/>
  </si>
  <si>
    <t>海口市国用（2013）第000969号</t>
    <phoneticPr fontId="225" type="noConversion"/>
  </si>
  <si>
    <t>A0102（0103）</t>
    <phoneticPr fontId="225" type="noConversion"/>
  </si>
  <si>
    <t>A0301（0202)</t>
    <phoneticPr fontId="225" type="noConversion"/>
  </si>
  <si>
    <t>A0301</t>
    <phoneticPr fontId="225" type="noConversion"/>
  </si>
  <si>
    <t>52#配电房</t>
    <phoneticPr fontId="225" type="noConversion"/>
  </si>
  <si>
    <t>53#门楼</t>
    <phoneticPr fontId="225" type="noConversion"/>
  </si>
  <si>
    <t>容积率</t>
    <phoneticPr fontId="225" type="noConversion"/>
  </si>
  <si>
    <t>计容面积（㎡）</t>
    <phoneticPr fontId="225" type="noConversion"/>
  </si>
  <si>
    <t>预估价格（万元）</t>
    <phoneticPr fontId="225" type="noConversion"/>
  </si>
  <si>
    <t>阅海台</t>
    <phoneticPr fontId="280" type="noConversion"/>
  </si>
  <si>
    <t>逸璟台</t>
    <phoneticPr fontId="280" type="noConversion"/>
  </si>
  <si>
    <t>分摊土地成本
（元）</t>
    <phoneticPr fontId="225" type="noConversion"/>
  </si>
  <si>
    <t>项目案名</t>
    <phoneticPr fontId="225" type="noConversion"/>
  </si>
  <si>
    <t>否</t>
  </si>
  <si>
    <t>预计洋房售价</t>
    <phoneticPr fontId="225" type="noConversion"/>
  </si>
  <si>
    <t>预计车位售价</t>
    <phoneticPr fontId="225" type="noConversion"/>
  </si>
  <si>
    <t>10万/个</t>
    <phoneticPr fontId="225" type="noConversion"/>
  </si>
  <si>
    <t>洋房</t>
  </si>
  <si>
    <t>车库</t>
  </si>
  <si>
    <t>洋房</t>
    <phoneticPr fontId="7" type="noConversion"/>
  </si>
  <si>
    <t>地下车库</t>
    <phoneticPr fontId="7" type="noConversion"/>
  </si>
  <si>
    <t>海口市新埠岛开发建设总公司</t>
    <phoneticPr fontId="225" type="noConversion"/>
  </si>
  <si>
    <t>海口市新埠岛</t>
    <phoneticPr fontId="6" type="noConversion"/>
  </si>
  <si>
    <t>海南省</t>
    <phoneticPr fontId="6" type="noConversion"/>
  </si>
  <si>
    <t>出让</t>
  </si>
  <si>
    <t>居住项目</t>
  </si>
  <si>
    <t>场地平整</t>
  </si>
  <si>
    <t>平整</t>
  </si>
  <si>
    <t>海口</t>
    <phoneticPr fontId="3" type="noConversion"/>
  </si>
  <si>
    <t>利息：取LPR加浮动点数</t>
  </si>
  <si>
    <t>工程进度</t>
  </si>
  <si>
    <t>售价</t>
  </si>
  <si>
    <t>碧桂园中央半岛</t>
    <phoneticPr fontId="3" type="noConversion"/>
  </si>
  <si>
    <t>新埠岛</t>
    <phoneticPr fontId="3" type="noConversion"/>
  </si>
  <si>
    <t>正常</t>
  </si>
  <si>
    <t>车库</t>
    <phoneticPr fontId="27" type="noConversion"/>
  </si>
  <si>
    <t>30-40（含）</t>
  </si>
  <si>
    <t>一般</t>
  </si>
  <si>
    <t>六通</t>
  </si>
  <si>
    <t>地下</t>
    <phoneticPr fontId="27" type="noConversion"/>
  </si>
  <si>
    <t>元/车位</t>
  </si>
  <si>
    <t>广物·海南之心</t>
    <phoneticPr fontId="3" type="noConversion"/>
  </si>
  <si>
    <t>广物·滨海国际</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</si>
  <si>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</si>
  <si>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</si>
  <si>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</si>
  <si>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</si>
  <si>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</si>
  <si>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</si>
  <si>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钢混</t>
  </si>
  <si>
    <t>钢混</t>
    <phoneticPr fontId="21" type="noConversion"/>
  </si>
  <si>
    <t>高档</t>
  </si>
  <si>
    <t>高档</t>
    <phoneticPr fontId="21" type="noConversion"/>
  </si>
  <si>
    <t>专业</t>
  </si>
  <si>
    <t>专业</t>
    <phoneticPr fontId="21" type="noConversion"/>
  </si>
  <si>
    <t>平层</t>
  </si>
  <si>
    <t>平层</t>
    <phoneticPr fontId="21" type="noConversion"/>
  </si>
  <si>
    <t>较好</t>
  </si>
  <si>
    <t>住宅</t>
    <phoneticPr fontId="21" type="noConversion"/>
  </si>
  <si>
    <t>50-60（含）</t>
  </si>
  <si>
    <t>60-70（含）</t>
  </si>
  <si>
    <t>地块名称</t>
  </si>
  <si>
    <t>城市</t>
  </si>
  <si>
    <t>省份</t>
  </si>
  <si>
    <t>地块编号</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</si>
  <si>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</si>
  <si>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</si>
  <si>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</si>
  <si>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</si>
  <si>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</si>
  <si>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</si>
  <si>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</si>
  <si>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</si>
  <si>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</si>
  <si>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</si>
  <si>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</si>
  <si>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</si>
  <si>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</si>
  <si>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</si>
  <si>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</si>
  <si>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</si>
  <si>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</si>
  <si>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</si>
  <si>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</si>
  <si>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</si>
  <si>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</si>
  <si>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</si>
  <si>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</si>
  <si>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</si>
  <si>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</si>
  <si>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</si>
  <si>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</si>
  <si>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</si>
  <si>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</si>
  <si>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</si>
  <si>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</si>
  <si>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</si>
  <si>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</si>
  <si>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</si>
  <si>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</si>
  <si>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</si>
  <si>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</si>
  <si>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</si>
  <si>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</si>
  <si>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</si>
  <si>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</si>
  <si>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</si>
  <si>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</si>
  <si>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</si>
  <si>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海口市</t>
  </si>
  <si>
    <t xml:space="preserve"> 海南省</t>
  </si>
  <si>
    <t xml:space="preserve"> 美兰区</t>
  </si>
  <si>
    <t xml:space="preserve"> 海甸岛北片区</t>
  </si>
  <si>
    <t xml:space="preserve"> 住宅用地</t>
  </si>
  <si>
    <t xml:space="preserve"> 挂牌</t>
  </si>
  <si>
    <t xml:space="preserve"> 城镇住宅-普通商品住房用地</t>
  </si>
  <si>
    <t xml:space="preserve">-- </t>
  </si>
  <si>
    <t xml:space="preserve"> -- </t>
  </si>
  <si>
    <t xml:space="preserve"> 小于或等于35</t>
  </si>
  <si>
    <t xml:space="preserve"> 50.0</t>
  </si>
  <si>
    <t xml:space="preserve"> --</t>
  </si>
  <si>
    <t xml:space="preserve"> 2021-12-17</t>
  </si>
  <si>
    <t xml:space="preserve"> 2022-01-10</t>
  </si>
  <si>
    <t xml:space="preserve"> 2022-01-20</t>
  </si>
  <si>
    <t xml:space="preserve"> 已成交</t>
  </si>
  <si>
    <t xml:space="preserve"> 10922.92</t>
  </si>
  <si>
    <t xml:space="preserve"> 10922.92 </t>
  </si>
  <si>
    <t xml:space="preserve"> 2022-01-18 16:00</t>
  </si>
  <si>
    <t xml:space="preserve"> 12561.36</t>
  </si>
  <si>
    <t xml:space="preserve"> 1200.00</t>
  </si>
  <si>
    <t xml:space="preserve"> 1380.00</t>
  </si>
  <si>
    <t xml:space="preserve"> 9000</t>
  </si>
  <si>
    <t xml:space="preserve"> 15.00</t>
  </si>
  <si>
    <t xml:space="preserve"> 70年</t>
  </si>
  <si>
    <t xml:space="preserve">海口市江东新区JDZH-02-A09-2地块   </t>
  </si>
  <si>
    <t xml:space="preserve"> 海口市市江东新区JDZH-02-A09-2地块</t>
  </si>
  <si>
    <t xml:space="preserve"> 桂林洋片区</t>
  </si>
  <si>
    <t xml:space="preserve"> 海口市江东新区JDZH-02-A09-2地块</t>
  </si>
  <si>
    <t xml:space="preserve"> 12701.71</t>
  </si>
  <si>
    <t xml:space="preserve"> 31754.27</t>
  </si>
  <si>
    <t xml:space="preserve"> 大于或等于1并且小于或等于2.5</t>
  </si>
  <si>
    <t xml:space="preserve"> 小于或等于30</t>
  </si>
  <si>
    <t xml:space="preserve"> 45.0</t>
  </si>
  <si>
    <t xml:space="preserve"> 2021-11-23</t>
  </si>
  <si>
    <t xml:space="preserve"> 2021-12-13</t>
  </si>
  <si>
    <t xml:space="preserve"> 2021-12-24</t>
  </si>
  <si>
    <t xml:space="preserve"> 网挂【2021】081[2021]81号</t>
  </si>
  <si>
    <t xml:space="preserve"> 海口江东新区安居置业有限公司  </t>
  </si>
  <si>
    <t xml:space="preserve"> 海口江东新区安居置业有限公司</t>
  </si>
  <si>
    <t xml:space="preserve"> 10899.34</t>
  </si>
  <si>
    <t xml:space="preserve"> 6539.60 </t>
  </si>
  <si>
    <t xml:space="preserve"> 2021-12-22 16:00</t>
  </si>
  <si>
    <t xml:space="preserve"> 572.07</t>
  </si>
  <si>
    <t xml:space="preserve"> 3432</t>
  </si>
  <si>
    <t xml:space="preserve"> 0.00</t>
  </si>
  <si>
    <t xml:space="preserve">海口市江东新区白驹大道南侧   </t>
  </si>
  <si>
    <t xml:space="preserve"> 海口市江东新区JDZH-02-C02地块</t>
  </si>
  <si>
    <t xml:space="preserve"> 海口市江东新区白驹大道南侧</t>
  </si>
  <si>
    <t xml:space="preserve"> 21340.38</t>
  </si>
  <si>
    <t xml:space="preserve"> 53350.95</t>
  </si>
  <si>
    <t xml:space="preserve"> 小于或等于40</t>
  </si>
  <si>
    <t xml:space="preserve"> 网挂【2021】080[2021]80号</t>
  </si>
  <si>
    <t xml:space="preserve"> 22543.98</t>
  </si>
  <si>
    <t xml:space="preserve"> 13526.39 </t>
  </si>
  <si>
    <t xml:space="preserve"> 704.27</t>
  </si>
  <si>
    <t xml:space="preserve"> 4226</t>
  </si>
  <si>
    <t xml:space="preserve">海口市江东新区国际高教科研团   </t>
  </si>
  <si>
    <t xml:space="preserve"> 海口市江东新区JDGJ-03-B16地块</t>
  </si>
  <si>
    <t xml:space="preserve"> 东海岸片区</t>
  </si>
  <si>
    <t xml:space="preserve"> 海口市江东新区国际高教科研团</t>
  </si>
  <si>
    <t xml:space="preserve"> 综合用地(含住宅)</t>
  </si>
  <si>
    <t xml:space="preserve"> 15961.49</t>
  </si>
  <si>
    <t xml:space="preserve"> 63845.96</t>
  </si>
  <si>
    <t xml:space="preserve"> 大于或等于1并且小于或等于4</t>
  </si>
  <si>
    <t xml:space="preserve"> 城镇住宅-租赁型商品住房用地</t>
  </si>
  <si>
    <t xml:space="preserve"> 20.00 </t>
  </si>
  <si>
    <t xml:space="preserve"> 小于或等于45</t>
  </si>
  <si>
    <t xml:space="preserve"> 80.0</t>
  </si>
  <si>
    <t xml:space="preserve"> 2021-11-09</t>
  </si>
  <si>
    <t xml:space="preserve"> 2021-12-03</t>
  </si>
  <si>
    <t xml:space="preserve"> 2021-12-15</t>
  </si>
  <si>
    <t xml:space="preserve"> 网挂【2021】067[2021]67号</t>
  </si>
  <si>
    <t xml:space="preserve"> 海南鲁启产业投资有限公司  </t>
  </si>
  <si>
    <t xml:space="preserve"> 海南鲁启产业投资有限公司</t>
  </si>
  <si>
    <t xml:space="preserve"> 19792.25</t>
  </si>
  <si>
    <t xml:space="preserve"> 19792.25 </t>
  </si>
  <si>
    <t xml:space="preserve"> 2021-12-13 16:00</t>
  </si>
  <si>
    <t xml:space="preserve"> 826.67</t>
  </si>
  <si>
    <t xml:space="preserve"> 3100</t>
  </si>
  <si>
    <t xml:space="preserve">海口市江东新区滨海生态总部聚集中心(CBD)   </t>
  </si>
  <si>
    <t xml:space="preserve"> JDQB-B03-13~15地块</t>
  </si>
  <si>
    <t xml:space="preserve"> 海口市江东新区滨海生态总部聚集中心(CBD)</t>
  </si>
  <si>
    <t xml:space="preserve"> 7790.87</t>
  </si>
  <si>
    <t xml:space="preserve"> 17841.09</t>
  </si>
  <si>
    <t xml:space="preserve"> 大于或等于1并且小于或等于2.29</t>
  </si>
  <si>
    <t xml:space="preserve"> 1.00 </t>
  </si>
  <si>
    <t xml:space="preserve"> 小于或等于36.65</t>
  </si>
  <si>
    <t xml:space="preserve"> 40.0</t>
  </si>
  <si>
    <t xml:space="preserve"> 含租赁用地</t>
  </si>
  <si>
    <t xml:space="preserve"> 网挂【2021】065[2021]65号</t>
  </si>
  <si>
    <t xml:space="preserve"> 海南德璟置业投资有限公司  </t>
  </si>
  <si>
    <t xml:space="preserve"> 5396.29</t>
  </si>
  <si>
    <t xml:space="preserve"> 5396.29 </t>
  </si>
  <si>
    <t xml:space="preserve"> 461.76</t>
  </si>
  <si>
    <t xml:space="preserve"> 3025</t>
  </si>
  <si>
    <t xml:space="preserve"> JDQB-B03-06~08、10地块</t>
  </si>
  <si>
    <t xml:space="preserve"> 11516.27</t>
  </si>
  <si>
    <t xml:space="preserve"> 24921.21</t>
  </si>
  <si>
    <t xml:space="preserve"> 大于或等于1并且小于或等于2.164</t>
  </si>
  <si>
    <t xml:space="preserve"> 小于或等于34.62</t>
  </si>
  <si>
    <t xml:space="preserve"> 网挂【2021】068[2021]68号</t>
  </si>
  <si>
    <t xml:space="preserve"> 7665.69</t>
  </si>
  <si>
    <t xml:space="preserve"> 7665.69 </t>
  </si>
  <si>
    <t xml:space="preserve"> 443.76</t>
  </si>
  <si>
    <t xml:space="preserve"> 3076</t>
  </si>
  <si>
    <t xml:space="preserve"> JDGJ-03-B20地块</t>
  </si>
  <si>
    <t xml:space="preserve"> 14870.37</t>
  </si>
  <si>
    <t xml:space="preserve"> 44611.11</t>
  </si>
  <si>
    <t xml:space="preserve"> 大于或等于1并且小于或等于3</t>
  </si>
  <si>
    <t xml:space="preserve"> 60.0</t>
  </si>
  <si>
    <t xml:space="preserve"> 网挂【2021】066[2021]66号</t>
  </si>
  <si>
    <t xml:space="preserve"> 13829.44</t>
  </si>
  <si>
    <t xml:space="preserve"> 13829.44 </t>
  </si>
  <si>
    <t xml:space="preserve"> 620.00</t>
  </si>
  <si>
    <t xml:space="preserve">海口市江东新区   </t>
  </si>
  <si>
    <t xml:space="preserve"> 海口市江东新区安置房(地块8)项目</t>
  </si>
  <si>
    <t xml:space="preserve"> 海口市江东新区</t>
  </si>
  <si>
    <t xml:space="preserve"> 96071.65</t>
  </si>
  <si>
    <t xml:space="preserve"> 240179.13</t>
  </si>
  <si>
    <t xml:space="preserve"> 其中城镇住宅用地占比99.81%,零售商业用地占比0.19%</t>
  </si>
  <si>
    <t xml:space="preserve"> 0.19 </t>
  </si>
  <si>
    <t xml:space="preserve"> 小于或等于25</t>
  </si>
  <si>
    <t xml:space="preserve"> 小于或等于54</t>
  </si>
  <si>
    <t xml:space="preserve"> 2021-10-13</t>
  </si>
  <si>
    <t xml:space="preserve"> 2021-11-03</t>
  </si>
  <si>
    <t xml:space="preserve"> 2021-11-18</t>
  </si>
  <si>
    <t xml:space="preserve"> 49[2021]49号</t>
  </si>
  <si>
    <t xml:space="preserve"> 海口市江东新居第壹置业有限公司  </t>
  </si>
  <si>
    <t xml:space="preserve"> 海口江东新居第壹置业有限公司</t>
  </si>
  <si>
    <t xml:space="preserve"> 36483.60</t>
  </si>
  <si>
    <t xml:space="preserve"> 36483.60 </t>
  </si>
  <si>
    <t xml:space="preserve"> 2021-11-16 16:00</t>
  </si>
  <si>
    <t xml:space="preserve"> 253.17</t>
  </si>
  <si>
    <t xml:space="preserve"> 1519</t>
  </si>
  <si>
    <t xml:space="preserve"> 城镇住宅用地70年,零售商业用地40年</t>
  </si>
  <si>
    <t xml:space="preserve"> 海口市江东新区安置房(地块7)项目</t>
  </si>
  <si>
    <t xml:space="preserve"> 94812.29</t>
  </si>
  <si>
    <t xml:space="preserve"> 237030.73</t>
  </si>
  <si>
    <t xml:space="preserve"> 城镇住宅用地占比97.85%,零售商业用地占比2.15%</t>
  </si>
  <si>
    <t xml:space="preserve"> 2.15 </t>
  </si>
  <si>
    <t xml:space="preserve"> 网挂【2021】048[2021]48号</t>
  </si>
  <si>
    <t xml:space="preserve"> 35902.70</t>
  </si>
  <si>
    <t xml:space="preserve"> 35902.70 </t>
  </si>
  <si>
    <t xml:space="preserve"> 252.45</t>
  </si>
  <si>
    <t xml:space="preserve"> 1515</t>
  </si>
  <si>
    <t xml:space="preserve">海口市江东新区JDZH-02-A11地块   </t>
  </si>
  <si>
    <t xml:space="preserve"> 海口市江东新区安置房(地块4)项目</t>
  </si>
  <si>
    <t xml:space="preserve"> 海口市江东新区JDZH-02-A11地块</t>
  </si>
  <si>
    <t xml:space="preserve"> 18887.71</t>
  </si>
  <si>
    <t xml:space="preserve"> 56663.13</t>
  </si>
  <si>
    <t xml:space="preserve"> 0.00 </t>
  </si>
  <si>
    <t xml:space="preserve"> 小于或等于60</t>
  </si>
  <si>
    <t xml:space="preserve"> 含保障房用地</t>
  </si>
  <si>
    <t xml:space="preserve"> 定向安置房</t>
  </si>
  <si>
    <t xml:space="preserve"> 2021-09-01</t>
  </si>
  <si>
    <t xml:space="preserve"> 2021-09-23</t>
  </si>
  <si>
    <t xml:space="preserve"> 网挂【2021】028[2021]28号</t>
  </si>
  <si>
    <t xml:space="preserve"> 海口江东新居第贰置业有限公司  </t>
  </si>
  <si>
    <t xml:space="preserve"> 7488.00</t>
  </si>
  <si>
    <t xml:space="preserve"> 7488.00 </t>
  </si>
  <si>
    <t xml:space="preserve"> 2021-10-11 16:00</t>
  </si>
  <si>
    <t xml:space="preserve"> 264.30</t>
  </si>
  <si>
    <t xml:space="preserve"> 1321</t>
  </si>
  <si>
    <t xml:space="preserve">海口市江东新区JDZH-02-A04地块   </t>
  </si>
  <si>
    <t xml:space="preserve"> 海口市江东新区安置房(地块5)项目</t>
  </si>
  <si>
    <t xml:space="preserve"> 海口市江东新区JDZH-02-A04地块</t>
  </si>
  <si>
    <t xml:space="preserve"> 32826.97</t>
  </si>
  <si>
    <t xml:space="preserve"> 98480.91</t>
  </si>
  <si>
    <t xml:space="preserve"> 网挂【2021】029[2021]29号</t>
  </si>
  <si>
    <t xml:space="preserve"> 海口江东新居第贰置业</t>
  </si>
  <si>
    <t xml:space="preserve"> 13226.00</t>
  </si>
  <si>
    <t xml:space="preserve"> 13226.00 </t>
  </si>
  <si>
    <t xml:space="preserve"> 268.60</t>
  </si>
  <si>
    <t xml:space="preserve"> 1343</t>
  </si>
  <si>
    <t xml:space="preserve">海口市江东新区JDZH-03-A14地块    </t>
  </si>
  <si>
    <t xml:space="preserve"> JDZH-03-A14</t>
  </si>
  <si>
    <t xml:space="preserve"> 海口市江东新区JDZH-03-A14地块</t>
  </si>
  <si>
    <t xml:space="preserve"> 85327.88</t>
  </si>
  <si>
    <t xml:space="preserve"> 279875.45</t>
  </si>
  <si>
    <t xml:space="preserve"> 大于或等于1并且小于或等于3.28</t>
  </si>
  <si>
    <t xml:space="preserve"> 小于或等于80</t>
  </si>
  <si>
    <t xml:space="preserve"> 2021-04-25</t>
  </si>
  <si>
    <t xml:space="preserve"> 2021-05-16</t>
  </si>
  <si>
    <t xml:space="preserve"> 2021-05-28</t>
  </si>
  <si>
    <t xml:space="preserve"> 网挂【2021】16[2021]16号</t>
  </si>
  <si>
    <t xml:space="preserve"> 海南发展控股置业集团有限公司  </t>
  </si>
  <si>
    <t xml:space="preserve"> 海南发展</t>
  </si>
  <si>
    <t xml:space="preserve"> 50377.58</t>
  </si>
  <si>
    <t xml:space="preserve"> 50377.58 </t>
  </si>
  <si>
    <t xml:space="preserve"> 2021-05-26 16:00</t>
  </si>
  <si>
    <t xml:space="preserve"> 393.60</t>
  </si>
  <si>
    <t xml:space="preserve"> 1800</t>
  </si>
  <si>
    <t xml:space="preserve"> -1800</t>
  </si>
  <si>
    <t xml:space="preserve"> 海口市江东新区安置房(地块6)项目</t>
  </si>
  <si>
    <t xml:space="preserve"> 28126.80</t>
  </si>
  <si>
    <t xml:space="preserve"> 129383.28</t>
  </si>
  <si>
    <t xml:space="preserve"> 大于或等于1并且小于或等于4.6</t>
  </si>
  <si>
    <t xml:space="preserve"> 2021-04-20</t>
  </si>
  <si>
    <t xml:space="preserve"> 2021-05-11</t>
  </si>
  <si>
    <t xml:space="preserve"> 2021-05-21</t>
  </si>
  <si>
    <t xml:space="preserve"> 网挂【2021】12[2021]12号</t>
  </si>
  <si>
    <t xml:space="preserve"> 海口江东新居第壹置业有限公司  </t>
  </si>
  <si>
    <t xml:space="preserve"> 中国交建,交通银行</t>
  </si>
  <si>
    <t xml:space="preserve"> 14426.24</t>
  </si>
  <si>
    <t xml:space="preserve"> 14426.24 </t>
  </si>
  <si>
    <t xml:space="preserve"> 2021-05-19 16:00</t>
  </si>
  <si>
    <t xml:space="preserve"> 341.93</t>
  </si>
  <si>
    <t xml:space="preserve"> 1115</t>
  </si>
  <si>
    <t xml:space="preserve"> -1115</t>
  </si>
  <si>
    <t xml:space="preserve">海口市江东新区JDZH-03-A12地块  </t>
  </si>
  <si>
    <t xml:space="preserve"> JDZH-03-A12</t>
  </si>
  <si>
    <t xml:space="preserve"> 海口市江东新区JDZH-03-A12地块</t>
  </si>
  <si>
    <t xml:space="preserve"> 11819.34</t>
  </si>
  <si>
    <t xml:space="preserve"> 41367.69</t>
  </si>
  <si>
    <t xml:space="preserve"> 大于或等于1并且小于或等于3.5</t>
  </si>
  <si>
    <t xml:space="preserve"> 2021-04-07</t>
  </si>
  <si>
    <t xml:space="preserve"> 2021-04-29</t>
  </si>
  <si>
    <t xml:space="preserve"> 2021-05-12</t>
  </si>
  <si>
    <t xml:space="preserve"> 11[2021]11号</t>
  </si>
  <si>
    <t xml:space="preserve"> 7446.18</t>
  </si>
  <si>
    <t xml:space="preserve"> 7446.18 </t>
  </si>
  <si>
    <t xml:space="preserve"> 2021-05-10 16:00</t>
  </si>
  <si>
    <t xml:space="preserve"> 420.00</t>
  </si>
  <si>
    <t xml:space="preserve">海口江东新区起步区CBD(JDQB-A06-20、21、22)地块  </t>
  </si>
  <si>
    <t xml:space="preserve"> (JDQB-A06-20、21、22)</t>
  </si>
  <si>
    <t xml:space="preserve"> 海口江东新区起步区CBD(JDQB-A06-20、21、22)地块</t>
  </si>
  <si>
    <t xml:space="preserve"> 7430.19</t>
  </si>
  <si>
    <t xml:space="preserve"> 23776.61</t>
  </si>
  <si>
    <t xml:space="preserve"> 大于或等于1并且小于或等于3.2</t>
  </si>
  <si>
    <t xml:space="preserve"> 城镇住宅-租赁型商品住房、零售商业混合用地</t>
  </si>
  <si>
    <t xml:space="preserve"> 15.00 </t>
  </si>
  <si>
    <t xml:space="preserve"> 小于或等于36.5</t>
  </si>
  <si>
    <t xml:space="preserve"> 2021-04-02</t>
  </si>
  <si>
    <t xml:space="preserve"> 2021-04-23</t>
  </si>
  <si>
    <t xml:space="preserve"> 2021-05-08</t>
  </si>
  <si>
    <t xml:space="preserve"> 9[2021]9号</t>
  </si>
  <si>
    <t xml:space="preserve"> 河南鸿宝集团有限公司  </t>
  </si>
  <si>
    <t xml:space="preserve"> 8321.82</t>
  </si>
  <si>
    <t xml:space="preserve"> 8321.82 </t>
  </si>
  <si>
    <t xml:space="preserve"> 2021-05-06 16:00</t>
  </si>
  <si>
    <t xml:space="preserve"> 746.67</t>
  </si>
  <si>
    <t xml:space="preserve"> 3500</t>
  </si>
  <si>
    <t xml:space="preserve"> 住宅70年、商服40年</t>
  </si>
  <si>
    <t xml:space="preserve"> -3500</t>
  </si>
  <si>
    <t xml:space="preserve">海口市江东新区白驹大道北侧  </t>
  </si>
  <si>
    <t xml:space="preserve"> JDWH-06-E18</t>
  </si>
  <si>
    <t xml:space="preserve"> 海口市江东新区白驹大道北侧</t>
  </si>
  <si>
    <t xml:space="preserve"> 44105.37</t>
  </si>
  <si>
    <t xml:space="preserve"> 110263.43</t>
  </si>
  <si>
    <t xml:space="preserve"> 城镇住宅-经济适用住房用地</t>
  </si>
  <si>
    <t xml:space="preserve"> 10.00 </t>
  </si>
  <si>
    <t xml:space="preserve"> 2020-11-30</t>
  </si>
  <si>
    <t xml:space="preserve"> 2020-12-20</t>
  </si>
  <si>
    <t xml:space="preserve"> 2020-12-29</t>
  </si>
  <si>
    <t xml:space="preserve"> 69[2020]69号</t>
  </si>
  <si>
    <t xml:space="preserve"> 海南中交海投房地产开发有限公司  </t>
  </si>
  <si>
    <t xml:space="preserve"> 海口高新发展控股</t>
  </si>
  <si>
    <t xml:space="preserve"> 41900.10</t>
  </si>
  <si>
    <t xml:space="preserve"> 41900.10 </t>
  </si>
  <si>
    <t xml:space="preserve"> 2020-12-27 16:00</t>
  </si>
  <si>
    <t xml:space="preserve"> 42311.00</t>
  </si>
  <si>
    <t xml:space="preserve"> 633.33</t>
  </si>
  <si>
    <t xml:space="preserve"> 639.54</t>
  </si>
  <si>
    <t xml:space="preserve"> 3800</t>
  </si>
  <si>
    <t xml:space="preserve"> 3837</t>
  </si>
  <si>
    <t xml:space="preserve"> 0.98</t>
  </si>
  <si>
    <t xml:space="preserve">海口市江东新区北师大海口附属学校北侧   </t>
  </si>
  <si>
    <t xml:space="preserve"> 44</t>
  </si>
  <si>
    <t xml:space="preserve"> 江东东片区</t>
  </si>
  <si>
    <t xml:space="preserve"> 海口市江东新区北师大海口附属学校北侧</t>
  </si>
  <si>
    <t xml:space="preserve"> 62411.57</t>
  </si>
  <si>
    <t xml:space="preserve"> 187234.71</t>
  </si>
  <si>
    <t xml:space="preserve"> ≥1.0,≤3.0</t>
  </si>
  <si>
    <t xml:space="preserve"> 城镇住宅用地和零售商业用地混合用地</t>
  </si>
  <si>
    <t xml:space="preserve"> 1.30 </t>
  </si>
  <si>
    <t xml:space="preserve"> ≤25%</t>
  </si>
  <si>
    <t xml:space="preserve"> ≤60米</t>
  </si>
  <si>
    <t xml:space="preserve"> 2020-09-25</t>
  </si>
  <si>
    <t xml:space="preserve"> 2020-10-16</t>
  </si>
  <si>
    <t xml:space="preserve"> 2020-10-28</t>
  </si>
  <si>
    <t xml:space="preserve"> 2020-10-29</t>
  </si>
  <si>
    <t xml:space="preserve"> 44[2020]44号</t>
  </si>
  <si>
    <t xml:space="preserve"> 海口市美兰区招商建设投资有限公司  </t>
  </si>
  <si>
    <t xml:space="preserve"> 美兰招商</t>
  </si>
  <si>
    <t xml:space="preserve"> 24522.13</t>
  </si>
  <si>
    <t xml:space="preserve"> 24522.13 </t>
  </si>
  <si>
    <t xml:space="preserve"> 2020-10-26 16:00</t>
  </si>
  <si>
    <t xml:space="preserve"> 261.94</t>
  </si>
  <si>
    <t xml:space="preserve"> 1310</t>
  </si>
  <si>
    <t xml:space="preserve"> 城镇住宅70年、零售商业用地40年</t>
  </si>
  <si>
    <t xml:space="preserve"> -1310</t>
  </si>
  <si>
    <t xml:space="preserve">海口市美兰区演丰镇东寨港大道东侧  </t>
  </si>
  <si>
    <t xml:space="preserve"> 海口江东新区临空经济区安置房项目(一期)</t>
  </si>
  <si>
    <t xml:space="preserve"> 东寨港片区</t>
  </si>
  <si>
    <t xml:space="preserve"> 海口市美兰区演丰镇东寨港大道东侧</t>
  </si>
  <si>
    <t xml:space="preserve"> 188098.31</t>
  </si>
  <si>
    <t xml:space="preserve"> 338576.96</t>
  </si>
  <si>
    <t xml:space="preserve"> 大于或等于1并且小于或等于1.8</t>
  </si>
  <si>
    <t xml:space="preserve"> 居住商业混合用地</t>
  </si>
  <si>
    <t xml:space="preserve"> 7.60 </t>
  </si>
  <si>
    <t xml:space="preserve"> 小于或等于59.6</t>
  </si>
  <si>
    <t xml:space="preserve"> 2020-05-16</t>
  </si>
  <si>
    <t xml:space="preserve"> 2020-06-07</t>
  </si>
  <si>
    <t xml:space="preserve"> 2020-06-19</t>
  </si>
  <si>
    <t xml:space="preserve"> 11[2020]11号</t>
  </si>
  <si>
    <t xml:space="preserve"> 57876.35</t>
  </si>
  <si>
    <t xml:space="preserve"> 57876.35 </t>
  </si>
  <si>
    <t xml:space="preserve"> 2020-06-17 16:00</t>
  </si>
  <si>
    <t xml:space="preserve"> 205.13</t>
  </si>
  <si>
    <t xml:space="preserve"> 1709</t>
  </si>
  <si>
    <t xml:space="preserve"> 住宅70年、商业40年</t>
  </si>
  <si>
    <t xml:space="preserve">美兰区灵山旧改东片区  </t>
  </si>
  <si>
    <t xml:space="preserve"> A-12</t>
  </si>
  <si>
    <t xml:space="preserve"> 灵山片区</t>
  </si>
  <si>
    <t xml:space="preserve"> 美兰区灵山旧改东片区</t>
  </si>
  <si>
    <t xml:space="preserve"> 54790.46</t>
  </si>
  <si>
    <t xml:space="preserve"> 164371.38</t>
  </si>
  <si>
    <t xml:space="preserve"> 城镇住宅、零售商业用地</t>
  </si>
  <si>
    <t xml:space="preserve"> 2019-11-15</t>
  </si>
  <si>
    <t xml:space="preserve"> 2019-12-08</t>
  </si>
  <si>
    <t xml:space="preserve"> 2019-12-18</t>
  </si>
  <si>
    <t xml:space="preserve"> 66[2019]66号</t>
  </si>
  <si>
    <t xml:space="preserve"> 绿地控股集团有限公司  </t>
  </si>
  <si>
    <t xml:space="preserve"> 绿地控股</t>
  </si>
  <si>
    <t xml:space="preserve"> 14727.70</t>
  </si>
  <si>
    <t xml:space="preserve"> 8839.89 </t>
  </si>
  <si>
    <t xml:space="preserve"> 2019-12-16 16:00</t>
  </si>
  <si>
    <t xml:space="preserve"> 14744.11</t>
  </si>
  <si>
    <t xml:space="preserve"> 179.20</t>
  </si>
  <si>
    <t xml:space="preserve"> 179.40</t>
  </si>
  <si>
    <t xml:space="preserve"> 896</t>
  </si>
  <si>
    <t xml:space="preserve"> 897</t>
  </si>
  <si>
    <t xml:space="preserve"> 0.11</t>
  </si>
  <si>
    <t xml:space="preserve"> 城镇住宅70年、零售商业40年</t>
  </si>
  <si>
    <t xml:space="preserve">美兰区灵山旧改西片区  </t>
  </si>
  <si>
    <t xml:space="preserve"> 9-11</t>
  </si>
  <si>
    <t xml:space="preserve"> 美兰区灵山旧改西片区</t>
  </si>
  <si>
    <t xml:space="preserve"> 47874.05</t>
  </si>
  <si>
    <t xml:space="preserve"> 132611.12</t>
  </si>
  <si>
    <t xml:space="preserve"> 大于或等于1并且小于或等于2.77</t>
  </si>
  <si>
    <t xml:space="preserve"> 12823.50</t>
  </si>
  <si>
    <t xml:space="preserve"> 7692.40 </t>
  </si>
  <si>
    <t xml:space="preserve"> 12836.76</t>
  </si>
  <si>
    <t xml:space="preserve"> 178.57</t>
  </si>
  <si>
    <t xml:space="preserve"> 178.76</t>
  </si>
  <si>
    <t xml:space="preserve"> 967</t>
  </si>
  <si>
    <t xml:space="preserve"> 968</t>
  </si>
  <si>
    <t xml:space="preserve"> 0.10</t>
  </si>
  <si>
    <t xml:space="preserve"> A-13</t>
  </si>
  <si>
    <t xml:space="preserve"> 52685.71</t>
  </si>
  <si>
    <t xml:space="preserve"> 158057.13</t>
  </si>
  <si>
    <t xml:space="preserve"> 13956.40</t>
  </si>
  <si>
    <t xml:space="preserve"> 8373.87 </t>
  </si>
  <si>
    <t xml:space="preserve"> 13972.25</t>
  </si>
  <si>
    <t xml:space="preserve"> 176.60</t>
  </si>
  <si>
    <t xml:space="preserve"> 176.80</t>
  </si>
  <si>
    <t xml:space="preserve"> 883</t>
  </si>
  <si>
    <t xml:space="preserve"> 884</t>
  </si>
  <si>
    <t xml:space="preserve">江东新区国际社区西侧地块一  </t>
  </si>
  <si>
    <t xml:space="preserve"> 地块一</t>
  </si>
  <si>
    <t xml:space="preserve"> 江东新区国际社区西侧地块一</t>
  </si>
  <si>
    <t xml:space="preserve"> 96451.57</t>
  </si>
  <si>
    <t xml:space="preserve"> 154322.51</t>
  </si>
  <si>
    <t xml:space="preserve"> ≤1.6</t>
  </si>
  <si>
    <t xml:space="preserve"> 城镇住宅用地(含零售商业用地)</t>
  </si>
  <si>
    <t xml:space="preserve"> 5.00 </t>
  </si>
  <si>
    <t xml:space="preserve"> ≤35%</t>
  </si>
  <si>
    <t xml:space="preserve"> ≤70米</t>
  </si>
  <si>
    <t xml:space="preserve"> 2019-10-23</t>
  </si>
  <si>
    <t xml:space="preserve"> 2019-11-14</t>
  </si>
  <si>
    <t xml:space="preserve"> 2019-11-27</t>
  </si>
  <si>
    <t xml:space="preserve"> (2019)第61号-1</t>
  </si>
  <si>
    <t xml:space="preserve"> 海南麓华商旅发展有限公司  </t>
  </si>
  <si>
    <t xml:space="preserve"> 96692.70</t>
  </si>
  <si>
    <t xml:space="preserve"> 96692.00 </t>
  </si>
  <si>
    <t xml:space="preserve"> 668.33</t>
  </si>
  <si>
    <t xml:space="preserve"> 6266</t>
  </si>
  <si>
    <t xml:space="preserve">江东新区国际社区东侧  </t>
  </si>
  <si>
    <t xml:space="preserve"> 62</t>
  </si>
  <si>
    <t xml:space="preserve"> 江东新区国际社区东侧</t>
  </si>
  <si>
    <t xml:space="preserve"> 187536.10</t>
  </si>
  <si>
    <t xml:space="preserve"> 337564.98</t>
  </si>
  <si>
    <t xml:space="preserve"> ≤1.8</t>
  </si>
  <si>
    <t xml:space="preserve"> 6.00 </t>
  </si>
  <si>
    <t xml:space="preserve"> ≤45米(局部70米)</t>
  </si>
  <si>
    <t xml:space="preserve"> (2019)第62号</t>
  </si>
  <si>
    <t xml:space="preserve"> 兴恒(深圳)投资实业有限公司  </t>
  </si>
  <si>
    <t xml:space="preserve"> 仁恒置地</t>
  </si>
  <si>
    <t xml:space="preserve"> 203645.45</t>
  </si>
  <si>
    <t xml:space="preserve"> 203645.00 </t>
  </si>
  <si>
    <t xml:space="preserve"> 723.93</t>
  </si>
  <si>
    <t xml:space="preserve"> 6033</t>
  </si>
  <si>
    <t xml:space="preserve">江东新区国际社区西侧地块二  </t>
  </si>
  <si>
    <t xml:space="preserve"> 地块二</t>
  </si>
  <si>
    <t xml:space="preserve"> 江东新区国际社区西侧地块二</t>
  </si>
  <si>
    <t xml:space="preserve"> 115949.73</t>
  </si>
  <si>
    <t xml:space="preserve"> 208709.51</t>
  </si>
  <si>
    <t xml:space="preserve"> (2019)第61号-2</t>
  </si>
  <si>
    <t xml:space="preserve"> 125306.87</t>
  </si>
  <si>
    <t xml:space="preserve"> 125306.00 </t>
  </si>
  <si>
    <t xml:space="preserve"> 720.47</t>
  </si>
  <si>
    <t xml:space="preserve"> 6004</t>
  </si>
  <si>
    <t xml:space="preserve">市江东新区琼山大道西侧  </t>
  </si>
  <si>
    <t xml:space="preserve"> 46</t>
  </si>
  <si>
    <t xml:space="preserve"> 江东沿江片区</t>
  </si>
  <si>
    <t xml:space="preserve"> 市江东新区琼山大道西侧</t>
  </si>
  <si>
    <t xml:space="preserve"> 36586.46</t>
  </si>
  <si>
    <t xml:space="preserve"> 128052.61</t>
  </si>
  <si>
    <t xml:space="preserve"> 城镇住宅用地(其中城镇住宅85%,零售商业15%)</t>
  </si>
  <si>
    <t xml:space="preserve"> 小于或等于20</t>
  </si>
  <si>
    <t xml:space="preserve"> 2019-09-12</t>
  </si>
  <si>
    <t xml:space="preserve"> 2019-10-04</t>
  </si>
  <si>
    <t xml:space="preserve"> 2019-10-16</t>
  </si>
  <si>
    <t xml:space="preserve"> 46[2019]46号</t>
  </si>
  <si>
    <t xml:space="preserve"> 海口市美兰区招商投资有限公司  </t>
  </si>
  <si>
    <t xml:space="preserve"> 15494.37</t>
  </si>
  <si>
    <t xml:space="preserve"> 15494.37 </t>
  </si>
  <si>
    <t xml:space="preserve"> 2019-10-14 16:00</t>
  </si>
  <si>
    <t xml:space="preserve"> 15507.17</t>
  </si>
  <si>
    <t xml:space="preserve"> 282.33</t>
  </si>
  <si>
    <t xml:space="preserve"> 282.57</t>
  </si>
  <si>
    <t xml:space="preserve"> 1210</t>
  </si>
  <si>
    <t xml:space="preserve"> 1211</t>
  </si>
  <si>
    <t xml:space="preserve"> 0.08</t>
  </si>
  <si>
    <t xml:space="preserve">海口市美苑路以西、美祥路南侧  </t>
  </si>
  <si>
    <t xml:space="preserve"> C0503-2</t>
  </si>
  <si>
    <t xml:space="preserve"> 海口市美苑路以西、美祥路南侧</t>
  </si>
  <si>
    <t xml:space="preserve"> 8851.22</t>
  </si>
  <si>
    <t xml:space="preserve"> 37706.20</t>
  </si>
  <si>
    <t xml:space="preserve"> 大于或等于1并且小于或等于4.259</t>
  </si>
  <si>
    <t xml:space="preserve"> 城镇住宅用地、商业</t>
  </si>
  <si>
    <t xml:space="preserve"> 4.00 </t>
  </si>
  <si>
    <t xml:space="preserve"> 小于或等于29</t>
  </si>
  <si>
    <t xml:space="preserve"> 小于或等于100</t>
  </si>
  <si>
    <t xml:space="preserve"> 2019-06-21</t>
  </si>
  <si>
    <t xml:space="preserve"> 2019-07-12</t>
  </si>
  <si>
    <t xml:space="preserve"> 2019-07-24</t>
  </si>
  <si>
    <t xml:space="preserve"> 海口市自然资源和规划局国有土地使用权挂牌出让公告(29[2019]29号)</t>
  </si>
  <si>
    <t xml:space="preserve"> 山西建设发展有限公司  </t>
  </si>
  <si>
    <t xml:space="preserve"> 4248.49</t>
  </si>
  <si>
    <t xml:space="preserve"> 4248.59 </t>
  </si>
  <si>
    <t xml:space="preserve"> 2019-07-22 16:00</t>
  </si>
  <si>
    <t xml:space="preserve"> 319.99</t>
  </si>
  <si>
    <t xml:space="preserve"> 1127</t>
  </si>
  <si>
    <t xml:space="preserve"> 住宅70年 商业40年</t>
  </si>
  <si>
    <t xml:space="preserve">海口市美兰区滨江路南侧A0508-4地块  </t>
  </si>
  <si>
    <t xml:space="preserve"> A0508-4</t>
  </si>
  <si>
    <t xml:space="preserve"> 流水坡片区</t>
  </si>
  <si>
    <t xml:space="preserve"> 海口市美兰区滨江路南侧A0508-4地块</t>
  </si>
  <si>
    <t xml:space="preserve"> 4844.65</t>
  </si>
  <si>
    <t xml:space="preserve"> 16810.94</t>
  </si>
  <si>
    <t xml:space="preserve"> ≥1且≤3.47</t>
  </si>
  <si>
    <t xml:space="preserve"> 城镇住宅用地</t>
  </si>
  <si>
    <t xml:space="preserve"> ≤28%</t>
  </si>
  <si>
    <t xml:space="preserve"> ≤80米</t>
  </si>
  <si>
    <t xml:space="preserve"> 2019-01-15</t>
  </si>
  <si>
    <t xml:space="preserve"> 2019-02-08</t>
  </si>
  <si>
    <t xml:space="preserve"> 2019-02-21</t>
  </si>
  <si>
    <t xml:space="preserve"> 5[2019]5号</t>
  </si>
  <si>
    <t xml:space="preserve"> 海南积星房地产开发有限公司  </t>
  </si>
  <si>
    <t xml:space="preserve"> 1165.00</t>
  </si>
  <si>
    <t xml:space="preserve"> 1165.14 </t>
  </si>
  <si>
    <t xml:space="preserve"> 160.31</t>
  </si>
  <si>
    <t xml:space="preserve"> 693</t>
  </si>
  <si>
    <t xml:space="preserve">海口市美苑路以西、美祥路南侧,下洋瓦灶片区棚户区改造项目C0502地块  </t>
  </si>
  <si>
    <t xml:space="preserve"> 17</t>
  </si>
  <si>
    <t xml:space="preserve"> 海口市美苑路以西、美祥路南侧,下洋瓦灶片区棚户区改造项目C0502地块</t>
  </si>
  <si>
    <t xml:space="preserve"> 34448.11</t>
  </si>
  <si>
    <t xml:space="preserve"> 186502.10</t>
  </si>
  <si>
    <t xml:space="preserve"> ≥1且≤5.414</t>
  </si>
  <si>
    <t xml:space="preserve"> 其他普通商品住房用地</t>
  </si>
  <si>
    <t xml:space="preserve"> ≤30%</t>
  </si>
  <si>
    <t xml:space="preserve"> 2018-11-06</t>
  </si>
  <si>
    <t xml:space="preserve"> 2018-11-26</t>
  </si>
  <si>
    <t xml:space="preserve"> 2018-12-06</t>
  </si>
  <si>
    <t xml:space="preserve"> 17[2018]17号</t>
  </si>
  <si>
    <t xml:space="preserve"> 山西建投</t>
  </si>
  <si>
    <t xml:space="preserve"> 12066.68</t>
  </si>
  <si>
    <t xml:space="preserve"> 12000.00 </t>
  </si>
  <si>
    <t xml:space="preserve"> 39538.44</t>
  </si>
  <si>
    <t xml:space="preserve"> 233.52</t>
  </si>
  <si>
    <t xml:space="preserve"> 765.18</t>
  </si>
  <si>
    <t xml:space="preserve"> 647</t>
  </si>
  <si>
    <t xml:space="preserve"> 2120</t>
  </si>
  <si>
    <t xml:space="preserve"> 227.67</t>
  </si>
  <si>
    <t xml:space="preserve"> 住宅70年,商业40年</t>
  </si>
  <si>
    <t xml:space="preserve">海口市龙岐村  </t>
  </si>
  <si>
    <t xml:space="preserve"> 13</t>
  </si>
  <si>
    <t xml:space="preserve"> 东山镇</t>
  </si>
  <si>
    <t xml:space="preserve"> 海口市龙岐村</t>
  </si>
  <si>
    <t xml:space="preserve"> 9168.48</t>
  </si>
  <si>
    <t xml:space="preserve"> 45842.40</t>
  </si>
  <si>
    <t xml:space="preserve"> ≥1且≤5</t>
  </si>
  <si>
    <t xml:space="preserve"> 住宅、商业用地</t>
  </si>
  <si>
    <t xml:space="preserve"> ≤100米</t>
  </si>
  <si>
    <t xml:space="preserve"> 2018-10-17</t>
  </si>
  <si>
    <t xml:space="preserve"> 2018-11-16</t>
  </si>
  <si>
    <t xml:space="preserve"> 13[2018]13号</t>
  </si>
  <si>
    <t xml:space="preserve"> 中交第四公路工程局有限公司  </t>
  </si>
  <si>
    <t xml:space="preserve"> 中国交建</t>
  </si>
  <si>
    <t xml:space="preserve"> 5643.20</t>
  </si>
  <si>
    <t xml:space="preserve"> 5600.00 </t>
  </si>
  <si>
    <t xml:space="preserve"> 7706.10</t>
  </si>
  <si>
    <t xml:space="preserve"> 410.33</t>
  </si>
  <si>
    <t xml:space="preserve"> 560.33</t>
  </si>
  <si>
    <t xml:space="preserve"> 1231</t>
  </si>
  <si>
    <t xml:space="preserve"> 1681</t>
  </si>
  <si>
    <t xml:space="preserve"> 36.56</t>
  </si>
  <si>
    <t xml:space="preserve"> 城镇住宅70年,商业40年</t>
  </si>
  <si>
    <t xml:space="preserve">海口市滨江西路西侧白沙坊棚户区  </t>
  </si>
  <si>
    <t xml:space="preserve"> 15</t>
  </si>
  <si>
    <t xml:space="preserve"> 海口市滨江西路西侧白沙坊棚户区</t>
  </si>
  <si>
    <t xml:space="preserve"> 31473.12</t>
  </si>
  <si>
    <t xml:space="preserve"> 180026.30</t>
  </si>
  <si>
    <t xml:space="preserve"> ≥1且≤5.72</t>
  </si>
  <si>
    <t xml:space="preserve"> 二类居住兼容商业用地</t>
  </si>
  <si>
    <t xml:space="preserve"> 15[2018]15号</t>
  </si>
  <si>
    <t xml:space="preserve"> 11143.62</t>
  </si>
  <si>
    <t xml:space="preserve"> 11000.00 </t>
  </si>
  <si>
    <t xml:space="preserve"> 27526.01</t>
  </si>
  <si>
    <t xml:space="preserve"> 236.05</t>
  </si>
  <si>
    <t xml:space="preserve"> 583.06</t>
  </si>
  <si>
    <t xml:space="preserve"> 619</t>
  </si>
  <si>
    <t xml:space="preserve"> 1529</t>
  </si>
  <si>
    <t xml:space="preserve"> 147.01</t>
  </si>
  <si>
    <t xml:space="preserve"> 14</t>
  </si>
  <si>
    <t xml:space="preserve"> 老机场片区</t>
  </si>
  <si>
    <t xml:space="preserve"> 29223.83</t>
  </si>
  <si>
    <t xml:space="preserve"> 160731.10</t>
  </si>
  <si>
    <t xml:space="preserve"> ≥1且≤5.5</t>
  </si>
  <si>
    <t xml:space="preserve"> 14[2018]14号</t>
  </si>
  <si>
    <t xml:space="preserve"> 18451.93</t>
  </si>
  <si>
    <t xml:space="preserve"> 18500.00 </t>
  </si>
  <si>
    <t xml:space="preserve"> 25202.63</t>
  </si>
  <si>
    <t xml:space="preserve"> 420.93</t>
  </si>
  <si>
    <t xml:space="preserve"> 574.93</t>
  </si>
  <si>
    <t xml:space="preserve"> 1148</t>
  </si>
  <si>
    <t xml:space="preserve"> 1568</t>
  </si>
  <si>
    <t xml:space="preserve"> 36.59</t>
  </si>
  <si>
    <t xml:space="preserve">海口市江东组团白驹大道南侧E4002地块  </t>
  </si>
  <si>
    <t xml:space="preserve"> 10</t>
  </si>
  <si>
    <t xml:space="preserve"> 海口市江东组团白驹大道南侧E4002地块</t>
  </si>
  <si>
    <t xml:space="preserve"> 18626.39</t>
  </si>
  <si>
    <t xml:space="preserve"> 55879.17</t>
  </si>
  <si>
    <t xml:space="preserve"> ≥1且≤3</t>
  </si>
  <si>
    <t xml:space="preserve"> 拍卖</t>
  </si>
  <si>
    <t xml:space="preserve"> ≤20%</t>
  </si>
  <si>
    <t xml:space="preserve"> 2017-11-15</t>
  </si>
  <si>
    <t xml:space="preserve"> 2017-12-12</t>
  </si>
  <si>
    <t xml:space="preserve"> 10[2017]10号</t>
  </si>
  <si>
    <t xml:space="preserve"> 2624.46</t>
  </si>
  <si>
    <t xml:space="preserve"> 7873.38 </t>
  </si>
  <si>
    <t xml:space="preserve"> 7873.38</t>
  </si>
  <si>
    <t xml:space="preserve"> 93.93</t>
  </si>
  <si>
    <t xml:space="preserve"> 281.80</t>
  </si>
  <si>
    <t xml:space="preserve"> 470</t>
  </si>
  <si>
    <t xml:space="preserve"> 1409</t>
  </si>
  <si>
    <t xml:space="preserve"> 200.00</t>
  </si>
  <si>
    <t xml:space="preserve">海口市江东组团白驹大道南侧E4502地块  </t>
  </si>
  <si>
    <t xml:space="preserve"> 12</t>
  </si>
  <si>
    <t xml:space="preserve"> 海口市江东组团白驹大道南侧E4502地块</t>
  </si>
  <si>
    <t xml:space="preserve"> 132627.70</t>
  </si>
  <si>
    <t xml:space="preserve"> 344832.10</t>
  </si>
  <si>
    <t xml:space="preserve"> ≥1且≤2.6</t>
  </si>
  <si>
    <t xml:space="preserve"> ≤20 %</t>
  </si>
  <si>
    <t xml:space="preserve"> ≤80 米</t>
  </si>
  <si>
    <t xml:space="preserve"> 12[2017]12号</t>
  </si>
  <si>
    <t xml:space="preserve"> 50120.02 </t>
  </si>
  <si>
    <t xml:space="preserve"> 50121.34</t>
  </si>
  <si>
    <t xml:space="preserve"> 251.94</t>
  </si>
  <si>
    <t xml:space="preserve"> 1454</t>
  </si>
  <si>
    <t xml:space="preserve">海口市江东组团白驹大道南侧E4302地块  </t>
  </si>
  <si>
    <t xml:space="preserve"> 11</t>
  </si>
  <si>
    <t xml:space="preserve"> 海口市江东组团白驹大道南侧E4302地块</t>
  </si>
  <si>
    <t xml:space="preserve"> 32361.18</t>
  </si>
  <si>
    <t xml:space="preserve"> 84139.07</t>
  </si>
  <si>
    <t xml:space="preserve"> 11[2017]11号</t>
  </si>
  <si>
    <t xml:space="preserve"> 12226.05 </t>
  </si>
  <si>
    <t xml:space="preserve"> 12225.41</t>
  </si>
  <si>
    <t xml:space="preserve"> 251.85</t>
  </si>
  <si>
    <t xml:space="preserve"> 1453</t>
  </si>
  <si>
    <t xml:space="preserve">海口市白驹大道北侧  </t>
  </si>
  <si>
    <t xml:space="preserve"> 35</t>
  </si>
  <si>
    <t xml:space="preserve"> 海口市白驹大道北侧</t>
  </si>
  <si>
    <t xml:space="preserve"> 8000.48</t>
  </si>
  <si>
    <t xml:space="preserve"> 23201.39</t>
  </si>
  <si>
    <t xml:space="preserve"> ≥1且≤2.9</t>
  </si>
  <si>
    <t xml:space="preserve"> ≤15</t>
  </si>
  <si>
    <t xml:space="preserve"> ≤70</t>
  </si>
  <si>
    <t xml:space="preserve"> 2016-12-06</t>
  </si>
  <si>
    <t xml:space="preserve"> 2017-01-12</t>
  </si>
  <si>
    <t xml:space="preserve"> 35[2016]35号</t>
  </si>
  <si>
    <t xml:space="preserve"> 3100.19</t>
  </si>
  <si>
    <t xml:space="preserve"> 3100.19 </t>
  </si>
  <si>
    <t xml:space="preserve"> 3108.19</t>
  </si>
  <si>
    <t xml:space="preserve"> 258.33</t>
  </si>
  <si>
    <t xml:space="preserve"> 259.00</t>
  </si>
  <si>
    <t xml:space="preserve"> 1336</t>
  </si>
  <si>
    <t xml:space="preserve"> 1340</t>
  </si>
  <si>
    <t xml:space="preserve"> 0.26</t>
  </si>
  <si>
    <t xml:space="preserve">海口市灵山镇西片区  </t>
  </si>
  <si>
    <t xml:space="preserve"> A-01</t>
  </si>
  <si>
    <t xml:space="preserve"> 海口市灵山镇西片区</t>
  </si>
  <si>
    <t xml:space="preserve"> 43169.09</t>
  </si>
  <si>
    <t xml:space="preserve"> 107922.70</t>
  </si>
  <si>
    <t xml:space="preserve"> ≥1且≤2.5</t>
  </si>
  <si>
    <t xml:space="preserve"> ≤30</t>
  </si>
  <si>
    <t xml:space="preserve"> ≤50</t>
  </si>
  <si>
    <t xml:space="preserve"> 2016-12-02</t>
  </si>
  <si>
    <t xml:space="preserve"> 2016-12-28</t>
  </si>
  <si>
    <t xml:space="preserve"> 34[2016]34号-1</t>
  </si>
  <si>
    <t xml:space="preserve"> 海口绿地鸿翔置业有限公司  </t>
  </si>
  <si>
    <t xml:space="preserve"> 16650.32</t>
  </si>
  <si>
    <t xml:space="preserve"> 9990.19 </t>
  </si>
  <si>
    <t xml:space="preserve"> 16682.44</t>
  </si>
  <si>
    <t xml:space="preserve"> 257.13</t>
  </si>
  <si>
    <t xml:space="preserve"> 257.63</t>
  </si>
  <si>
    <t xml:space="preserve"> 1543</t>
  </si>
  <si>
    <t xml:space="preserve"> 1546</t>
  </si>
  <si>
    <t xml:space="preserve"> 0.19</t>
  </si>
  <si>
    <t xml:space="preserve"> 住宅70年商业40年</t>
  </si>
  <si>
    <t xml:space="preserve"> A-17</t>
  </si>
  <si>
    <t xml:space="preserve"> 53531.85</t>
  </si>
  <si>
    <t xml:space="preserve"> 133829.60</t>
  </si>
  <si>
    <t xml:space="preserve"> 34[2016]34号-3</t>
  </si>
  <si>
    <t xml:space="preserve"> 16923.61</t>
  </si>
  <si>
    <t xml:space="preserve"> 10154.17 </t>
  </si>
  <si>
    <t xml:space="preserve"> 16956.70</t>
  </si>
  <si>
    <t xml:space="preserve"> 210.76</t>
  </si>
  <si>
    <t xml:space="preserve"> 211.17</t>
  </si>
  <si>
    <t xml:space="preserve"> 1265</t>
  </si>
  <si>
    <t xml:space="preserve"> 1267</t>
  </si>
  <si>
    <t xml:space="preserve"> 0.20</t>
  </si>
  <si>
    <t xml:space="preserve"> A-10</t>
  </si>
  <si>
    <t xml:space="preserve"> 56832.42</t>
  </si>
  <si>
    <t xml:space="preserve"> 142081.00</t>
  </si>
  <si>
    <t xml:space="preserve"> 34[2016]34号-2</t>
  </si>
  <si>
    <t xml:space="preserve"> 17976.09</t>
  </si>
  <si>
    <t xml:space="preserve"> 10785.66 </t>
  </si>
  <si>
    <t xml:space="preserve"> 18010.88</t>
  </si>
  <si>
    <t xml:space="preserve"> 210.87</t>
  </si>
  <si>
    <t xml:space="preserve"> 211.27</t>
  </si>
  <si>
    <t xml:space="preserve"> 1268</t>
  </si>
  <si>
    <t xml:space="preserve">海口市灵山镇  </t>
  </si>
  <si>
    <t xml:space="preserve"> A-05</t>
  </si>
  <si>
    <t xml:space="preserve"> 海口市灵山镇</t>
  </si>
  <si>
    <t xml:space="preserve"> 10830.02</t>
  </si>
  <si>
    <t xml:space="preserve"> 27075.05</t>
  </si>
  <si>
    <t xml:space="preserve"> 城镇住宅用地(二类居住兼容商业用地)</t>
  </si>
  <si>
    <t xml:space="preserve"> 2016-12-27</t>
  </si>
  <si>
    <t xml:space="preserve"> 33[2016]33号-1</t>
  </si>
  <si>
    <t xml:space="preserve"> 3411.46</t>
  </si>
  <si>
    <t xml:space="preserve"> 3411.46 </t>
  </si>
  <si>
    <t xml:space="preserve"> 3467.12</t>
  </si>
  <si>
    <t xml:space="preserve"> 210.00</t>
  </si>
  <si>
    <t xml:space="preserve"> 213.43</t>
  </si>
  <si>
    <t xml:space="preserve"> 1260</t>
  </si>
  <si>
    <t xml:space="preserve"> 1281</t>
  </si>
  <si>
    <t xml:space="preserve"> 1.63</t>
  </si>
  <si>
    <t xml:space="preserve"> 住宅至2084年11月25日;商业40年</t>
  </si>
  <si>
    <t xml:space="preserve"> A-32</t>
  </si>
  <si>
    <t xml:space="preserve"> 28557.58</t>
  </si>
  <si>
    <t xml:space="preserve"> 71393.95</t>
  </si>
  <si>
    <t xml:space="preserve"> ≤25</t>
  </si>
  <si>
    <t xml:space="preserve"> 33[2016]33号-2</t>
  </si>
  <si>
    <t xml:space="preserve"> 8847.14</t>
  </si>
  <si>
    <t xml:space="preserve"> 8847.14 </t>
  </si>
  <si>
    <t xml:space="preserve"> 8991.48</t>
  </si>
  <si>
    <t xml:space="preserve"> 206.53</t>
  </si>
  <si>
    <t xml:space="preserve"> 209.90</t>
  </si>
  <si>
    <t xml:space="preserve"> 1239</t>
  </si>
  <si>
    <t xml:space="preserve"> 1259</t>
  </si>
  <si>
    <t xml:space="preserve">美苑路以西、美祥路以南,下洋瓦灶棚户区改造项目  </t>
  </si>
  <si>
    <t xml:space="preserve"> C0503-1、C0505-1</t>
  </si>
  <si>
    <t xml:space="preserve"> 下洋村片区</t>
  </si>
  <si>
    <t xml:space="preserve"> 美苑路以西、美祥路以南,下洋瓦灶棚户区改造项目</t>
  </si>
  <si>
    <t xml:space="preserve"> 22148.12</t>
  </si>
  <si>
    <t xml:space="preserve"> 139164.20</t>
  </si>
  <si>
    <t xml:space="preserve"> 地块一:≤5.9;地块二:≤6.9</t>
  </si>
  <si>
    <t xml:space="preserve"> 地块一:≤30;地块二:≤40</t>
  </si>
  <si>
    <t xml:space="preserve"> ≤100</t>
  </si>
  <si>
    <t xml:space="preserve"> 2016-10-14</t>
  </si>
  <si>
    <t xml:space="preserve"> 2016-11-07</t>
  </si>
  <si>
    <t xml:space="preserve"> 28[2016]28号</t>
  </si>
  <si>
    <t xml:space="preserve"> 23701.16</t>
  </si>
  <si>
    <t xml:space="preserve"> 23701.16 </t>
  </si>
  <si>
    <t xml:space="preserve"> 35000.00</t>
  </si>
  <si>
    <t xml:space="preserve"> 713.41</t>
  </si>
  <si>
    <t xml:space="preserve"> 1053.51</t>
  </si>
  <si>
    <t xml:space="preserve"> 1703</t>
  </si>
  <si>
    <t xml:space="preserve"> 2515</t>
  </si>
  <si>
    <t xml:space="preserve"> 47.67</t>
  </si>
  <si>
    <t xml:space="preserve">海口市海甸一西路南侧  </t>
  </si>
  <si>
    <t xml:space="preserve"> 19</t>
  </si>
  <si>
    <t xml:space="preserve"> 海甸岛南片区</t>
  </si>
  <si>
    <t xml:space="preserve"> 海口市海甸一西路南侧</t>
  </si>
  <si>
    <t xml:space="preserve"> 1729.00</t>
  </si>
  <si>
    <t xml:space="preserve"> 4322.50</t>
  </si>
  <si>
    <t xml:space="preserve"> 城镇住宅用地、商业用地</t>
  </si>
  <si>
    <t xml:space="preserve"> 15.70 </t>
  </si>
  <si>
    <t xml:space="preserve"> ≤96</t>
  </si>
  <si>
    <t xml:space="preserve"> 2016-07-22</t>
  </si>
  <si>
    <t xml:space="preserve"> 2016-08-16</t>
  </si>
  <si>
    <t xml:space="preserve"> 19[2016]19号</t>
  </si>
  <si>
    <t xml:space="preserve"> 海口新城水岸房地产开发有限公司  </t>
  </si>
  <si>
    <t xml:space="preserve"> 1251.29</t>
  </si>
  <si>
    <t xml:space="preserve"> 1251.29 </t>
  </si>
  <si>
    <t xml:space="preserve"> 1311.29</t>
  </si>
  <si>
    <t xml:space="preserve"> 482.47</t>
  </si>
  <si>
    <t xml:space="preserve"> 505.61</t>
  </si>
  <si>
    <t xml:space="preserve"> 2895</t>
  </si>
  <si>
    <t xml:space="preserve"> 3034</t>
  </si>
  <si>
    <t xml:space="preserve"> 4.80</t>
  </si>
  <si>
    <t xml:space="preserve">市海甸岛沿江二西路南侧  </t>
  </si>
  <si>
    <t xml:space="preserve"> 市海甸岛沿江二西路南侧</t>
  </si>
  <si>
    <t xml:space="preserve"> 310.25</t>
  </si>
  <si>
    <t xml:space="preserve"> 1085.88</t>
  </si>
  <si>
    <t xml:space="preserve"> ≥1且≤3.5</t>
  </si>
  <si>
    <t xml:space="preserve"> 2016-05-31</t>
  </si>
  <si>
    <t xml:space="preserve"> 2016-06-24</t>
  </si>
  <si>
    <t xml:space="preserve"> 14[2016]14号</t>
  </si>
  <si>
    <t xml:space="preserve"> 海南厚土实业有限公司  </t>
  </si>
  <si>
    <t xml:space="preserve"> 214.04</t>
  </si>
  <si>
    <t xml:space="preserve"> 214.04 </t>
  </si>
  <si>
    <t xml:space="preserve"> 214.07</t>
  </si>
  <si>
    <t xml:space="preserve"> 459.93</t>
  </si>
  <si>
    <t xml:space="preserve"> 459.99</t>
  </si>
  <si>
    <t xml:space="preserve"> 1971</t>
  </si>
  <si>
    <t xml:space="preserve"> 0.01</t>
  </si>
  <si>
    <t xml:space="preserve">市国兴大道北侧、美苑路东侧、省委办公区西侧  </t>
  </si>
  <si>
    <t xml:space="preserve"> 市国兴大道北侧、美苑路东侧、省委办公区西侧</t>
  </si>
  <si>
    <t xml:space="preserve"> 110915.80</t>
  </si>
  <si>
    <t xml:space="preserve"> 410331.90</t>
  </si>
  <si>
    <t xml:space="preserve"> ≤3.7</t>
  </si>
  <si>
    <t xml:space="preserve"> 城镇住宅、商服</t>
  </si>
  <si>
    <t xml:space="preserve"> ≤39</t>
  </si>
  <si>
    <t xml:space="preserve"> 2016-05-15</t>
  </si>
  <si>
    <t xml:space="preserve"> 2016-06-08</t>
  </si>
  <si>
    <t xml:space="preserve"> 11[2016]11号</t>
  </si>
  <si>
    <t xml:space="preserve"> 海南盛达房地产开发有限公司  </t>
  </si>
  <si>
    <t xml:space="preserve"> 71500.00</t>
  </si>
  <si>
    <t xml:space="preserve"> 200265.09 </t>
  </si>
  <si>
    <t xml:space="preserve"> 72000.00</t>
  </si>
  <si>
    <t xml:space="preserve"> 429.76</t>
  </si>
  <si>
    <t xml:space="preserve"> 432.76</t>
  </si>
  <si>
    <t xml:space="preserve"> 1742</t>
  </si>
  <si>
    <t xml:space="preserve"> 1755</t>
  </si>
  <si>
    <t xml:space="preserve"> 0.70</t>
  </si>
  <si>
    <t xml:space="preserve"> 14804.98</t>
  </si>
  <si>
    <t xml:space="preserve"> 22207.47</t>
  </si>
  <si>
    <t xml:space="preserve"> ≥1且≤1.5</t>
  </si>
  <si>
    <t xml:space="preserve"> 二类居住用地</t>
  </si>
  <si>
    <t xml:space="preserve"> ≤20</t>
  </si>
  <si>
    <t xml:space="preserve"> ≤36</t>
  </si>
  <si>
    <t xml:space="preserve"> 2016-02-06</t>
  </si>
  <si>
    <t xml:space="preserve"> 2016-03-10</t>
  </si>
  <si>
    <t xml:space="preserve"> 3[2016]3号-1</t>
  </si>
  <si>
    <t xml:space="preserve"> 5075.30</t>
  </si>
  <si>
    <t xml:space="preserve"> 5075.30 </t>
  </si>
  <si>
    <t xml:space="preserve"> 5076.78</t>
  </si>
  <si>
    <t xml:space="preserve"> 228.54</t>
  </si>
  <si>
    <t xml:space="preserve"> 228.61</t>
  </si>
  <si>
    <t xml:space="preserve"> 2285</t>
  </si>
  <si>
    <t xml:space="preserve"> 2286</t>
  </si>
  <si>
    <t xml:space="preserve"> 0.03</t>
  </si>
  <si>
    <t xml:space="preserve"> 18530.34</t>
  </si>
  <si>
    <t xml:space="preserve"> 34744.39</t>
  </si>
  <si>
    <t xml:space="preserve"> ≥1且≤1.875</t>
  </si>
  <si>
    <t xml:space="preserve"> 商住混合用地</t>
  </si>
  <si>
    <t xml:space="preserve"> 3[2016]3号-2</t>
  </si>
  <si>
    <t xml:space="preserve"> 7549.63</t>
  </si>
  <si>
    <t xml:space="preserve"> 7549.63 </t>
  </si>
  <si>
    <t xml:space="preserve"> 7551.48</t>
  </si>
  <si>
    <t xml:space="preserve"> 271.61</t>
  </si>
  <si>
    <t xml:space="preserve"> 271.68</t>
  </si>
  <si>
    <t xml:space="preserve"> 2173</t>
  </si>
  <si>
    <t xml:space="preserve"> 0.02</t>
  </si>
  <si>
    <t xml:space="preserve">灵山镇  </t>
  </si>
  <si>
    <t xml:space="preserve"> 21</t>
  </si>
  <si>
    <t xml:space="preserve"> 灵山镇</t>
  </si>
  <si>
    <t xml:space="preserve"> 47259.34</t>
  </si>
  <si>
    <t xml:space="preserve"> 118148.40</t>
  </si>
  <si>
    <t xml:space="preserve"> ≤2.5</t>
  </si>
  <si>
    <t xml:space="preserve"> 批发零售用地(含商务金融、住宿餐饮、其他商服)兼容城镇住宅</t>
  </si>
  <si>
    <t xml:space="preserve"> 65.00 </t>
  </si>
  <si>
    <t xml:space="preserve"> ≤45</t>
  </si>
  <si>
    <t xml:space="preserve"> ≤40</t>
  </si>
  <si>
    <t xml:space="preserve"> 2015-09-30</t>
  </si>
  <si>
    <t xml:space="preserve"> 2015-11-05</t>
  </si>
  <si>
    <t xml:space="preserve"> 21[2015]21号</t>
  </si>
  <si>
    <t xml:space="preserve"> 14461.36</t>
  </si>
  <si>
    <t xml:space="preserve"> 14461.36 </t>
  </si>
  <si>
    <t xml:space="preserve"> 14481.36</t>
  </si>
  <si>
    <t xml:space="preserve"> 204.00</t>
  </si>
  <si>
    <t xml:space="preserve"> 204.28</t>
  </si>
  <si>
    <t xml:space="preserve"> 1224</t>
  </si>
  <si>
    <t xml:space="preserve"> 1226</t>
  </si>
  <si>
    <t xml:space="preserve"> 0.14</t>
  </si>
  <si>
    <t xml:space="preserve"> 20</t>
  </si>
  <si>
    <t xml:space="preserve"> 65479.34</t>
  </si>
  <si>
    <t xml:space="preserve"> 163698.30</t>
  </si>
  <si>
    <t xml:space="preserve"> ≥1,≤2.5</t>
  </si>
  <si>
    <t xml:space="preserve"> 商住用地</t>
  </si>
  <si>
    <t xml:space="preserve"> 2015-11-04</t>
  </si>
  <si>
    <t xml:space="preserve"> 20[2015]20号</t>
  </si>
  <si>
    <t xml:space="preserve"> 20272.40</t>
  </si>
  <si>
    <t xml:space="preserve"> 20272.40 </t>
  </si>
  <si>
    <t xml:space="preserve"> 206.40</t>
  </si>
  <si>
    <t xml:space="preserve"> 1238</t>
  </si>
  <si>
    <t xml:space="preserve">海口市新大洲大道西侧  </t>
  </si>
  <si>
    <t xml:space="preserve"> 18</t>
  </si>
  <si>
    <t xml:space="preserve"> 海口市新大洲大道西侧</t>
  </si>
  <si>
    <t xml:space="preserve"> 17361.29</t>
  </si>
  <si>
    <t xml:space="preserve"> 48611.61</t>
  </si>
  <si>
    <t xml:space="preserve"> ≥1,≤2.8</t>
  </si>
  <si>
    <t xml:space="preserve"> ≤80</t>
  </si>
  <si>
    <t xml:space="preserve"> 2015-09-16</t>
  </si>
  <si>
    <t xml:space="preserve"> 2015-09-15</t>
  </si>
  <si>
    <t xml:space="preserve"> 2015-10-15</t>
  </si>
  <si>
    <t xml:space="preserve"> 18[2015]18号</t>
  </si>
  <si>
    <t xml:space="preserve"> 海南新业乐房地产开发有限公司  </t>
  </si>
  <si>
    <t xml:space="preserve"> 6307.36</t>
  </si>
  <si>
    <t xml:space="preserve"> 6307.36 </t>
  </si>
  <si>
    <t xml:space="preserve"> 6309.09</t>
  </si>
  <si>
    <t xml:space="preserve"> 242.20</t>
  </si>
  <si>
    <t xml:space="preserve"> 242.27</t>
  </si>
  <si>
    <t xml:space="preserve"> 1298</t>
  </si>
  <si>
    <t xml:space="preserve">海口市滨江西路南北两侧  </t>
  </si>
  <si>
    <t xml:space="preserve"> 2</t>
  </si>
  <si>
    <t xml:space="preserve"> 滨江西南片区</t>
  </si>
  <si>
    <t xml:space="preserve"> 海口市滨江西路南北两侧</t>
  </si>
  <si>
    <t xml:space="preserve"> 88.21</t>
  </si>
  <si>
    <t xml:space="preserve"> 220.52</t>
  </si>
  <si>
    <t xml:space="preserve"> ≤18</t>
  </si>
  <si>
    <t xml:space="preserve"> 2015-09-02</t>
  </si>
  <si>
    <t xml:space="preserve"> 2015-09-29</t>
  </si>
  <si>
    <t xml:space="preserve"> 16[2015]16号-2</t>
  </si>
  <si>
    <t xml:space="preserve"> 海口凯利盛房地产开发有限公司  </t>
  </si>
  <si>
    <t xml:space="preserve"> 37.31</t>
  </si>
  <si>
    <t xml:space="preserve"> 37.31 </t>
  </si>
  <si>
    <t xml:space="preserve"> 37.32</t>
  </si>
  <si>
    <t xml:space="preserve"> 281.98</t>
  </si>
  <si>
    <t xml:space="preserve"> 282.05</t>
  </si>
  <si>
    <t xml:space="preserve"> 1692</t>
  </si>
  <si>
    <t>拿地成本单价</t>
    <phoneticPr fontId="225" type="noConversion"/>
  </si>
  <si>
    <t>——</t>
    <phoneticPr fontId="225" type="noConversion"/>
  </si>
  <si>
    <t>C-7-6</t>
  </si>
  <si>
    <t>美兰区</t>
    <phoneticPr fontId="3" type="noConversion"/>
  </si>
  <si>
    <t>美兰区</t>
    <phoneticPr fontId="3" type="noConversion"/>
  </si>
  <si>
    <t>龙华区</t>
    <phoneticPr fontId="3" type="noConversion"/>
  </si>
  <si>
    <r>
      <rPr>
        <sz val="9"/>
        <color rgb="FFFF0000"/>
        <rFont val="Verdana"/>
        <family val="2"/>
      </rPr>
      <t>住宅用地</t>
    </r>
  </si>
  <si>
    <r>
      <rPr>
        <sz val="9"/>
        <color rgb="FFFF0000"/>
        <rFont val="Verdana"/>
        <family val="2"/>
      </rPr>
      <t>二类居住用地</t>
    </r>
  </si>
  <si>
    <r>
      <rPr>
        <sz val="9"/>
        <color rgb="FFFF0000"/>
        <rFont val="Verdana"/>
        <family val="2"/>
      </rPr>
      <t>龙华区金垦</t>
    </r>
    <r>
      <rPr>
        <sz val="9"/>
        <color rgb="FFFF0000"/>
        <rFont val="Arial"/>
        <family val="2"/>
      </rPr>
      <t>/</t>
    </r>
    <r>
      <rPr>
        <sz val="9"/>
        <color rgb="FFFF0000"/>
        <rFont val="Verdana"/>
        <family val="2"/>
      </rPr>
      <t>坡博片区</t>
    </r>
  </si>
  <si>
    <r>
      <rPr>
        <sz val="9"/>
        <color rgb="FFFF0000"/>
        <rFont val="Verdana"/>
        <family val="2"/>
      </rPr>
      <t>城镇住宅</t>
    </r>
    <r>
      <rPr>
        <sz val="9"/>
        <color rgb="FFFF0000"/>
        <rFont val="Arial"/>
        <family val="2"/>
      </rPr>
      <t>-</t>
    </r>
    <r>
      <rPr>
        <sz val="9"/>
        <color rgb="FFFF0000"/>
        <rFont val="Verdana"/>
        <family val="2"/>
      </rPr>
      <t>普通商品住房用地</t>
    </r>
  </si>
  <si>
    <r>
      <rPr>
        <sz val="9"/>
        <color rgb="FFFF0000"/>
        <rFont val="Verdana"/>
        <family val="2"/>
      </rPr>
      <t>大于或等于</t>
    </r>
    <r>
      <rPr>
        <sz val="9"/>
        <color rgb="FFFF0000"/>
        <rFont val="Arial"/>
        <family val="2"/>
      </rPr>
      <t>1</t>
    </r>
    <r>
      <rPr>
        <sz val="9"/>
        <color rgb="FFFF0000"/>
        <rFont val="Verdana"/>
        <family val="2"/>
      </rPr>
      <t>并且小于或等于</t>
    </r>
    <r>
      <rPr>
        <sz val="9"/>
        <color rgb="FFFF0000"/>
        <rFont val="Arial"/>
        <family val="2"/>
      </rPr>
      <t>3</t>
    </r>
  </si>
  <si>
    <r>
      <rPr>
        <sz val="10"/>
        <color rgb="FFFF0000"/>
        <rFont val="宋体"/>
        <family val="2"/>
      </rPr>
      <t>海口市龙华区金牛岭南侧</t>
    </r>
    <phoneticPr fontId="225" type="noConversion"/>
  </si>
  <si>
    <r>
      <rPr>
        <sz val="10"/>
        <color rgb="FFFF0000"/>
        <rFont val="宋体"/>
        <family val="2"/>
      </rPr>
      <t>海口市金牛岭片区</t>
    </r>
    <r>
      <rPr>
        <sz val="10"/>
        <color rgb="FFFF0000"/>
        <rFont val="Arial"/>
        <family val="2"/>
      </rPr>
      <t>B-1-54</t>
    </r>
    <r>
      <rPr>
        <sz val="10"/>
        <color rgb="FFFF0000"/>
        <rFont val="宋体"/>
        <family val="2"/>
      </rPr>
      <t>地块金垦</t>
    </r>
    <r>
      <rPr>
        <sz val="10"/>
        <color rgb="FFFF0000"/>
        <rFont val="Arial"/>
        <family val="2"/>
      </rPr>
      <t>/</t>
    </r>
    <r>
      <rPr>
        <sz val="10"/>
        <color rgb="FFFF0000"/>
        <rFont val="宋体"/>
        <family val="2"/>
      </rPr>
      <t>坡博片区</t>
    </r>
    <phoneticPr fontId="225" type="noConversion"/>
  </si>
  <si>
    <r>
      <t xml:space="preserve"> </t>
    </r>
    <r>
      <rPr>
        <sz val="10"/>
        <color rgb="FFFF0000"/>
        <rFont val="宋体"/>
        <family val="2"/>
      </rPr>
      <t>住宅用地</t>
    </r>
  </si>
  <si>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2.6</t>
    </r>
    <phoneticPr fontId="225" type="noConversion"/>
  </si>
  <si>
    <r>
      <rPr>
        <sz val="10"/>
        <color rgb="FFFF0000"/>
        <rFont val="宋体"/>
        <family val="2"/>
      </rPr>
      <t>海南吉祥置业有限公司</t>
    </r>
    <phoneticPr fontId="225" type="noConversion"/>
  </si>
  <si>
    <r>
      <t xml:space="preserve"> 70</t>
    </r>
    <r>
      <rPr>
        <sz val="10"/>
        <color rgb="FFFF0000"/>
        <rFont val="宋体"/>
        <family val="2"/>
      </rPr>
      <t>年</t>
    </r>
  </si>
  <si>
    <r>
      <rPr>
        <sz val="10"/>
        <color rgb="FFFF0000"/>
        <rFont val="宋体"/>
        <family val="2"/>
      </rPr>
      <t>海口市和平大道东侧</t>
    </r>
    <r>
      <rPr>
        <sz val="10"/>
        <color rgb="FFFF0000"/>
        <rFont val="Arial"/>
        <family val="2"/>
      </rPr>
      <t>H0406</t>
    </r>
    <r>
      <rPr>
        <sz val="10"/>
        <color rgb="FFFF0000"/>
        <rFont val="宋体"/>
        <family val="2"/>
      </rPr>
      <t>地块</t>
    </r>
    <r>
      <rPr>
        <sz val="10"/>
        <color rgb="FFFF0000"/>
        <rFont val="Arial"/>
        <family val="2"/>
      </rPr>
      <t xml:space="preserve">   </t>
    </r>
  </si>
  <si>
    <r>
      <rPr>
        <sz val="10"/>
        <color rgb="FFFF0000"/>
        <rFont val="宋体"/>
        <family val="2"/>
      </rPr>
      <t>海口市</t>
    </r>
  </si>
  <si>
    <r>
      <t xml:space="preserve"> </t>
    </r>
    <r>
      <rPr>
        <sz val="10"/>
        <color rgb="FFFF0000"/>
        <rFont val="宋体"/>
        <family val="2"/>
      </rPr>
      <t>海南省</t>
    </r>
  </si>
  <si>
    <r>
      <t xml:space="preserve"> </t>
    </r>
    <r>
      <rPr>
        <sz val="10"/>
        <color rgb="FFFF0000"/>
        <rFont val="宋体"/>
        <family val="2"/>
      </rPr>
      <t>海口市海甸岛片区</t>
    </r>
    <r>
      <rPr>
        <sz val="10"/>
        <color rgb="FFFF0000"/>
        <rFont val="Arial"/>
        <family val="2"/>
      </rPr>
      <t>H0406</t>
    </r>
    <r>
      <rPr>
        <sz val="10"/>
        <color rgb="FFFF0000"/>
        <rFont val="宋体"/>
        <family val="2"/>
      </rPr>
      <t>地块</t>
    </r>
  </si>
  <si>
    <r>
      <t xml:space="preserve"> </t>
    </r>
    <r>
      <rPr>
        <sz val="10"/>
        <color rgb="FFFF0000"/>
        <rFont val="宋体"/>
        <family val="2"/>
      </rPr>
      <t>美兰区</t>
    </r>
  </si>
  <si>
    <r>
      <t xml:space="preserve"> </t>
    </r>
    <r>
      <rPr>
        <sz val="10"/>
        <color rgb="FFFF0000"/>
        <rFont val="宋体"/>
        <family val="2"/>
      </rPr>
      <t>海甸岛北片区</t>
    </r>
  </si>
  <si>
    <r>
      <t xml:space="preserve"> </t>
    </r>
    <r>
      <rPr>
        <sz val="10"/>
        <color rgb="FFFF0000"/>
        <rFont val="宋体"/>
        <family val="2"/>
      </rPr>
      <t>海口市和平大道东侧</t>
    </r>
    <r>
      <rPr>
        <sz val="10"/>
        <color rgb="FFFF0000"/>
        <rFont val="Arial"/>
        <family val="2"/>
      </rPr>
      <t>H0406</t>
    </r>
    <r>
      <rPr>
        <sz val="10"/>
        <color rgb="FFFF0000"/>
        <rFont val="宋体"/>
        <family val="2"/>
      </rPr>
      <t>地块</t>
    </r>
  </si>
  <si>
    <r>
      <t xml:space="preserve"> </t>
    </r>
    <r>
      <rPr>
        <sz val="10"/>
        <color rgb="FFFF0000"/>
        <rFont val="宋体"/>
        <family val="2"/>
      </rPr>
      <t>大于或等于</t>
    </r>
    <r>
      <rPr>
        <sz val="10"/>
        <color rgb="FFFF0000"/>
        <rFont val="Arial"/>
        <family val="2"/>
      </rPr>
      <t>1</t>
    </r>
    <r>
      <rPr>
        <sz val="10"/>
        <color rgb="FFFF0000"/>
        <rFont val="宋体"/>
        <family val="2"/>
      </rPr>
      <t>并且小于或等于</t>
    </r>
    <r>
      <rPr>
        <sz val="10"/>
        <color rgb="FFFF0000"/>
        <rFont val="Arial"/>
        <family val="2"/>
      </rPr>
      <t>2</t>
    </r>
  </si>
  <si>
    <r>
      <t xml:space="preserve"> </t>
    </r>
    <r>
      <rPr>
        <sz val="10"/>
        <color rgb="FFFF0000"/>
        <rFont val="宋体"/>
        <family val="2"/>
      </rPr>
      <t>挂牌</t>
    </r>
  </si>
  <si>
    <r>
      <t xml:space="preserve"> </t>
    </r>
    <r>
      <rPr>
        <sz val="10"/>
        <color rgb="FFFF0000"/>
        <rFont val="宋体"/>
        <family val="2"/>
      </rPr>
      <t>城镇住宅</t>
    </r>
    <r>
      <rPr>
        <sz val="10"/>
        <color rgb="FFFF0000"/>
        <rFont val="Arial"/>
        <family val="2"/>
      </rPr>
      <t>-</t>
    </r>
    <r>
      <rPr>
        <sz val="10"/>
        <color rgb="FFFF0000"/>
        <rFont val="宋体"/>
        <family val="2"/>
      </rPr>
      <t>普通商品住房用地</t>
    </r>
  </si>
  <si>
    <r>
      <t xml:space="preserve"> </t>
    </r>
    <r>
      <rPr>
        <sz val="10"/>
        <color rgb="FFFF0000"/>
        <rFont val="宋体"/>
        <family val="2"/>
      </rPr>
      <t>小于或等于</t>
    </r>
    <r>
      <rPr>
        <sz val="10"/>
        <color rgb="FFFF0000"/>
        <rFont val="Arial"/>
        <family val="2"/>
      </rPr>
      <t>35</t>
    </r>
  </si>
  <si>
    <r>
      <t xml:space="preserve"> </t>
    </r>
    <r>
      <rPr>
        <sz val="10"/>
        <color rgb="FFFF0000"/>
        <rFont val="宋体"/>
        <family val="2"/>
      </rPr>
      <t>网挂【</t>
    </r>
    <r>
      <rPr>
        <sz val="10"/>
        <color rgb="FFFF0000"/>
        <rFont val="Arial"/>
        <family val="2"/>
      </rPr>
      <t>2021</t>
    </r>
    <r>
      <rPr>
        <sz val="10"/>
        <color rgb="FFFF0000"/>
        <rFont val="宋体"/>
        <family val="2"/>
      </rPr>
      <t>】</t>
    </r>
    <r>
      <rPr>
        <sz val="10"/>
        <color rgb="FFFF0000"/>
        <rFont val="Arial"/>
        <family val="2"/>
      </rPr>
      <t>097[2021]97</t>
    </r>
    <r>
      <rPr>
        <sz val="10"/>
        <color rgb="FFFF0000"/>
        <rFont val="宋体"/>
        <family val="2"/>
      </rPr>
      <t>号</t>
    </r>
  </si>
  <si>
    <r>
      <t xml:space="preserve"> </t>
    </r>
    <r>
      <rPr>
        <sz val="10"/>
        <color rgb="FFFF0000"/>
        <rFont val="宋体"/>
        <family val="2"/>
      </rPr>
      <t>已成交</t>
    </r>
  </si>
  <si>
    <r>
      <t xml:space="preserve"> </t>
    </r>
    <r>
      <rPr>
        <sz val="10"/>
        <color rgb="FFFF0000"/>
        <rFont val="宋体"/>
        <family val="2"/>
      </rPr>
      <t>海南新投置业有限公司</t>
    </r>
    <r>
      <rPr>
        <sz val="10"/>
        <color rgb="FFFF0000"/>
        <rFont val="Arial"/>
        <family val="2"/>
      </rPr>
      <t xml:space="preserve">  </t>
    </r>
  </si>
  <si>
    <r>
      <t xml:space="preserve"> </t>
    </r>
    <r>
      <rPr>
        <sz val="10"/>
        <color rgb="FFFF0000"/>
        <rFont val="宋体"/>
        <family val="2"/>
      </rPr>
      <t>海南新投置业有限公司</t>
    </r>
  </si>
  <si>
    <r>
      <rPr>
        <sz val="10"/>
        <color rgb="FFFF0000"/>
        <rFont val="宋体"/>
        <family val="2"/>
      </rPr>
      <t>海口市坡博坡巷棚改片区</t>
    </r>
    <r>
      <rPr>
        <sz val="10"/>
        <color rgb="FFFF0000"/>
        <rFont val="Arial"/>
        <family val="2"/>
      </rPr>
      <t>C-7-6</t>
    </r>
    <r>
      <rPr>
        <sz val="10"/>
        <color rgb="FFFF0000"/>
        <rFont val="宋体"/>
        <family val="2"/>
      </rPr>
      <t>地块</t>
    </r>
    <phoneticPr fontId="225" type="noConversion"/>
  </si>
  <si>
    <r>
      <rPr>
        <sz val="10"/>
        <color rgb="FFFF0000"/>
        <rFont val="宋体"/>
        <family val="2"/>
      </rPr>
      <t>海口中海兴业房地产开发有限公司</t>
    </r>
    <phoneticPr fontId="225" type="noConversion"/>
  </si>
  <si>
    <t>住宅</t>
    <phoneticPr fontId="26" type="noConversion"/>
  </si>
  <si>
    <t>楼面地价</t>
  </si>
  <si>
    <t>好</t>
  </si>
  <si>
    <t>较规则</t>
  </si>
  <si>
    <t>较规则</t>
    <phoneticPr fontId="26" type="noConversion"/>
  </si>
  <si>
    <t>较适宜</t>
  </si>
  <si>
    <t>较适宜</t>
    <phoneticPr fontId="26" type="noConversion"/>
  </si>
  <si>
    <t>六通</t>
    <phoneticPr fontId="26" type="noConversion"/>
  </si>
  <si>
    <t>较好</t>
    <phoneticPr fontId="26" type="noConversion"/>
  </si>
  <si>
    <t>比较法-住宅、综合</t>
  </si>
  <si>
    <t>剩余法-待开发</t>
  </si>
  <si>
    <t>叠拼</t>
    <phoneticPr fontId="21" type="noConversion"/>
  </si>
  <si>
    <t>洋房</t>
    <phoneticPr fontId="21" type="noConversion"/>
  </si>
  <si>
    <t>高层</t>
  </si>
  <si>
    <t>高层</t>
    <phoneticPr fontId="21" type="noConversion"/>
  </si>
  <si>
    <t>汇元江海汇</t>
    <phoneticPr fontId="3" type="noConversion"/>
  </si>
  <si>
    <t>滨海丽景二期</t>
    <phoneticPr fontId="3" type="noConversion"/>
  </si>
  <si>
    <t>宝源花园三期</t>
    <phoneticPr fontId="3" type="noConversion"/>
  </si>
  <si>
    <t>龙华区</t>
    <phoneticPr fontId="3" type="noConversion"/>
  </si>
  <si>
    <t>已部分缴纳</t>
  </si>
  <si>
    <t>海口市国用（2013）第000970号</t>
    <phoneticPr fontId="225" type="noConversion"/>
  </si>
  <si>
    <t>情况3</t>
  </si>
  <si>
    <t>自行开发建设</t>
  </si>
  <si>
    <t>非个人房产</t>
  </si>
  <si>
    <t>出让金+开发费</t>
  </si>
  <si>
    <t>是否临海</t>
    <phoneticPr fontId="21" type="noConversion"/>
  </si>
  <si>
    <t>是</t>
    <phoneticPr fontId="21" type="noConversion"/>
  </si>
  <si>
    <t>否</t>
    <phoneticPr fontId="21" type="noConversion"/>
  </si>
  <si>
    <t>否</t>
    <phoneticPr fontId="21" type="noConversion"/>
  </si>
  <si>
    <t>是</t>
    <phoneticPr fontId="3" type="noConversion"/>
  </si>
  <si>
    <t>否</t>
    <phoneticPr fontId="3" type="noConversion"/>
  </si>
  <si>
    <t>70</t>
    <phoneticPr fontId="26" type="noConversion"/>
  </si>
  <si>
    <t>五通</t>
  </si>
  <si>
    <t>五通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</si>
</sst>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sz val="10"/>
      <color theme="1"/>
      <name val="宋体"/>
      <family val="2"/>
      <scheme val="minor"/>
    </font>
    <font>
      <sz val="10"/>
      <color rgb="FFFF0000"/>
      <name val="宋体"/>
      <family val="2"/>
      <scheme val="minor"/>
    </font>
    <font>
      <sz val="9"/>
      <color rgb="FFFF0000"/>
      <name val="Verdana"/>
      <family val="2"/>
    </font>
    <font>
      <sz val="9"/>
      <color rgb="FFFF0000"/>
      <name val="Arial"/>
      <family val="2"/>
    </font>
    <font>
      <sz val="10"/>
      <color rgb="FFFF0000"/>
      <name val="宋体"/>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vertical="center" wrapText="1"/>
    </xf>
    <xf numFmtId="14" fontId="161" fillId="0" borderId="0" xfId="0" applyNumberFormat="1" applyFont="1" applyAlignment="1">
      <alignment vertical="center" wrapText="1"/>
    </xf>
    <xf numFmtId="0" fontId="161" fillId="0" borderId="0" xfId="0" applyFont="1" applyAlignment="1">
      <alignment horizontal="left" vertical="center" wrapText="1"/>
    </xf>
    <xf numFmtId="1" fontId="161" fillId="0" borderId="0" xfId="0" applyNumberFormat="1" applyFont="1" applyAlignment="1">
      <alignment vertical="center" wrapText="1"/>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281" fillId="0" borderId="0" xfId="0" applyNumberFormat="1" applyFont="1" applyAlignment="1"/>
    <xf numFmtId="0" fontId="161" fillId="0" borderId="0" xfId="0" applyNumberFormat="1" applyFont="1" applyAlignment="1"/>
    <xf numFmtId="0" fontId="282" fillId="0" borderId="0" xfId="0" applyNumberFormat="1" applyFont="1" applyAlignment="1"/>
    <xf numFmtId="0" fontId="167" fillId="0" borderId="0" xfId="0" applyNumberFormat="1" applyFont="1" applyAlignment="1"/>
    <xf numFmtId="0" fontId="155" fillId="0" borderId="0" xfId="0" applyNumberFormat="1" applyFont="1" applyAlignment="1">
      <alignment horizontal="left"/>
    </xf>
    <xf numFmtId="0" fontId="284" fillId="0" borderId="0" xfId="0" applyFont="1" applyAlignment="1">
      <alignment horizontal="left" vertical="center"/>
    </xf>
    <xf numFmtId="14" fontId="155" fillId="0" borderId="0" xfId="0" applyNumberFormat="1" applyFont="1" applyAlignment="1">
      <alignment horizontal="left"/>
    </xf>
    <xf numFmtId="10" fontId="284" fillId="0" borderId="0" xfId="0" applyNumberFormat="1" applyFont="1" applyAlignment="1">
      <alignment horizontal="left" vertical="center"/>
    </xf>
    <xf numFmtId="0" fontId="284" fillId="0" borderId="0" xfId="0" applyNumberFormat="1" applyFont="1" applyAlignment="1">
      <alignment horizontal="left" vertical="center"/>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177" fontId="150" fillId="0" borderId="12" xfId="2" applyNumberFormat="1" applyFont="1" applyFill="1" applyBorder="1" applyAlignment="1" applyProtection="1">
      <alignment horizontal="center" vertical="center"/>
      <protection locked="0"/>
    </xf>
    <xf numFmtId="9" fontId="155" fillId="0" borderId="5"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22"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4</xdr:col>
      <xdr:colOff>399602</xdr:colOff>
      <xdr:row>108</xdr:row>
      <xdr:rowOff>104171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753975"/>
          <a:ext cx="3580952" cy="4828571"/>
        </a:xfrm>
        <a:prstGeom prst="rect">
          <a:avLst/>
        </a:prstGeom>
      </xdr:spPr>
    </xdr:pic>
    <xdr:clientData/>
  </xdr:twoCellAnchor>
  <xdr:twoCellAnchor editAs="oneCell">
    <xdr:from>
      <xdr:col>7</xdr:col>
      <xdr:colOff>0</xdr:colOff>
      <xdr:row>62</xdr:row>
      <xdr:rowOff>0</xdr:rowOff>
    </xdr:from>
    <xdr:to>
      <xdr:col>12</xdr:col>
      <xdr:colOff>323374</xdr:colOff>
      <xdr:row>95</xdr:row>
      <xdr:rowOff>75562</xdr:rowOff>
    </xdr:to>
    <xdr:pic>
      <xdr:nvPicPr>
        <xdr:cNvPr id="3" name="图片 2"/>
        <xdr:cNvPicPr>
          <a:picLocks noChangeAspect="1"/>
        </xdr:cNvPicPr>
      </xdr:nvPicPr>
      <xdr:blipFill>
        <a:blip xmlns:r="http://schemas.openxmlformats.org/officeDocument/2006/relationships" r:embed="rId2"/>
        <a:stretch>
          <a:fillRect/>
        </a:stretch>
      </xdr:blipFill>
      <xdr:spPr>
        <a:xfrm>
          <a:off x="5267325" y="10467975"/>
          <a:ext cx="3809524" cy="5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7</xdr:col>
      <xdr:colOff>584209</xdr:colOff>
      <xdr:row>23</xdr:row>
      <xdr:rowOff>27894</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0"/>
          <a:ext cx="5318134" cy="3971244"/>
        </a:xfrm>
        <a:prstGeom prst="rect">
          <a:avLst/>
        </a:prstGeom>
      </xdr:spPr>
    </xdr:pic>
    <xdr:clientData/>
  </xdr:twoCellAnchor>
  <xdr:twoCellAnchor editAs="oneCell">
    <xdr:from>
      <xdr:col>8</xdr:col>
      <xdr:colOff>98490</xdr:colOff>
      <xdr:row>0</xdr:row>
      <xdr:rowOff>19050</xdr:rowOff>
    </xdr:from>
    <xdr:to>
      <xdr:col>16</xdr:col>
      <xdr:colOff>35771</xdr:colOff>
      <xdr:row>23</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5584890" y="19050"/>
          <a:ext cx="5423681" cy="4010025"/>
        </a:xfrm>
        <a:prstGeom prst="rect">
          <a:avLst/>
        </a:prstGeom>
      </xdr:spPr>
    </xdr:pic>
    <xdr:clientData/>
  </xdr:twoCellAnchor>
  <xdr:twoCellAnchor editAs="oneCell">
    <xdr:from>
      <xdr:col>16</xdr:col>
      <xdr:colOff>152400</xdr:colOff>
      <xdr:row>1</xdr:row>
      <xdr:rowOff>0</xdr:rowOff>
    </xdr:from>
    <xdr:to>
      <xdr:col>23</xdr:col>
      <xdr:colOff>122968</xdr:colOff>
      <xdr:row>22</xdr:row>
      <xdr:rowOff>130339</xdr:rowOff>
    </xdr:to>
    <xdr:pic>
      <xdr:nvPicPr>
        <xdr:cNvPr id="4" name="图片 3"/>
        <xdr:cNvPicPr>
          <a:picLocks noChangeAspect="1"/>
        </xdr:cNvPicPr>
      </xdr:nvPicPr>
      <xdr:blipFill>
        <a:blip xmlns:r="http://schemas.openxmlformats.org/officeDocument/2006/relationships" r:embed="rId3"/>
        <a:stretch>
          <a:fillRect/>
        </a:stretch>
      </xdr:blipFill>
      <xdr:spPr>
        <a:xfrm>
          <a:off x="11125200" y="171450"/>
          <a:ext cx="4771168" cy="3730789"/>
        </a:xfrm>
        <a:prstGeom prst="rect">
          <a:avLst/>
        </a:prstGeom>
      </xdr:spPr>
    </xdr:pic>
    <xdr:clientData/>
  </xdr:twoCellAnchor>
  <xdr:twoCellAnchor editAs="oneCell">
    <xdr:from>
      <xdr:col>0</xdr:col>
      <xdr:colOff>0</xdr:colOff>
      <xdr:row>24</xdr:row>
      <xdr:rowOff>23260</xdr:rowOff>
    </xdr:from>
    <xdr:to>
      <xdr:col>8</xdr:col>
      <xdr:colOff>590550</xdr:colOff>
      <xdr:row>48</xdr:row>
      <xdr:rowOff>65992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38060"/>
          <a:ext cx="6076950" cy="4157532"/>
        </a:xfrm>
        <a:prstGeom prst="rect">
          <a:avLst/>
        </a:prstGeom>
      </xdr:spPr>
    </xdr:pic>
    <xdr:clientData/>
  </xdr:twoCellAnchor>
  <xdr:twoCellAnchor editAs="oneCell">
    <xdr:from>
      <xdr:col>9</xdr:col>
      <xdr:colOff>0</xdr:colOff>
      <xdr:row>24</xdr:row>
      <xdr:rowOff>0</xdr:rowOff>
    </xdr:from>
    <xdr:to>
      <xdr:col>21</xdr:col>
      <xdr:colOff>484686</xdr:colOff>
      <xdr:row>49</xdr:row>
      <xdr:rowOff>170893</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0" y="4114800"/>
          <a:ext cx="8714286" cy="4457143"/>
        </a:xfrm>
        <a:prstGeom prst="rect">
          <a:avLst/>
        </a:prstGeom>
      </xdr:spPr>
    </xdr:pic>
    <xdr:clientData/>
  </xdr:twoCellAnchor>
  <xdr:twoCellAnchor editAs="oneCell">
    <xdr:from>
      <xdr:col>0</xdr:col>
      <xdr:colOff>0</xdr:colOff>
      <xdr:row>50</xdr:row>
      <xdr:rowOff>0</xdr:rowOff>
    </xdr:from>
    <xdr:to>
      <xdr:col>17</xdr:col>
      <xdr:colOff>569971</xdr:colOff>
      <xdr:row>82</xdr:row>
      <xdr:rowOff>104076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572500"/>
          <a:ext cx="12228571" cy="5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48</xdr:col>
      <xdr:colOff>0</xdr:colOff>
      <xdr:row>1</xdr:row>
      <xdr:rowOff>0</xdr:rowOff>
    </xdr:from>
    <xdr:to>
      <xdr:col>58</xdr:col>
      <xdr:colOff>37219</xdr:colOff>
      <xdr:row>33</xdr:row>
      <xdr:rowOff>47006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16925925" y="152400"/>
          <a:ext cx="7047619"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0301&#22320;&#22359;&#65288;0202&#6528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57094.65</v>
          </cell>
        </row>
      </sheetData>
      <sheetData sheetId="17"/>
      <sheetData sheetId="18">
        <row r="8">
          <cell r="C8">
            <v>21374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海南省海口市新埠岛出让国有建设用地使用权抵押价格预评估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受贵公司委托，我公司对海南省海口市新埠岛出让国有建设用地使用权抵押价格进行了预评估。</v>
      </c>
      <c r="AM6" s="2540"/>
    </row>
    <row r="7" spans="1:55" s="2514" customFormat="1">
      <c r="A7" s="2515" t="s">
        <v>2374</v>
      </c>
      <c r="B7" s="2516" t="str">
        <f>'预评函-1'!A6</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2022年6月23日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根据《国有土地使用证》[]，估价对象（分摊）出让国有建设用地使用权面积为97473.98平方米。根据《建设工程规划许可证》[]、《出让合同》[]，估价对象规划建筑面积为51575.14平方米。</v>
      </c>
    </row>
    <row r="16" spans="1:55" s="2514" customFormat="1">
      <c r="A16" s="2515" t="s">
        <v>2386</v>
      </c>
      <c r="B16" s="251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6月23日，在规划利用条件下、设定土地开发程度为红线外“七通”、宗地内场地平整，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估价期日：2022年6月23日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红线外七通、宗地红线内场地平整</v>
      </c>
    </row>
    <row r="39" spans="1:2">
      <c r="A39" s="2515" t="s">
        <v>2436</v>
      </c>
      <c r="B39" s="2516" t="str">
        <f>'预评函-2'!L5</f>
        <v>红线外七通、宗地红线内场地平整</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97473.98</v>
      </c>
    </row>
    <row r="44" spans="1:2">
      <c r="A44" s="2515" t="s">
        <v>2457</v>
      </c>
      <c r="B44" s="2516" t="str">
        <f>'预评函-2'!O3</f>
        <v>规划建筑面积/㎡</v>
      </c>
    </row>
    <row r="45" spans="1:2">
      <c r="A45" s="2515" t="s">
        <v>2439</v>
      </c>
      <c r="B45" s="2516">
        <f>'预评函-2'!O5</f>
        <v>51575.14</v>
      </c>
    </row>
    <row r="46" spans="1:2">
      <c r="A46" s="2515" t="s">
        <v>2440</v>
      </c>
      <c r="B46" s="2516">
        <f ca="1">'预评函-2'!P5</f>
        <v>4671</v>
      </c>
    </row>
    <row r="47" spans="1:2">
      <c r="A47" s="2515" t="s">
        <v>2441</v>
      </c>
      <c r="B47" s="2516">
        <f ca="1">'预评函-2'!Q5</f>
        <v>8827</v>
      </c>
    </row>
    <row r="48" spans="1:2">
      <c r="A48" s="2515" t="s">
        <v>2442</v>
      </c>
      <c r="B48" s="2516">
        <f ca="1">'预评函-2'!R5</f>
        <v>45527</v>
      </c>
    </row>
    <row r="49" spans="1:2">
      <c r="A49" s="2515" t="s">
        <v>2458</v>
      </c>
      <c r="B49" s="2516" t="str">
        <f>'预评函-2'!A6</f>
        <v>抵押价格</v>
      </c>
    </row>
    <row r="50" spans="1:2">
      <c r="A50" s="2515" t="s">
        <v>2443</v>
      </c>
      <c r="B50" s="2516">
        <f ca="1">'预评函-2'!R6</f>
        <v>45527</v>
      </c>
    </row>
    <row r="51" spans="1:2">
      <c r="A51" s="2515" t="s">
        <v>2459</v>
      </c>
      <c r="B51" s="2516" t="str">
        <f>'预评函-2'!A7</f>
        <v>——</v>
      </c>
    </row>
    <row r="52" spans="1:2">
      <c r="A52" s="2515" t="s">
        <v>2444</v>
      </c>
      <c r="B52" s="2516" t="str">
        <f>'预评函-2'!R7</f>
        <v>——</v>
      </c>
    </row>
    <row r="53" spans="1:2">
      <c r="A53" s="2515" t="s">
        <v>2460</v>
      </c>
      <c r="B53" s="2516" t="str">
        <f>'预评函-2'!A8</f>
        <v>抵押净值</v>
      </c>
    </row>
    <row r="54" spans="1:2" s="2530" customFormat="1" ht="15" thickBot="1">
      <c r="A54" s="2537" t="s">
        <v>2445</v>
      </c>
      <c r="B54" s="2538">
        <f ca="1">'预评函-2'!R8</f>
        <v>41676</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2.基础设施条件：估价对象实际开发程度为红线外七通、宗地红线内场地平整；本次评估设定开发程度为红线外七通、宗地红线内场地平整。</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综上，本次评估不存在估价师知悉的法定优先受偿款</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I49" sqref="I49"/>
    </sheetView>
  </sheetViews>
  <sheetFormatPr defaultColWidth="10" defaultRowHeight="14.25"/>
  <cols>
    <col min="1" max="1" width="15.375" style="1566" customWidth="1"/>
    <col min="2" max="2" width="11.375" style="1566" customWidth="1"/>
    <col min="3" max="3" width="12.625" style="1566" customWidth="1"/>
    <col min="4" max="4" width="11.62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5" customWidth="1"/>
    <col min="12" max="13" width="10" style="2976" customWidth="1"/>
    <col min="14" max="14" width="10" style="2961" customWidth="1"/>
    <col min="15" max="15" width="10" style="2977" customWidth="1"/>
    <col min="16" max="17" width="10" style="2961"/>
    <col min="18" max="18" width="10" style="2961" customWidth="1"/>
    <col min="19" max="28" width="10" style="2961"/>
    <col min="29" max="16384" width="10" style="1566"/>
  </cols>
  <sheetData>
    <row r="1" spans="1:21" ht="15" thickBot="1">
      <c r="A1" s="1539" t="s">
        <v>1729</v>
      </c>
      <c r="B1" s="3501" t="str">
        <f>IF(B10="北京市","北京市",C10)&amp;F10&amp;B16&amp;"国有建设用地使用权"&amp;B9&amp;"预评估"</f>
        <v>海南省海口市新埠岛出让国有建设用地使用权抵押价格预评估</v>
      </c>
      <c r="C1" s="3502"/>
      <c r="D1" s="3502"/>
      <c r="E1" s="3502"/>
      <c r="F1" s="3502"/>
      <c r="G1" s="3502"/>
      <c r="H1" s="3502"/>
      <c r="I1" s="3503"/>
      <c r="J1" s="2979"/>
      <c r="K1" s="2262" t="str">
        <f>IF(B10="北京市","北京市",C10)&amp;F10&amp;B16&amp;"国有建设用地使用权"&amp;B9</f>
        <v>海南省海口市新埠岛出让国有建设用地使用权抵押价格</v>
      </c>
      <c r="L1" s="2958"/>
      <c r="M1" s="2958"/>
      <c r="N1" s="2959"/>
      <c r="O1" s="2960"/>
      <c r="P1" s="2959"/>
      <c r="Q1" s="2959"/>
      <c r="R1" s="2959"/>
      <c r="S1" s="2959"/>
      <c r="T1" s="2959"/>
      <c r="U1" s="2959"/>
    </row>
    <row r="2" spans="1:21">
      <c r="A2" s="1540" t="s">
        <v>1730</v>
      </c>
      <c r="B2" s="1708"/>
      <c r="D2" s="2979"/>
      <c r="E2" s="2979"/>
      <c r="F2" s="2979"/>
      <c r="G2" s="2979"/>
      <c r="H2" s="2980"/>
      <c r="I2" s="2981"/>
      <c r="J2" s="2979"/>
      <c r="K2" s="2262" t="str">
        <f>IF(B10="北京市","北京市",C10)&amp;F10&amp;B16&amp;"国有建设用地使用权"</f>
        <v>海南省海口市新埠岛出让国有建设用地使用权</v>
      </c>
      <c r="L2" s="2958"/>
      <c r="M2" s="2958"/>
      <c r="N2" s="2959"/>
      <c r="O2" s="2960"/>
      <c r="P2" s="2959"/>
      <c r="Q2" s="2959"/>
      <c r="R2" s="2959"/>
      <c r="S2" s="2959"/>
      <c r="T2" s="2959"/>
      <c r="U2" s="2959"/>
    </row>
    <row r="3" spans="1:21">
      <c r="A3" s="1541" t="s">
        <v>1731</v>
      </c>
      <c r="B3" s="1542"/>
      <c r="C3" s="2902" t="s">
        <v>1787</v>
      </c>
      <c r="D3" s="1542">
        <v>44735</v>
      </c>
      <c r="E3" s="2979"/>
      <c r="F3" s="2979"/>
      <c r="G3" s="2979"/>
      <c r="H3" s="2980"/>
      <c r="I3" s="2981"/>
      <c r="J3" s="2979"/>
      <c r="K3" s="2962"/>
      <c r="L3" s="2958"/>
      <c r="M3" s="2958"/>
      <c r="N3" s="2959"/>
      <c r="O3" s="2960"/>
      <c r="P3" s="2959"/>
      <c r="Q3" s="2959"/>
      <c r="R3" s="2959"/>
      <c r="S3" s="2959"/>
      <c r="T3" s="2959"/>
      <c r="U3" s="2959"/>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79"/>
      <c r="K4" s="2262" t="str">
        <f>IF(AND(F4="——",H4="——"),B4&amp;"、"&amp;D4,IF(AND(F4&lt;&gt;"——",H4="——"),B4&amp;"、"&amp;D4&amp;"、"&amp;F4,B4&amp;"、"&amp;D4&amp;"、"&amp;F4&amp;"、"&amp;H4))</f>
        <v>土地估价师、土地估价师</v>
      </c>
      <c r="L4" s="2958"/>
      <c r="M4" s="2958"/>
      <c r="N4" s="2959"/>
      <c r="O4" s="2960"/>
      <c r="P4" s="2959"/>
      <c r="Q4" s="2959"/>
      <c r="R4" s="2959"/>
      <c r="S4" s="2959"/>
      <c r="T4" s="2959"/>
      <c r="U4" s="2959"/>
    </row>
    <row r="5" spans="1:21" ht="15" thickTop="1">
      <c r="A5" s="1545" t="s">
        <v>1733</v>
      </c>
      <c r="B5" s="1656"/>
      <c r="C5" s="1546"/>
      <c r="D5" s="1547"/>
      <c r="E5" s="2979"/>
      <c r="F5" s="2979"/>
      <c r="G5" s="2979"/>
      <c r="H5" s="2980"/>
      <c r="I5" s="2981"/>
      <c r="J5" s="2979"/>
      <c r="K5" s="2962"/>
      <c r="L5" s="2958"/>
      <c r="M5" s="2958"/>
      <c r="N5" s="2959"/>
      <c r="O5" s="2960"/>
      <c r="P5" s="2959"/>
      <c r="Q5" s="2959"/>
      <c r="R5" s="2959"/>
      <c r="S5" s="2959"/>
      <c r="T5" s="2959"/>
      <c r="U5" s="2959"/>
    </row>
    <row r="6" spans="1:21" ht="26.25">
      <c r="A6" s="1543" t="s">
        <v>2423</v>
      </c>
      <c r="B6" s="1656"/>
      <c r="C6" s="1631"/>
      <c r="D6" s="1548"/>
      <c r="E6" s="2979"/>
      <c r="F6" s="2979"/>
      <c r="G6" s="2979"/>
      <c r="H6" s="2980"/>
      <c r="I6" s="2981"/>
      <c r="J6" s="2979"/>
      <c r="K6" s="2963" t="str">
        <f>IF(COUNTIF(B6,"*上海银行*"),"上海银行","")</f>
        <v/>
      </c>
      <c r="L6" s="2958"/>
      <c r="M6" s="2958"/>
      <c r="N6" s="2959"/>
      <c r="O6" s="2960"/>
      <c r="P6" s="2959"/>
      <c r="Q6" s="2959"/>
      <c r="R6" s="2959"/>
      <c r="S6" s="2959"/>
      <c r="T6" s="2959"/>
      <c r="U6" s="2959"/>
    </row>
    <row r="7" spans="1:21">
      <c r="A7" s="1549" t="s">
        <v>2424</v>
      </c>
      <c r="B7" s="1656"/>
      <c r="C7" s="1631"/>
      <c r="D7" s="1548"/>
      <c r="E7" s="2979"/>
      <c r="F7" s="2979"/>
      <c r="G7" s="2979"/>
      <c r="H7" s="2980"/>
      <c r="I7" s="2981"/>
      <c r="J7" s="2979"/>
      <c r="K7" s="2962"/>
      <c r="L7" s="2958"/>
      <c r="M7" s="2958"/>
      <c r="N7" s="2959"/>
      <c r="O7" s="2960"/>
      <c r="P7" s="2959"/>
      <c r="Q7" s="2959"/>
      <c r="R7" s="2959"/>
      <c r="S7" s="2959"/>
      <c r="T7" s="2959"/>
      <c r="U7" s="2959"/>
    </row>
    <row r="8" spans="1:21">
      <c r="A8" s="2903" t="s">
        <v>1734</v>
      </c>
      <c r="B8" s="1550" t="s">
        <v>2683</v>
      </c>
      <c r="C8" s="1551"/>
      <c r="D8" s="3507" t="s">
        <v>1736</v>
      </c>
      <c r="E8" s="1710" t="s">
        <v>3113</v>
      </c>
      <c r="F8" s="1552"/>
      <c r="G8" s="2980"/>
      <c r="H8" s="2980"/>
      <c r="I8" s="2983"/>
      <c r="J8" s="2979"/>
      <c r="K8" s="2962"/>
      <c r="L8" s="2958"/>
      <c r="M8" s="2958"/>
      <c r="N8" s="2959"/>
      <c r="O8" s="2960"/>
      <c r="P8" s="2959"/>
      <c r="Q8" s="2959"/>
      <c r="R8" s="2959"/>
      <c r="S8" s="2959"/>
      <c r="T8" s="2959"/>
      <c r="U8" s="2959"/>
    </row>
    <row r="9" spans="1:21" ht="15" thickBot="1">
      <c r="A9" s="2904" t="s">
        <v>1735</v>
      </c>
      <c r="B9" s="1553" t="s">
        <v>3113</v>
      </c>
      <c r="C9" s="1554"/>
      <c r="D9" s="3508"/>
      <c r="E9" s="1553" t="s">
        <v>2567</v>
      </c>
      <c r="F9" s="1617"/>
      <c r="G9" s="2984"/>
      <c r="H9" s="2984"/>
      <c r="I9" s="2985"/>
      <c r="J9" s="2979"/>
      <c r="K9" s="2962"/>
      <c r="L9" s="2958"/>
      <c r="M9" s="2958"/>
      <c r="N9" s="2959"/>
      <c r="O9" s="2960"/>
      <c r="P9" s="2959"/>
      <c r="Q9" s="2959"/>
      <c r="R9" s="2959"/>
      <c r="S9" s="2959"/>
      <c r="T9" s="2959"/>
      <c r="U9" s="2959"/>
    </row>
    <row r="10" spans="1:21" ht="15" thickTop="1">
      <c r="A10" s="2905" t="s">
        <v>1791</v>
      </c>
      <c r="B10" s="1593" t="s">
        <v>3114</v>
      </c>
      <c r="C10" s="1555" t="s">
        <v>3223</v>
      </c>
      <c r="D10" s="1547"/>
      <c r="E10" s="1556" t="s">
        <v>1738</v>
      </c>
      <c r="F10" s="1557" t="s">
        <v>3222</v>
      </c>
      <c r="G10" s="1615"/>
      <c r="H10" s="1616"/>
      <c r="I10" s="1547"/>
      <c r="J10" s="2979"/>
      <c r="K10" s="2962"/>
      <c r="L10" s="2958"/>
      <c r="M10" s="2958"/>
      <c r="N10" s="2959"/>
      <c r="O10" s="2960"/>
      <c r="P10" s="2959"/>
      <c r="Q10" s="2959"/>
      <c r="R10" s="2959"/>
      <c r="S10" s="2959"/>
      <c r="T10" s="2959"/>
      <c r="U10" s="2959"/>
    </row>
    <row r="11" spans="1:21">
      <c r="A11" s="2906" t="s">
        <v>1792</v>
      </c>
      <c r="B11" s="1572" t="s">
        <v>3115</v>
      </c>
      <c r="C11" s="1558"/>
      <c r="D11" s="1632"/>
      <c r="E11" s="2978"/>
      <c r="F11" s="2978"/>
      <c r="G11" s="2978"/>
      <c r="H11" s="2978"/>
      <c r="I11" s="2978"/>
      <c r="J11" s="2979"/>
      <c r="K11" s="2962"/>
      <c r="L11" s="2958"/>
      <c r="M11" s="2958"/>
      <c r="N11" s="2959"/>
      <c r="O11" s="2960"/>
      <c r="P11" s="2959"/>
      <c r="Q11" s="2959"/>
      <c r="R11" s="2959"/>
      <c r="S11" s="2959"/>
      <c r="T11" s="2959"/>
      <c r="U11" s="2959"/>
    </row>
    <row r="12" spans="1:21">
      <c r="A12" s="1652" t="s">
        <v>1850</v>
      </c>
      <c r="B12" s="3504"/>
      <c r="C12" s="3505"/>
      <c r="D12" s="3506"/>
      <c r="E12" s="1573" t="s">
        <v>1853</v>
      </c>
      <c r="F12" s="3522" t="s">
        <v>2602</v>
      </c>
      <c r="G12" s="3523"/>
      <c r="H12" s="3523"/>
      <c r="I12" s="3524"/>
      <c r="J12" s="2979"/>
      <c r="K12" s="2962"/>
      <c r="L12" s="2958"/>
      <c r="M12" s="2958"/>
      <c r="N12" s="2959"/>
      <c r="O12" s="2960"/>
      <c r="P12" s="2959"/>
      <c r="Q12" s="2959"/>
      <c r="R12" s="2959"/>
      <c r="S12" s="2959"/>
      <c r="T12" s="2959"/>
      <c r="U12" s="2959"/>
    </row>
    <row r="13" spans="1:21">
      <c r="A13" s="1564" t="s">
        <v>1851</v>
      </c>
      <c r="B13" s="3504"/>
      <c r="C13" s="3505"/>
      <c r="D13" s="3506"/>
      <c r="E13" s="1573" t="s">
        <v>1853</v>
      </c>
      <c r="F13" s="3522" t="s">
        <v>2603</v>
      </c>
      <c r="G13" s="3523"/>
      <c r="H13" s="3523"/>
      <c r="I13" s="3524"/>
      <c r="J13" s="2979"/>
      <c r="K13" s="2962"/>
      <c r="L13" s="2958"/>
      <c r="M13" s="2958"/>
      <c r="N13" s="2959"/>
      <c r="O13" s="2960"/>
      <c r="P13" s="2959"/>
      <c r="Q13" s="2959"/>
      <c r="R13" s="2959"/>
      <c r="S13" s="2959"/>
      <c r="T13" s="2959"/>
      <c r="U13" s="2959"/>
    </row>
    <row r="14" spans="1:21">
      <c r="A14" s="1541" t="s">
        <v>1854</v>
      </c>
      <c r="B14" s="1573"/>
      <c r="C14" s="1711"/>
      <c r="D14" s="1607" t="str">
        <f>IF(C14="不一致","是否符合证载地类范围","")</f>
        <v/>
      </c>
      <c r="E14" s="1573"/>
      <c r="F14" s="1657"/>
      <c r="G14" s="1602"/>
      <c r="H14" s="1602"/>
      <c r="I14" s="1704"/>
      <c r="J14" s="2979"/>
      <c r="K14" s="2962"/>
      <c r="L14" s="2958"/>
      <c r="M14" s="2958"/>
      <c r="N14" s="2959"/>
      <c r="O14" s="2960"/>
      <c r="P14" s="2959"/>
      <c r="Q14" s="2959"/>
      <c r="R14" s="2959"/>
      <c r="S14" s="2959"/>
      <c r="T14" s="2959"/>
      <c r="U14" s="2959"/>
    </row>
    <row r="15" spans="1:21" hidden="1">
      <c r="A15" s="2407"/>
      <c r="B15" s="1543"/>
      <c r="C15" s="1543"/>
      <c r="D15" s="1636" t="s">
        <v>1741</v>
      </c>
      <c r="E15" s="1636" t="s">
        <v>1742</v>
      </c>
      <c r="F15" s="1636" t="s">
        <v>1743</v>
      </c>
      <c r="G15" s="1563" t="s">
        <v>1744</v>
      </c>
      <c r="H15" s="1563" t="s">
        <v>1745</v>
      </c>
      <c r="I15" s="1563" t="s">
        <v>1746</v>
      </c>
      <c r="J15" s="2979"/>
      <c r="K15" s="2962"/>
      <c r="L15" s="2958"/>
      <c r="M15" s="2958"/>
      <c r="N15" s="2959"/>
      <c r="O15" s="2960"/>
      <c r="P15" s="2959"/>
      <c r="Q15" s="2959"/>
      <c r="R15" s="2959"/>
      <c r="S15" s="2959"/>
      <c r="T15" s="2959"/>
      <c r="U15" s="2959"/>
    </row>
    <row r="16" spans="1:21" ht="28.5">
      <c r="A16" s="2907" t="s">
        <v>1739</v>
      </c>
      <c r="B16" s="1559" t="s">
        <v>3224</v>
      </c>
      <c r="C16" s="1573" t="s">
        <v>1740</v>
      </c>
      <c r="D16" s="2408" t="s">
        <v>1741</v>
      </c>
      <c r="E16" s="1596"/>
      <c r="F16" s="1596"/>
      <c r="G16" s="1596" t="s">
        <v>3218</v>
      </c>
      <c r="H16" s="1596"/>
      <c r="I16" s="1563" t="s">
        <v>1746</v>
      </c>
      <c r="J16" s="2979"/>
      <c r="K16" s="2263" t="str">
        <f>IF(D17="","",D16&amp;TEXT(D17,"yyyy年m月d日;;"))</f>
        <v>住宅2077年9月11日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车库2057年9月11日</v>
      </c>
      <c r="R16" s="1573" t="str">
        <f>IF(OR(Q16="",S16=""),"","、")</f>
        <v/>
      </c>
      <c r="S16" s="2263" t="str">
        <f>IF(H17="","",H16&amp;TEXT(H17,"yyyy年m月d日;;"))</f>
        <v/>
      </c>
      <c r="T16" s="1573" t="str">
        <f>IF(OR(S16="",U16=""),"","、")</f>
        <v/>
      </c>
      <c r="U16" s="2263" t="str">
        <f>IF(I17="","",I16&amp;TEXT(I17,"yyyy年m月d日;;"))</f>
        <v/>
      </c>
    </row>
    <row r="17" spans="1:21">
      <c r="A17" s="1633"/>
      <c r="B17" s="1560"/>
      <c r="C17" s="2908" t="s">
        <v>1747</v>
      </c>
      <c r="D17" s="1574">
        <f>面积表!G2</f>
        <v>64904</v>
      </c>
      <c r="E17" s="1574"/>
      <c r="F17" s="1574"/>
      <c r="G17" s="1574">
        <v>57599</v>
      </c>
      <c r="H17" s="1574"/>
      <c r="I17" s="1574"/>
      <c r="J17" s="2979"/>
      <c r="K17" s="2957" t="str">
        <f>CONCATENATE(K16,L16,M16,N16,O16,P16,Q16,R16,S16,T16,,U16)</f>
        <v>住宅2077年9月11日车库2057年9月11日</v>
      </c>
      <c r="L17" s="2958"/>
      <c r="M17" s="2958"/>
      <c r="N17" s="2959"/>
      <c r="O17" s="2960"/>
      <c r="P17" s="2959"/>
      <c r="Q17" s="2959"/>
      <c r="R17" s="2959"/>
      <c r="S17" s="2959"/>
      <c r="T17" s="2959"/>
      <c r="U17" s="2959"/>
    </row>
    <row r="18" spans="1:21">
      <c r="A18" s="1633"/>
      <c r="B18" s="1560"/>
      <c r="C18" s="2908" t="s">
        <v>1748</v>
      </c>
      <c r="D18" s="1561">
        <v>70</v>
      </c>
      <c r="E18" s="1561"/>
      <c r="F18" s="1561"/>
      <c r="G18" s="1561">
        <v>50</v>
      </c>
      <c r="H18" s="1561"/>
      <c r="I18" s="1561"/>
      <c r="J18" s="2979"/>
      <c r="K18" s="2962"/>
      <c r="L18" s="2958"/>
      <c r="M18" s="2958"/>
      <c r="N18" s="2959"/>
      <c r="O18" s="2960"/>
      <c r="P18" s="2959"/>
      <c r="Q18" s="2959"/>
      <c r="R18" s="2959"/>
      <c r="S18" s="2959"/>
      <c r="T18" s="2959"/>
      <c r="U18" s="2959"/>
    </row>
    <row r="19" spans="1:21">
      <c r="A19" s="1633"/>
      <c r="B19" s="1560"/>
      <c r="C19" s="1540" t="s">
        <v>1749</v>
      </c>
      <c r="D19" s="1628">
        <f>IF(B16="出让",IF(D17="","",ROUNDDOWN(MIN((D17-$D$3)/365,D18),2)),D18)</f>
        <v>55.25</v>
      </c>
      <c r="E19" s="1562" t="str">
        <f>IF(B16="出让",IF(E17="","",ROUNDDOWN(MIN((E17-$D$3)/365,E18),2)),E18)</f>
        <v/>
      </c>
      <c r="F19" s="1562" t="str">
        <f>IF(B16="出让",IF(F17="","",ROUNDDOWN(MIN((F17-$D$3)/365,F18),2)),F18)</f>
        <v/>
      </c>
      <c r="G19" s="1562">
        <f>IF(B16="出让",IF(G17="","",ROUNDDOWN(MIN((G17-$D$3)/365,G18),2)),G18)</f>
        <v>35.24</v>
      </c>
      <c r="H19" s="1562" t="str">
        <f>IF(B16="出让",IF(H17="","",ROUNDDOWN(MIN((H17-$D$3)/365,H18),2)),H18)</f>
        <v/>
      </c>
      <c r="I19" s="1562" t="str">
        <f>IF(B16="出让",IF(I17="","",ROUNDDOWN(MIN((I17-$D$3)/365,I18),2)),I18)</f>
        <v/>
      </c>
      <c r="J19" s="2979"/>
      <c r="K19" s="2962"/>
      <c r="L19" s="2958"/>
      <c r="M19" s="2958"/>
      <c r="N19" s="2959"/>
      <c r="O19" s="2960"/>
      <c r="P19" s="2959"/>
      <c r="Q19" s="2959"/>
      <c r="R19" s="2959"/>
      <c r="S19" s="2959"/>
      <c r="T19" s="2959"/>
      <c r="U19" s="2959"/>
    </row>
    <row r="20" spans="1:21">
      <c r="A20" s="1653"/>
      <c r="B20" s="1654"/>
      <c r="C20" s="1655" t="s">
        <v>1852</v>
      </c>
      <c r="D20" s="3519"/>
      <c r="E20" s="3520"/>
      <c r="F20" s="3520"/>
      <c r="G20" s="3520"/>
      <c r="H20" s="3520"/>
      <c r="I20" s="3521"/>
      <c r="J20" s="2979"/>
      <c r="K20" s="2962"/>
      <c r="L20" s="2958"/>
      <c r="M20" s="2958"/>
      <c r="N20" s="2959"/>
      <c r="O20" s="2960"/>
      <c r="P20" s="2959"/>
      <c r="Q20" s="2959"/>
      <c r="R20" s="2959"/>
      <c r="S20" s="2959"/>
      <c r="T20" s="2959"/>
      <c r="U20" s="2959"/>
    </row>
    <row r="21" spans="1:21">
      <c r="A21" s="1633" t="s">
        <v>1750</v>
      </c>
      <c r="B21" s="1634" t="s">
        <v>1751</v>
      </c>
      <c r="C21" s="1629">
        <f>'数据-汇总表'!E3</f>
        <v>51575.14</v>
      </c>
      <c r="D21" s="1630" t="s">
        <v>1752</v>
      </c>
      <c r="E21" s="3509" t="s">
        <v>1790</v>
      </c>
      <c r="F21" s="3510"/>
      <c r="G21" s="3510"/>
      <c r="H21" s="3510"/>
      <c r="I21" s="3511"/>
      <c r="J21" s="2979"/>
      <c r="K21" s="2962"/>
      <c r="L21" s="2958"/>
      <c r="M21" s="2958"/>
      <c r="N21" s="2959"/>
      <c r="O21" s="2960"/>
      <c r="P21" s="2959"/>
      <c r="Q21" s="2959"/>
      <c r="R21" s="2959"/>
      <c r="S21" s="2959"/>
      <c r="T21" s="2959"/>
      <c r="U21" s="2959"/>
    </row>
    <row r="22" spans="1:21">
      <c r="A22" s="2717" t="s">
        <v>931</v>
      </c>
      <c r="B22" s="1541" t="s">
        <v>1753</v>
      </c>
      <c r="C22" s="1563">
        <f>'数据-汇总表'!D3</f>
        <v>97473.98</v>
      </c>
      <c r="D22" s="1564" t="s">
        <v>1752</v>
      </c>
      <c r="E22" s="3509" t="s">
        <v>2604</v>
      </c>
      <c r="F22" s="3510"/>
      <c r="G22" s="3510"/>
      <c r="H22" s="3510"/>
      <c r="I22" s="3511"/>
      <c r="J22" s="2979"/>
      <c r="K22" s="2962"/>
      <c r="L22" s="2958"/>
      <c r="M22" s="2958"/>
      <c r="N22" s="2959"/>
      <c r="O22" s="2960"/>
      <c r="P22" s="2959"/>
      <c r="Q22" s="2959"/>
      <c r="R22" s="2959"/>
      <c r="S22" s="2959"/>
      <c r="T22" s="2959"/>
      <c r="U22" s="2959"/>
    </row>
    <row r="23" spans="1:21" ht="43.5" thickBot="1">
      <c r="A23" s="1635" t="s">
        <v>1754</v>
      </c>
      <c r="B23" s="1575" t="s">
        <v>1755</v>
      </c>
      <c r="C23" s="1576"/>
      <c r="D23" s="1577" t="s">
        <v>1756</v>
      </c>
      <c r="E23" s="1578"/>
      <c r="F23" s="1579" t="str">
        <f>IF(AND(C23="是",E23="否"),"是否提供他项权证或相关说明","")</f>
        <v/>
      </c>
      <c r="G23" s="1580"/>
      <c r="H23" s="2979"/>
      <c r="I23" s="2983"/>
      <c r="J23" s="2979"/>
      <c r="K23" s="2962"/>
      <c r="L23" s="2958"/>
      <c r="M23" s="2958"/>
      <c r="N23" s="2959"/>
      <c r="O23" s="2960"/>
      <c r="P23" s="2959"/>
      <c r="Q23" s="2959"/>
      <c r="R23" s="2959"/>
      <c r="S23" s="2959"/>
      <c r="T23" s="2959"/>
      <c r="U23" s="2959"/>
    </row>
    <row r="24" spans="1:21">
      <c r="A24" s="1620" t="s">
        <v>1757</v>
      </c>
      <c r="B24" s="3512" t="s">
        <v>1758</v>
      </c>
      <c r="C24" s="3513"/>
      <c r="D24" s="3514" t="s">
        <v>1759</v>
      </c>
      <c r="E24" s="3515"/>
      <c r="F24" s="1582" t="s">
        <v>1760</v>
      </c>
      <c r="G24" s="2979"/>
      <c r="H24" s="2979"/>
      <c r="I24" s="2983"/>
      <c r="J24" s="2979"/>
      <c r="K24" s="3500"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59"/>
      <c r="O24" s="2960"/>
      <c r="P24" s="2959"/>
      <c r="Q24" s="2959"/>
      <c r="R24" s="2959"/>
      <c r="S24" s="2959"/>
      <c r="T24" s="2959"/>
      <c r="U24" s="2959"/>
    </row>
    <row r="25" spans="1:21" ht="28.5">
      <c r="A25" s="1621"/>
      <c r="B25" s="1618" t="s">
        <v>2115</v>
      </c>
      <c r="C25" s="1583" t="s">
        <v>1762</v>
      </c>
      <c r="D25" s="1584"/>
      <c r="E25" s="1585" t="s">
        <v>931</v>
      </c>
      <c r="F25" s="1586"/>
      <c r="G25" s="2979"/>
      <c r="H25" s="2979"/>
      <c r="I25" s="2983"/>
      <c r="J25" s="2979"/>
      <c r="K25" s="3500"/>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59"/>
      <c r="O25" s="2960"/>
      <c r="P25" s="2959"/>
      <c r="Q25" s="2959"/>
      <c r="R25" s="2959"/>
      <c r="S25" s="2959"/>
      <c r="T25" s="2959"/>
      <c r="U25" s="2959"/>
    </row>
    <row r="26" spans="1:21" ht="29.25" thickBot="1">
      <c r="A26" s="1622"/>
      <c r="B26" s="1619" t="s">
        <v>1763</v>
      </c>
      <c r="C26" s="1583" t="s">
        <v>2116</v>
      </c>
      <c r="D26" s="2980"/>
      <c r="E26" s="2980"/>
      <c r="F26" s="2986"/>
      <c r="G26" s="2979"/>
      <c r="H26" s="2979"/>
      <c r="I26" s="2983"/>
      <c r="J26" s="2979"/>
      <c r="K26" s="3500"/>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59"/>
      <c r="O26" s="2960"/>
      <c r="P26" s="2959"/>
      <c r="Q26" s="2959"/>
      <c r="R26" s="2959"/>
      <c r="S26" s="2959"/>
      <c r="T26" s="2959"/>
      <c r="U26" s="2959"/>
    </row>
    <row r="27" spans="1:21">
      <c r="A27" s="1625" t="s">
        <v>1764</v>
      </c>
      <c r="B27" s="1623" t="s">
        <v>1765</v>
      </c>
      <c r="C27" s="1587"/>
      <c r="D27" s="2413" t="s">
        <v>1765</v>
      </c>
      <c r="E27" s="1588"/>
      <c r="F27" s="2986"/>
      <c r="G27" s="2979"/>
      <c r="H27" s="2979"/>
      <c r="I27" s="2983"/>
      <c r="J27" s="2979"/>
      <c r="K27" s="2962"/>
      <c r="L27" s="2958"/>
      <c r="M27" s="2958"/>
      <c r="N27" s="2959"/>
      <c r="O27" s="2960"/>
      <c r="P27" s="2959"/>
      <c r="Q27" s="2959"/>
      <c r="R27" s="2959"/>
      <c r="S27" s="2959"/>
      <c r="T27" s="2959"/>
      <c r="U27" s="2959"/>
    </row>
    <row r="28" spans="1:21">
      <c r="A28" s="1626"/>
      <c r="B28" s="1623" t="s">
        <v>1766</v>
      </c>
      <c r="C28" s="1589"/>
      <c r="D28" s="2414" t="s">
        <v>1766</v>
      </c>
      <c r="E28" s="1590"/>
      <c r="F28" s="2986"/>
      <c r="G28" s="2979"/>
      <c r="H28" s="2979"/>
      <c r="I28" s="2983"/>
      <c r="J28" s="2979"/>
      <c r="K28" s="2962"/>
      <c r="L28" s="2958"/>
      <c r="M28" s="2958"/>
      <c r="N28" s="2959"/>
      <c r="O28" s="2960"/>
      <c r="P28" s="2959"/>
      <c r="Q28" s="2959"/>
      <c r="R28" s="2959"/>
      <c r="S28" s="2959"/>
      <c r="T28" s="2959"/>
      <c r="U28" s="2959"/>
    </row>
    <row r="29" spans="1:21">
      <c r="A29" s="1626"/>
      <c r="B29" s="1623" t="s">
        <v>1767</v>
      </c>
      <c r="C29" s="1589"/>
      <c r="D29" s="2414" t="s">
        <v>1767</v>
      </c>
      <c r="E29" s="1590"/>
      <c r="F29" s="2986"/>
      <c r="G29" s="2979"/>
      <c r="H29" s="2979"/>
      <c r="I29" s="2983"/>
      <c r="J29" s="2979"/>
      <c r="K29" s="2962"/>
      <c r="L29" s="2958"/>
      <c r="M29" s="2958"/>
      <c r="N29" s="2959"/>
      <c r="O29" s="2960"/>
      <c r="P29" s="2959"/>
      <c r="Q29" s="2959"/>
      <c r="R29" s="2959"/>
      <c r="S29" s="2959"/>
      <c r="T29" s="2959"/>
      <c r="U29" s="2959"/>
    </row>
    <row r="30" spans="1:21" ht="15" thickBot="1">
      <c r="A30" s="1627"/>
      <c r="B30" s="1624" t="s">
        <v>1768</v>
      </c>
      <c r="C30" s="1591"/>
      <c r="D30" s="2415" t="s">
        <v>1768</v>
      </c>
      <c r="E30" s="1592"/>
      <c r="F30" s="2987"/>
      <c r="G30" s="2984"/>
      <c r="H30" s="2984"/>
      <c r="I30" s="2985"/>
      <c r="J30" s="2979"/>
      <c r="K30" s="2962"/>
      <c r="L30" s="2958"/>
      <c r="M30" s="2958"/>
      <c r="N30" s="2959"/>
      <c r="O30" s="2960"/>
      <c r="P30" s="2959"/>
      <c r="Q30" s="2959"/>
      <c r="R30" s="2959"/>
      <c r="S30" s="2959"/>
      <c r="T30" s="2959"/>
      <c r="U30" s="2959"/>
    </row>
    <row r="31" spans="1:21" ht="15" thickTop="1">
      <c r="A31" s="3527" t="s">
        <v>1793</v>
      </c>
      <c r="B31" s="1634" t="s">
        <v>1794</v>
      </c>
      <c r="C31" s="3525" t="s">
        <v>3225</v>
      </c>
      <c r="D31" s="3526"/>
      <c r="E31" s="2979"/>
      <c r="F31" s="2979"/>
      <c r="G31" s="2979"/>
      <c r="H31" s="2979"/>
      <c r="I31" s="2983"/>
      <c r="J31" s="2979"/>
      <c r="K31" s="2965"/>
      <c r="L31" s="2959"/>
      <c r="M31" s="2959"/>
      <c r="N31" s="2959"/>
      <c r="O31" s="2959"/>
      <c r="P31" s="2959"/>
      <c r="Q31" s="2959"/>
      <c r="R31" s="2959"/>
      <c r="S31" s="2959"/>
      <c r="T31" s="2959"/>
      <c r="U31" s="2959"/>
    </row>
    <row r="32" spans="1:21">
      <c r="A32" s="3527"/>
      <c r="B32" s="1541" t="s">
        <v>1795</v>
      </c>
      <c r="C32" s="1593"/>
      <c r="D32" s="1594"/>
      <c r="E32" s="2979"/>
      <c r="F32" s="2979"/>
      <c r="G32" s="2979"/>
      <c r="H32" s="2979"/>
      <c r="I32" s="2983"/>
      <c r="J32" s="2979"/>
      <c r="K32" s="2965"/>
      <c r="L32" s="2959"/>
      <c r="M32" s="2959"/>
      <c r="N32" s="2959"/>
      <c r="O32" s="2959"/>
      <c r="P32" s="2959"/>
      <c r="Q32" s="2959"/>
      <c r="R32" s="2959"/>
      <c r="S32" s="2959"/>
      <c r="T32" s="2959"/>
      <c r="U32" s="2959"/>
    </row>
    <row r="33" spans="1:28">
      <c r="A33" s="3527"/>
      <c r="B33" s="1541" t="s">
        <v>1796</v>
      </c>
      <c r="C33" s="1595"/>
      <c r="D33" s="1705"/>
      <c r="E33" s="2979"/>
      <c r="F33" s="2979"/>
      <c r="G33" s="2979"/>
      <c r="H33" s="2979"/>
      <c r="I33" s="2983"/>
      <c r="J33" s="2979"/>
      <c r="K33" s="2965"/>
      <c r="L33" s="2959"/>
      <c r="M33" s="2959"/>
      <c r="N33" s="2959"/>
      <c r="O33" s="2959"/>
      <c r="P33" s="2959"/>
      <c r="Q33" s="2959"/>
      <c r="R33" s="2959"/>
      <c r="S33" s="2959"/>
      <c r="T33" s="2959"/>
      <c r="U33" s="2959"/>
    </row>
    <row r="34" spans="1:28">
      <c r="A34" s="3528"/>
      <c r="B34" s="1541" t="s">
        <v>1797</v>
      </c>
      <c r="C34" s="3529"/>
      <c r="D34" s="3530"/>
      <c r="E34" s="2979"/>
      <c r="F34" s="2979"/>
      <c r="G34" s="2979"/>
      <c r="H34" s="2979"/>
      <c r="I34" s="2983"/>
      <c r="J34" s="2979"/>
      <c r="K34" s="2965"/>
      <c r="L34" s="2959"/>
      <c r="M34" s="2959"/>
      <c r="N34" s="2959"/>
      <c r="O34" s="2959"/>
      <c r="P34" s="2959"/>
      <c r="Q34" s="2959"/>
      <c r="R34" s="2959"/>
      <c r="S34" s="2959"/>
      <c r="T34" s="2959"/>
      <c r="U34" s="2959"/>
    </row>
    <row r="35" spans="1:28">
      <c r="A35" s="3531" t="s">
        <v>827</v>
      </c>
      <c r="B35" s="1596" t="s">
        <v>3226</v>
      </c>
      <c r="C35" s="1643" t="str">
        <f>IF(B35="场地平整","——","具体情况：")</f>
        <v>——</v>
      </c>
      <c r="D35" s="3533"/>
      <c r="E35" s="3534"/>
      <c r="F35" s="3534"/>
      <c r="G35" s="3534"/>
      <c r="H35" s="3534"/>
      <c r="I35" s="3535"/>
      <c r="J35" s="2979"/>
      <c r="K35" s="2966"/>
      <c r="L35" s="2958"/>
      <c r="M35" s="2958"/>
      <c r="N35" s="2959"/>
      <c r="O35" s="2960"/>
      <c r="P35" s="2959"/>
      <c r="Q35" s="2959"/>
      <c r="R35" s="2959"/>
      <c r="S35" s="2959"/>
      <c r="T35" s="2959"/>
      <c r="U35" s="2959"/>
    </row>
    <row r="36" spans="1:28">
      <c r="A36" s="3527"/>
      <c r="B36" s="3536" t="s">
        <v>1846</v>
      </c>
      <c r="C36" s="3537"/>
      <c r="D36" s="1659" t="s">
        <v>3227</v>
      </c>
      <c r="E36" s="3538"/>
      <c r="F36" s="3538"/>
      <c r="G36" s="1564" t="str">
        <f>IF(B35="场地未平整","估价结果处理","")</f>
        <v/>
      </c>
      <c r="H36" s="3539"/>
      <c r="I36" s="3539"/>
      <c r="J36" s="2979"/>
      <c r="K36" s="2966"/>
      <c r="L36" s="2958"/>
      <c r="M36" s="2958"/>
      <c r="N36" s="2959"/>
      <c r="O36" s="2960"/>
      <c r="P36" s="2959"/>
      <c r="Q36" s="2959"/>
      <c r="R36" s="2959"/>
      <c r="S36" s="2959"/>
      <c r="T36" s="2959"/>
      <c r="U36" s="2959"/>
    </row>
    <row r="37" spans="1:28" ht="28.5">
      <c r="A37" s="3527"/>
      <c r="B37" s="3516" t="s">
        <v>828</v>
      </c>
      <c r="C37" s="1598" t="s">
        <v>829</v>
      </c>
      <c r="D37" s="1599"/>
      <c r="E37" s="1600"/>
      <c r="F37" s="2979"/>
      <c r="G37" s="2979"/>
      <c r="H37" s="2979"/>
      <c r="I37" s="2983"/>
      <c r="J37" s="2979"/>
      <c r="K37" s="2966"/>
      <c r="L37" s="2959"/>
      <c r="M37" s="2959"/>
      <c r="N37" s="2959"/>
      <c r="O37" s="2959"/>
      <c r="P37" s="2959"/>
      <c r="Q37" s="2959"/>
      <c r="R37" s="2959"/>
      <c r="S37" s="2959"/>
      <c r="T37" s="2959"/>
      <c r="U37" s="2959"/>
    </row>
    <row r="38" spans="1:28">
      <c r="A38" s="3527"/>
      <c r="B38" s="3517"/>
      <c r="C38" s="1549" t="s">
        <v>830</v>
      </c>
      <c r="D38" s="1658">
        <f>ROUNDDOWN(MIN(('数据-取费表'!$B$2-D37)/365,D34),1)</f>
        <v>122.5</v>
      </c>
      <c r="E38" s="1601" t="s">
        <v>831</v>
      </c>
      <c r="F38" s="2979"/>
      <c r="G38" s="2979"/>
      <c r="H38" s="2979"/>
      <c r="I38" s="2983"/>
      <c r="J38" s="2979"/>
      <c r="K38" s="2966"/>
      <c r="L38" s="2959"/>
      <c r="M38" s="2959"/>
      <c r="N38" s="2959"/>
      <c r="O38" s="2959"/>
      <c r="P38" s="2959"/>
      <c r="Q38" s="2959"/>
      <c r="R38" s="2959"/>
      <c r="S38" s="2959"/>
      <c r="T38" s="2959"/>
      <c r="U38" s="2959"/>
    </row>
    <row r="39" spans="1:28">
      <c r="A39" s="3528"/>
      <c r="B39" s="3518"/>
      <c r="C39" s="1571" t="str">
        <f>IF(D38&lt;1,"不存在土地闲置",IF(B35="宗地内已开工建设","已开工，不存在土地闲置","估价对象已涉嫌土地闲置"))</f>
        <v>估价对象已涉嫌土地闲置</v>
      </c>
      <c r="D39" s="1602"/>
      <c r="E39" s="1603"/>
      <c r="F39" s="2979"/>
      <c r="G39" s="2979"/>
      <c r="H39" s="2979"/>
      <c r="I39" s="2983"/>
      <c r="J39" s="2979"/>
      <c r="K39" s="2962"/>
      <c r="L39" s="2958"/>
      <c r="M39" s="2958"/>
      <c r="N39" s="2959"/>
      <c r="O39" s="2960"/>
      <c r="P39" s="2959"/>
      <c r="Q39" s="2959"/>
      <c r="R39" s="2959"/>
      <c r="S39" s="2959"/>
      <c r="T39" s="2959"/>
      <c r="U39" s="2959"/>
    </row>
    <row r="40" spans="1:28">
      <c r="A40" s="1564" t="s">
        <v>1769</v>
      </c>
      <c r="B40" s="1565"/>
      <c r="C40" s="1565"/>
      <c r="D40" s="1565"/>
      <c r="E40" s="1565"/>
      <c r="F40" s="1565"/>
      <c r="G40" s="1565"/>
      <c r="H40" s="1565"/>
      <c r="I40" s="2983"/>
      <c r="J40" s="2979"/>
      <c r="K40" s="2927">
        <f>COUNTIF(B40:H40,"——")</f>
        <v>0</v>
      </c>
      <c r="L40" s="1573" t="s">
        <v>1770</v>
      </c>
      <c r="M40" s="1570" t="s">
        <v>1771</v>
      </c>
      <c r="N40" s="1570" t="s">
        <v>1772</v>
      </c>
      <c r="O40" s="1570" t="s">
        <v>1773</v>
      </c>
      <c r="P40" s="1570" t="s">
        <v>1774</v>
      </c>
      <c r="Q40" s="1570" t="s">
        <v>1775</v>
      </c>
      <c r="R40" s="1570" t="s">
        <v>1776</v>
      </c>
      <c r="S40" s="3499" t="s">
        <v>1777</v>
      </c>
      <c r="T40" s="1605" t="str">
        <f>NUMBERSTRING(7-K40,1)&amp;"通"</f>
        <v>七通</v>
      </c>
      <c r="U40" s="2959"/>
    </row>
    <row r="41" spans="1:28">
      <c r="A41" s="1543"/>
      <c r="B41" s="3532" t="s">
        <v>1521</v>
      </c>
      <c r="C41" s="3532"/>
      <c r="D41" s="3532"/>
      <c r="E41" s="3532"/>
      <c r="F41" s="1606" t="str">
        <f>C10</f>
        <v>海南省</v>
      </c>
      <c r="G41" s="2979"/>
      <c r="H41" s="2979"/>
      <c r="I41" s="2983"/>
      <c r="J41" s="2979"/>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499"/>
      <c r="T41" s="1607" t="str">
        <f>IF(T40="一通",L41,IF(T40="二通",M41,IF(T40="三通",N41,IF(T40="四通",O41,IF(T40="五通",P41,IF(T40="六通",Q41,R41))))))</f>
        <v>、、、、、、</v>
      </c>
      <c r="U41" s="2959"/>
    </row>
    <row r="42" spans="1:28">
      <c r="A42" s="1609"/>
      <c r="B42" s="1636" t="s">
        <v>1693</v>
      </c>
      <c r="C42" s="1636" t="s">
        <v>1694</v>
      </c>
      <c r="D42" s="1636" t="s">
        <v>1695</v>
      </c>
      <c r="E42" s="1573" t="s">
        <v>1696</v>
      </c>
      <c r="F42" s="1610"/>
      <c r="G42" s="2979"/>
      <c r="H42" s="2979"/>
      <c r="I42" s="2983"/>
      <c r="J42" s="2979"/>
      <c r="K42" s="2962"/>
      <c r="L42" s="2958"/>
      <c r="M42" s="2958"/>
      <c r="N42" s="2959"/>
      <c r="O42" s="2960"/>
      <c r="P42" s="2959"/>
      <c r="Q42" s="2959"/>
      <c r="R42" s="2959"/>
      <c r="S42" s="2959"/>
      <c r="T42" s="2959"/>
      <c r="U42" s="2959"/>
    </row>
    <row r="43" spans="1:28">
      <c r="A43" s="2930" t="s">
        <v>1506</v>
      </c>
      <c r="B43" s="1611"/>
      <c r="C43" s="1611"/>
      <c r="D43" s="1611"/>
      <c r="E43" s="1611"/>
      <c r="F43" s="1612"/>
      <c r="G43" s="2979"/>
      <c r="H43" s="2979"/>
      <c r="I43" s="2983"/>
      <c r="J43" s="2979"/>
      <c r="K43" s="2962"/>
      <c r="L43" s="2958"/>
      <c r="M43" s="2958"/>
      <c r="N43" s="2959"/>
      <c r="O43" s="2960"/>
      <c r="P43" s="2959"/>
      <c r="Q43" s="2959"/>
      <c r="R43" s="2959"/>
      <c r="S43" s="2959"/>
      <c r="T43" s="2959"/>
      <c r="U43" s="2959"/>
    </row>
    <row r="44" spans="1:28">
      <c r="A44" s="2930" t="s">
        <v>1507</v>
      </c>
      <c r="B44" s="1611"/>
      <c r="C44" s="1611"/>
      <c r="D44" s="1611"/>
      <c r="E44" s="1659"/>
      <c r="F44" s="1612"/>
      <c r="G44" s="2979"/>
      <c r="H44" s="2979"/>
      <c r="I44" s="2983"/>
      <c r="J44" s="2979"/>
      <c r="K44" s="2962"/>
      <c r="L44" s="2958"/>
      <c r="M44" s="2958"/>
      <c r="N44" s="2959"/>
      <c r="O44" s="2960"/>
      <c r="P44" s="2959"/>
      <c r="Q44" s="2959"/>
      <c r="R44" s="2959"/>
      <c r="S44" s="2959"/>
      <c r="T44" s="2959"/>
      <c r="U44" s="2959"/>
    </row>
    <row r="45" spans="1:28" s="2688" customFormat="1" ht="21" thickBot="1">
      <c r="A45" s="2689" t="s">
        <v>2605</v>
      </c>
      <c r="B45" s="2687"/>
      <c r="C45" s="2687"/>
      <c r="D45" s="2687"/>
      <c r="E45" s="2687"/>
      <c r="F45" s="2687"/>
      <c r="G45" s="2969"/>
      <c r="H45" s="2969"/>
      <c r="I45" s="2970"/>
      <c r="J45" s="2982"/>
      <c r="K45" s="2967"/>
      <c r="L45" s="2968"/>
      <c r="M45" s="2968"/>
      <c r="N45" s="2969"/>
      <c r="O45" s="2970"/>
      <c r="P45" s="2969"/>
      <c r="Q45" s="2969"/>
      <c r="R45" s="2969"/>
      <c r="S45" s="2969"/>
      <c r="T45" s="2969"/>
      <c r="U45" s="2969"/>
      <c r="V45" s="2971"/>
      <c r="W45" s="2971"/>
      <c r="X45" s="2971"/>
      <c r="Y45" s="2971"/>
      <c r="Z45" s="2971"/>
      <c r="AA45" s="2971"/>
      <c r="AB45" s="2971"/>
    </row>
    <row r="46" spans="1:28">
      <c r="A46" s="1568"/>
      <c r="B46" s="1568"/>
      <c r="C46" s="1568"/>
      <c r="D46" s="1568"/>
      <c r="E46" s="1568"/>
      <c r="F46" s="1568"/>
      <c r="G46" s="1568"/>
      <c r="H46" s="1568"/>
      <c r="I46" s="1581"/>
      <c r="J46" s="1568"/>
      <c r="K46" s="2962"/>
      <c r="L46" s="2958"/>
      <c r="M46" s="2958"/>
      <c r="N46" s="2959"/>
      <c r="O46" s="2960"/>
      <c r="P46" s="2959"/>
      <c r="Q46" s="2959"/>
      <c r="R46" s="2959"/>
      <c r="S46" s="2959"/>
      <c r="T46" s="2959"/>
      <c r="U46" s="2959"/>
    </row>
    <row r="47" spans="1:28">
      <c r="A47" s="1613" t="s">
        <v>1798</v>
      </c>
      <c r="B47" s="1614"/>
      <c r="C47" s="1603"/>
      <c r="D47" s="1568"/>
      <c r="E47" s="1568"/>
      <c r="F47" s="1568"/>
      <c r="G47" s="1568"/>
      <c r="H47" s="1568"/>
      <c r="I47" s="1569"/>
      <c r="J47" s="1568"/>
      <c r="K47" s="2962"/>
      <c r="L47" s="2958"/>
      <c r="M47" s="2958"/>
      <c r="N47" s="2959"/>
      <c r="O47" s="2960"/>
      <c r="P47" s="2959"/>
      <c r="Q47" s="2959"/>
      <c r="R47" s="2959"/>
      <c r="S47" s="2959"/>
      <c r="T47" s="2959"/>
      <c r="U47" s="2959"/>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2" t="s">
        <v>1809</v>
      </c>
      <c r="L48" s="2972" t="s">
        <v>1810</v>
      </c>
      <c r="M48" s="2972" t="s">
        <v>1811</v>
      </c>
      <c r="N48" s="2973" t="s">
        <v>1812</v>
      </c>
      <c r="O48" s="2973" t="s">
        <v>1813</v>
      </c>
      <c r="P48" s="2973" t="s">
        <v>1814</v>
      </c>
      <c r="Q48" s="2964" t="s">
        <v>1815</v>
      </c>
      <c r="R48" s="2964" t="s">
        <v>1816</v>
      </c>
      <c r="S48" s="2959"/>
      <c r="T48" s="2959"/>
      <c r="U48" s="2959"/>
    </row>
    <row r="49" spans="1:21">
      <c r="A49" s="1570"/>
      <c r="B49" s="1604"/>
      <c r="C49" s="1604"/>
      <c r="D49" s="1604"/>
      <c r="E49" s="1604"/>
      <c r="F49" s="1604"/>
      <c r="G49" s="1604"/>
      <c r="H49" s="1604"/>
      <c r="I49" s="1604"/>
      <c r="J49" s="1706"/>
      <c r="K49" s="2974"/>
      <c r="L49" s="2974"/>
      <c r="M49" s="1610"/>
      <c r="N49" s="1610"/>
      <c r="O49" s="1610"/>
      <c r="P49" s="1610"/>
      <c r="Q49" s="1610"/>
      <c r="R49" s="1610"/>
      <c r="S49" s="2959"/>
      <c r="T49" s="2959"/>
      <c r="U49" s="2959"/>
    </row>
    <row r="50" spans="1:21">
      <c r="A50" s="1570"/>
      <c r="B50" s="1570"/>
      <c r="C50" s="1604"/>
      <c r="D50" s="1604"/>
      <c r="E50" s="1604"/>
      <c r="F50" s="1604"/>
      <c r="G50" s="1604"/>
      <c r="H50" s="1604"/>
      <c r="I50" s="1604"/>
      <c r="J50" s="1706"/>
      <c r="K50" s="2974"/>
      <c r="L50" s="2974"/>
      <c r="M50" s="1610"/>
      <c r="N50" s="1610"/>
      <c r="O50" s="1610"/>
      <c r="P50" s="1610"/>
      <c r="Q50" s="1610"/>
      <c r="R50" s="1610"/>
      <c r="S50" s="2959"/>
      <c r="T50" s="2959"/>
      <c r="U50" s="2959"/>
    </row>
    <row r="51" spans="1:21">
      <c r="A51" s="1570"/>
      <c r="B51" s="1570"/>
      <c r="C51" s="1604"/>
      <c r="D51" s="1604"/>
      <c r="E51" s="1604"/>
      <c r="F51" s="1604"/>
      <c r="G51" s="1604"/>
      <c r="H51" s="1604"/>
      <c r="I51" s="1604"/>
      <c r="J51" s="1706"/>
      <c r="K51" s="2974"/>
      <c r="L51" s="2974"/>
      <c r="M51" s="1610"/>
      <c r="N51" s="1610"/>
      <c r="O51" s="1610"/>
      <c r="P51" s="1610"/>
      <c r="Q51" s="1610"/>
      <c r="R51" s="1610"/>
      <c r="S51" s="2959"/>
      <c r="T51" s="2959"/>
      <c r="U51" s="2959"/>
    </row>
    <row r="52" spans="1:21">
      <c r="A52" s="1570"/>
      <c r="B52" s="1570"/>
      <c r="C52" s="1604"/>
      <c r="D52" s="1604"/>
      <c r="E52" s="1604"/>
      <c r="F52" s="1604"/>
      <c r="G52" s="1604"/>
      <c r="H52" s="1604"/>
      <c r="I52" s="1604"/>
      <c r="J52" s="1706"/>
      <c r="K52" s="2974"/>
      <c r="L52" s="2974"/>
      <c r="M52" s="1610"/>
      <c r="N52" s="1610"/>
      <c r="O52" s="1610"/>
      <c r="P52" s="1610"/>
      <c r="Q52" s="1610"/>
      <c r="R52" s="1610"/>
      <c r="S52" s="2959"/>
      <c r="T52" s="2959"/>
      <c r="U52" s="2959"/>
    </row>
    <row r="53" spans="1:21">
      <c r="A53" s="1570"/>
      <c r="B53" s="1570"/>
      <c r="C53" s="1604"/>
      <c r="D53" s="1604"/>
      <c r="E53" s="1604"/>
      <c r="F53" s="1604"/>
      <c r="G53" s="1604"/>
      <c r="H53" s="1604"/>
      <c r="I53" s="1604"/>
      <c r="J53" s="1706"/>
      <c r="K53" s="2974"/>
      <c r="L53" s="2974"/>
      <c r="M53" s="1610"/>
      <c r="N53" s="1610"/>
      <c r="O53" s="1610"/>
      <c r="P53" s="1610"/>
      <c r="Q53" s="1610"/>
      <c r="R53" s="1610"/>
      <c r="S53" s="2959"/>
      <c r="T53" s="2959"/>
      <c r="U53" s="2959"/>
    </row>
    <row r="54" spans="1:21">
      <c r="A54" s="1570"/>
      <c r="B54" s="1570"/>
      <c r="C54" s="1570"/>
      <c r="D54" s="1570"/>
      <c r="E54" s="1570"/>
      <c r="F54" s="1604"/>
      <c r="G54" s="1570"/>
      <c r="H54" s="1570"/>
      <c r="I54" s="1570"/>
      <c r="J54" s="1707"/>
      <c r="K54" s="2974"/>
      <c r="L54" s="2974"/>
      <c r="M54" s="2974"/>
      <c r="N54" s="2926"/>
      <c r="O54" s="2926"/>
      <c r="P54" s="2926"/>
      <c r="Q54" s="2926"/>
      <c r="R54" s="2926"/>
      <c r="S54" s="2959"/>
      <c r="T54" s="2959"/>
      <c r="U54" s="2959"/>
    </row>
    <row r="55" spans="1:21">
      <c r="A55" s="1570"/>
      <c r="B55" s="1570"/>
      <c r="C55" s="1570"/>
      <c r="D55" s="1570"/>
      <c r="E55" s="1570"/>
      <c r="F55" s="1604"/>
      <c r="G55" s="1570"/>
      <c r="H55" s="1570"/>
      <c r="I55" s="1570"/>
      <c r="J55" s="1707"/>
      <c r="K55" s="2974"/>
      <c r="L55" s="2974"/>
      <c r="M55" s="2974"/>
      <c r="N55" s="2926"/>
      <c r="O55" s="2926"/>
      <c r="P55" s="2926"/>
      <c r="Q55" s="2926"/>
      <c r="R55" s="2926"/>
      <c r="S55" s="2959"/>
      <c r="T55" s="2959"/>
      <c r="U55" s="2959"/>
    </row>
    <row r="56" spans="1:21">
      <c r="A56" s="1570"/>
      <c r="B56" s="1570"/>
      <c r="C56" s="1570"/>
      <c r="D56" s="1570"/>
      <c r="E56" s="1570"/>
      <c r="F56" s="1604"/>
      <c r="G56" s="1570"/>
      <c r="H56" s="1570"/>
      <c r="I56" s="1570"/>
      <c r="J56" s="1707"/>
      <c r="K56" s="2974"/>
      <c r="L56" s="2974"/>
      <c r="M56" s="2974"/>
      <c r="N56" s="2926"/>
      <c r="O56" s="2926"/>
      <c r="P56" s="2926"/>
      <c r="Q56" s="2926"/>
      <c r="R56" s="2926"/>
      <c r="S56" s="2959"/>
      <c r="T56" s="2959"/>
      <c r="U56" s="2959"/>
    </row>
    <row r="57" spans="1:21">
      <c r="A57" s="1570"/>
      <c r="B57" s="1570"/>
      <c r="C57" s="1570"/>
      <c r="D57" s="1570"/>
      <c r="E57" s="1570"/>
      <c r="F57" s="1604"/>
      <c r="G57" s="1570"/>
      <c r="H57" s="1570"/>
      <c r="I57" s="1570"/>
      <c r="J57" s="1707"/>
      <c r="K57" s="2974"/>
      <c r="L57" s="2974"/>
      <c r="M57" s="2974"/>
      <c r="N57" s="2926"/>
      <c r="O57" s="2926"/>
      <c r="P57" s="2926"/>
      <c r="Q57" s="2926"/>
      <c r="R57" s="2926"/>
      <c r="S57" s="2959"/>
      <c r="T57" s="2959"/>
      <c r="U57" s="2959"/>
    </row>
    <row r="58" spans="1:21">
      <c r="A58" s="1570"/>
      <c r="B58" s="1570"/>
      <c r="C58" s="1570"/>
      <c r="D58" s="1570"/>
      <c r="E58" s="1570"/>
      <c r="F58" s="1604"/>
      <c r="G58" s="1570"/>
      <c r="H58" s="1570"/>
      <c r="I58" s="1570"/>
      <c r="J58" s="1707"/>
      <c r="K58" s="2974"/>
      <c r="L58" s="2974"/>
      <c r="M58" s="2974"/>
      <c r="N58" s="2926"/>
      <c r="O58" s="2926"/>
      <c r="P58" s="2926"/>
      <c r="Q58" s="2926"/>
      <c r="R58" s="2926"/>
      <c r="S58" s="2959"/>
      <c r="T58" s="2959"/>
      <c r="U58" s="295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115" zoomScaleNormal="100" zoomScaleSheetLayoutView="115" workbookViewId="0">
      <pane xSplit="4" ySplit="12" topLeftCell="AS13" activePane="bottomRight" state="frozen"/>
      <selection pane="topRight" activeCell="E1" sqref="E1"/>
      <selection pane="bottomLeft" activeCell="A12" sqref="A12"/>
      <selection pane="bottomRight" activeCell="AT13" sqref="AT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1" t="s">
        <v>2123</v>
      </c>
      <c r="BA2" s="2172"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面积表!E2</f>
        <v>97473.98</v>
      </c>
      <c r="B3" s="22">
        <f>IF(C3="否",G5-AT5,G5)</f>
        <v>51575.14</v>
      </c>
      <c r="C3" s="23" t="s">
        <v>3213</v>
      </c>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3"/>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55174.02</v>
      </c>
      <c r="H5" s="27">
        <f t="shared" ref="H5:AT5" si="0">SUM(H13:H641)</f>
        <v>51237.62</v>
      </c>
      <c r="I5" s="27">
        <f t="shared" si="0"/>
        <v>43511.83</v>
      </c>
      <c r="J5" s="27">
        <f t="shared" si="0"/>
        <v>0</v>
      </c>
      <c r="K5" s="27">
        <f t="shared" si="0"/>
        <v>7725.79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337.52</v>
      </c>
      <c r="AD5" s="27">
        <f t="shared" si="0"/>
        <v>297.52</v>
      </c>
      <c r="AE5" s="27">
        <f t="shared" si="0"/>
        <v>0</v>
      </c>
      <c r="AF5" s="27">
        <f t="shared" si="0"/>
        <v>0</v>
      </c>
      <c r="AG5" s="27">
        <f t="shared" si="0"/>
        <v>0</v>
      </c>
      <c r="AH5" s="27">
        <f t="shared" si="0"/>
        <v>0</v>
      </c>
      <c r="AI5" s="27">
        <f t="shared" si="0"/>
        <v>0</v>
      </c>
      <c r="AJ5" s="27">
        <f t="shared" si="0"/>
        <v>0</v>
      </c>
      <c r="AK5" s="27">
        <f t="shared" si="0"/>
        <v>0</v>
      </c>
      <c r="AL5" s="27">
        <f t="shared" si="0"/>
        <v>40</v>
      </c>
      <c r="AM5" s="27">
        <f t="shared" si="0"/>
        <v>0</v>
      </c>
      <c r="AN5" s="27">
        <f t="shared" si="0"/>
        <v>0</v>
      </c>
      <c r="AO5" s="27">
        <f t="shared" si="0"/>
        <v>0</v>
      </c>
      <c r="AP5" s="27">
        <f t="shared" si="0"/>
        <v>0</v>
      </c>
      <c r="AQ5" s="27">
        <f t="shared" si="0"/>
        <v>0</v>
      </c>
      <c r="AR5" s="27">
        <f t="shared" si="0"/>
        <v>0</v>
      </c>
      <c r="AS5" s="27">
        <f t="shared" si="0"/>
        <v>0</v>
      </c>
      <c r="AT5" s="27">
        <f t="shared" si="0"/>
        <v>3598.88</v>
      </c>
      <c r="AU5" s="957"/>
      <c r="AV5" s="26" t="s">
        <v>168</v>
      </c>
      <c r="AW5" s="958"/>
      <c r="AX5" s="958"/>
      <c r="AY5" s="28" t="s">
        <v>3</v>
      </c>
      <c r="AZ5" s="29">
        <f t="shared" ref="AZ5:BT5" si="1">SUM(AZ13:AZ641)</f>
        <v>51575.14</v>
      </c>
      <c r="BA5" s="29">
        <f t="shared" si="1"/>
        <v>51237.62</v>
      </c>
      <c r="BB5" s="29">
        <f t="shared" si="1"/>
        <v>43511.83</v>
      </c>
      <c r="BC5" s="29">
        <f t="shared" si="1"/>
        <v>7725.79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337.52</v>
      </c>
      <c r="BM5" s="29">
        <f t="shared" si="1"/>
        <v>297.52</v>
      </c>
      <c r="BN5" s="29">
        <f t="shared" si="1"/>
        <v>0</v>
      </c>
      <c r="BO5" s="29">
        <f t="shared" si="1"/>
        <v>0</v>
      </c>
      <c r="BP5" s="29">
        <f t="shared" si="1"/>
        <v>0</v>
      </c>
      <c r="BQ5" s="29">
        <f t="shared" si="1"/>
        <v>40</v>
      </c>
      <c r="BR5" s="29">
        <f t="shared" si="1"/>
        <v>0</v>
      </c>
      <c r="BS5" s="29">
        <f t="shared" si="1"/>
        <v>0</v>
      </c>
      <c r="BT5" s="30">
        <f t="shared" si="1"/>
        <v>0</v>
      </c>
    </row>
    <row r="6" spans="1:72" s="37" customFormat="1" ht="12.75">
      <c r="A6" s="26" t="s">
        <v>169</v>
      </c>
      <c r="B6" s="31"/>
      <c r="C6" s="31"/>
      <c r="D6" s="32"/>
      <c r="E6" s="27">
        <f>H6+AC6+AT6</f>
        <v>97473.989999999991</v>
      </c>
      <c r="F6" s="27" t="s">
        <v>1</v>
      </c>
      <c r="G6" s="27" t="s">
        <v>2</v>
      </c>
      <c r="H6" s="33">
        <f>SUMIF(I$12:AB$12,"总值",I6:AB6)</f>
        <v>96836.09</v>
      </c>
      <c r="I6" s="27">
        <f t="shared" ref="I6:AB6" si="2">ROUND($A$3*I5/$B$3,2)</f>
        <v>82234.8</v>
      </c>
      <c r="J6" s="27">
        <f t="shared" si="2"/>
        <v>0</v>
      </c>
      <c r="K6" s="27">
        <f t="shared" si="2"/>
        <v>14601.29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637.9</v>
      </c>
      <c r="AD6" s="27">
        <f t="shared" ref="AD6:AS6" si="3">ROUND($A$3*AD5/$B$3,2)</f>
        <v>562.29999999999995</v>
      </c>
      <c r="AE6" s="27">
        <f t="shared" si="3"/>
        <v>0</v>
      </c>
      <c r="AF6" s="27">
        <f t="shared" si="3"/>
        <v>0</v>
      </c>
      <c r="AG6" s="27">
        <f t="shared" si="3"/>
        <v>0</v>
      </c>
      <c r="AH6" s="27">
        <f t="shared" si="3"/>
        <v>0</v>
      </c>
      <c r="AI6" s="27">
        <f t="shared" si="3"/>
        <v>0</v>
      </c>
      <c r="AJ6" s="27">
        <f t="shared" si="3"/>
        <v>0</v>
      </c>
      <c r="AK6" s="27">
        <f t="shared" si="3"/>
        <v>0</v>
      </c>
      <c r="AL6" s="27">
        <f t="shared" si="3"/>
        <v>75.599999999999994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97473.98</v>
      </c>
      <c r="AZ6" s="27" t="s">
        <v>3</v>
      </c>
      <c r="BA6" s="27">
        <f>ROUND($AY$6*BA5/$AZ$5,2)</f>
        <v>96836.09</v>
      </c>
      <c r="BB6" s="27">
        <f>ROUND($AY$6*BB5/$AZ$5,2)</f>
        <v>82234.8</v>
      </c>
      <c r="BC6" s="27">
        <f t="shared" ref="BC6:BH6" si="4">ROUND($AY$6*BC5/$AZ$5,2)</f>
        <v>14601.29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637.89</v>
      </c>
      <c r="BM6" s="27">
        <f t="shared" si="5"/>
        <v>562.29999999999995</v>
      </c>
      <c r="BN6" s="27">
        <f t="shared" si="5"/>
        <v>0</v>
      </c>
      <c r="BO6" s="27">
        <f t="shared" si="5"/>
        <v>0</v>
      </c>
      <c r="BP6" s="27">
        <f t="shared" si="5"/>
        <v>0</v>
      </c>
      <c r="BQ6" s="27">
        <f t="shared" si="5"/>
        <v>75.599999999999994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9"/>
      <c r="AT8" s="2160"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51" t="s">
        <v>3183</v>
      </c>
      <c r="J9" s="51"/>
      <c r="K9" s="2651" t="s">
        <v>3185</v>
      </c>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1"/>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51" t="s">
        <v>902</v>
      </c>
      <c r="J10" s="51"/>
      <c r="K10" s="2653" t="s">
        <v>3218</v>
      </c>
      <c r="L10" s="51"/>
      <c r="M10" s="2653"/>
      <c r="N10" s="51"/>
      <c r="O10" s="66"/>
      <c r="P10" s="51"/>
      <c r="Q10" s="66"/>
      <c r="R10" s="51"/>
      <c r="S10" s="66"/>
      <c r="T10" s="51"/>
      <c r="U10" s="66"/>
      <c r="V10" s="51"/>
      <c r="W10" s="66"/>
      <c r="X10" s="51"/>
      <c r="Y10" s="66"/>
      <c r="Z10" s="51"/>
      <c r="AA10" s="66"/>
      <c r="AB10" s="51"/>
      <c r="AC10" s="55"/>
      <c r="AD10" s="2146" t="s">
        <v>2107</v>
      </c>
      <c r="AE10" s="2168"/>
      <c r="AF10" s="2146" t="s">
        <v>2107</v>
      </c>
      <c r="AG10" s="2168"/>
      <c r="AH10" s="2146" t="s">
        <v>2108</v>
      </c>
      <c r="AI10" s="2168"/>
      <c r="AJ10" s="26" t="s">
        <v>2121</v>
      </c>
      <c r="AK10" s="2165"/>
      <c r="AL10" s="2146" t="s">
        <v>2109</v>
      </c>
      <c r="AM10" s="2147"/>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2" t="s">
        <v>3217</v>
      </c>
      <c r="J11" s="71"/>
      <c r="K11" s="2652" t="s">
        <v>3218</v>
      </c>
      <c r="L11" s="71"/>
      <c r="M11" s="70"/>
      <c r="N11" s="71"/>
      <c r="O11" s="70"/>
      <c r="P11" s="71"/>
      <c r="Q11" s="70"/>
      <c r="R11" s="71"/>
      <c r="S11" s="70"/>
      <c r="T11" s="71"/>
      <c r="U11" s="70"/>
      <c r="V11" s="71"/>
      <c r="W11" s="70"/>
      <c r="X11" s="71"/>
      <c r="Y11" s="70"/>
      <c r="Z11" s="71"/>
      <c r="AA11" s="70"/>
      <c r="AB11" s="71"/>
      <c r="AC11" s="55"/>
      <c r="AD11" s="2166" t="s">
        <v>2120</v>
      </c>
      <c r="AE11" s="971"/>
      <c r="AF11" s="2166" t="s">
        <v>2120</v>
      </c>
      <c r="AG11" s="971"/>
      <c r="AH11" s="2166" t="s">
        <v>2119</v>
      </c>
      <c r="AI11" s="2167"/>
      <c r="AJ11" s="2166" t="s">
        <v>2119</v>
      </c>
      <c r="AK11" s="2165"/>
      <c r="AL11" s="969"/>
      <c r="AM11" s="971"/>
      <c r="AN11" s="969"/>
      <c r="AO11" s="971"/>
      <c r="AP11" s="1133"/>
      <c r="AQ11" s="1135"/>
      <c r="AR11" s="1133"/>
      <c r="AS11" s="1135"/>
      <c r="AT11" s="972"/>
      <c r="AU11" s="45"/>
      <c r="AV11" s="55"/>
      <c r="AW11" s="97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t="str">
        <f>I11</f>
        <v>洋房</v>
      </c>
      <c r="BC12" s="79" t="str">
        <f>K11</f>
        <v>车库</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6">
        <f>46513.77+11324.67</f>
        <v>57838.439999999995</v>
      </c>
      <c r="B13" s="2646"/>
      <c r="C13" s="2646"/>
      <c r="D13" s="2647" t="s">
        <v>1478</v>
      </c>
      <c r="E13" s="27">
        <f t="shared" ref="E13:E20" si="6">IF($C$3="是",ROUND($A$3*G13/$B$3,2),ROUND($A$3*(G13-AT13)/$B$3,2))</f>
        <v>97473.98</v>
      </c>
      <c r="F13" s="81"/>
      <c r="G13" s="82">
        <f t="shared" ref="G13:G20" si="7">H13+AC13+AT13</f>
        <v>55174.02</v>
      </c>
      <c r="H13" s="33">
        <f t="shared" ref="H13:H20" si="8">SUMIF(I$12:AB$12,"总值",I13:AB13)</f>
        <v>51237.62</v>
      </c>
      <c r="I13" s="2650">
        <v>43511.83</v>
      </c>
      <c r="J13" s="2650"/>
      <c r="K13" s="2650">
        <v>7725.79</v>
      </c>
      <c r="L13" s="2650"/>
      <c r="M13" s="2650"/>
      <c r="N13" s="83"/>
      <c r="O13" s="83"/>
      <c r="P13" s="83"/>
      <c r="Q13" s="83"/>
      <c r="R13" s="83"/>
      <c r="S13" s="83"/>
      <c r="T13" s="83"/>
      <c r="U13" s="83"/>
      <c r="V13" s="83"/>
      <c r="W13" s="83"/>
      <c r="X13" s="83"/>
      <c r="Y13" s="83"/>
      <c r="Z13" s="83"/>
      <c r="AA13" s="83"/>
      <c r="AB13" s="83"/>
      <c r="AC13" s="27">
        <f t="shared" ref="AC13:AC20" si="9">SUMIF(AD$12:AS$12,"总值",AD13:AS13)</f>
        <v>337.52</v>
      </c>
      <c r="AD13" s="2654">
        <f>154.77+142.75</f>
        <v>297.52</v>
      </c>
      <c r="AE13" s="2654"/>
      <c r="AF13" s="2654"/>
      <c r="AG13" s="2654"/>
      <c r="AH13" s="2654"/>
      <c r="AI13" s="2654"/>
      <c r="AJ13" s="2654"/>
      <c r="AK13" s="2654"/>
      <c r="AL13" s="2654">
        <v>40</v>
      </c>
      <c r="AM13" s="2654"/>
      <c r="AN13" s="2654"/>
      <c r="AO13" s="2654"/>
      <c r="AP13" s="2654"/>
      <c r="AQ13" s="2654"/>
      <c r="AR13" s="2654"/>
      <c r="AS13" s="2654"/>
      <c r="AT13" s="2655">
        <f>3598.88</f>
        <v>3598.88</v>
      </c>
      <c r="AU13" s="2656"/>
      <c r="AV13" s="17">
        <f t="shared" ref="AV13:AX20" si="10">A13</f>
        <v>57838.439999999995</v>
      </c>
      <c r="AW13" s="17">
        <f t="shared" si="10"/>
        <v>0</v>
      </c>
      <c r="AX13" s="17">
        <f t="shared" si="10"/>
        <v>0</v>
      </c>
      <c r="AY13" s="965">
        <f t="shared" ref="AY13:AY20" si="11">ROUND($AY$6*AZ13/$AZ$5,2)</f>
        <v>97473.98</v>
      </c>
      <c r="AZ13" s="27">
        <f t="shared" ref="AZ13:AZ20" si="12">BA13+BL13</f>
        <v>51575.14</v>
      </c>
      <c r="BA13" s="27">
        <f t="shared" ref="BA13:BA20" si="13">SUM(BB13:BK13)</f>
        <v>51237.62</v>
      </c>
      <c r="BB13" s="27">
        <f t="shared" ref="BB13:BB20" si="14">IF($D13="是",I13-J13,0)</f>
        <v>43511.83</v>
      </c>
      <c r="BC13" s="27">
        <f t="shared" ref="BC13:BC20" si="15">IF($D13="是",K13-L13,0)</f>
        <v>7725.79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337.52</v>
      </c>
      <c r="BM13" s="27">
        <f t="shared" ref="BM13:BM20" si="25">IF($D13="是",AD13-AE13,0)</f>
        <v>297.52</v>
      </c>
      <c r="BN13" s="27">
        <f t="shared" ref="BN13:BN20" si="26">IF($D13="是",AF13-AG13,0)</f>
        <v>0</v>
      </c>
      <c r="BO13" s="27">
        <f t="shared" ref="BO13:BO20" si="27">IF($D13="是",AH13-AI13,0)</f>
        <v>0</v>
      </c>
      <c r="BP13" s="27">
        <f t="shared" ref="BP13:BP20" si="28">IF($D13="是",AJ13-AK13,0)</f>
        <v>0</v>
      </c>
      <c r="BQ13" s="27">
        <f t="shared" ref="BQ13:BQ20" si="29">IF($D13="是",AL13-AM13,0)</f>
        <v>40</v>
      </c>
      <c r="BR13" s="27">
        <f t="shared" ref="BR13:BR20" si="30">IF($D13="是",AN13-AO13,0)</f>
        <v>0</v>
      </c>
      <c r="BS13" s="27">
        <f t="shared" ref="BS13:BS20" si="31">IF($D13="是",AP13-AQ13,0)</f>
        <v>0</v>
      </c>
      <c r="BT13" s="36">
        <f t="shared" ref="BT13:BT20" si="32">IF($D13="是",AR13-AS13,0)</f>
        <v>0</v>
      </c>
    </row>
    <row r="14" spans="1:72" s="18" customFormat="1" ht="12.75">
      <c r="A14" s="2646"/>
      <c r="B14" s="2646"/>
      <c r="C14" s="2648"/>
      <c r="D14" s="2647"/>
      <c r="E14" s="27">
        <f t="shared" si="6"/>
        <v>0</v>
      </c>
      <c r="F14" s="81"/>
      <c r="G14" s="82">
        <f t="shared" si="7"/>
        <v>0</v>
      </c>
      <c r="H14" s="33">
        <f t="shared" si="8"/>
        <v>0</v>
      </c>
      <c r="I14" s="2650"/>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c r="D15" s="2647"/>
      <c r="E15" s="27">
        <f t="shared" si="6"/>
        <v>0</v>
      </c>
      <c r="F15" s="81"/>
      <c r="G15" s="82">
        <f t="shared" si="7"/>
        <v>0</v>
      </c>
      <c r="H15" s="33">
        <f t="shared" si="8"/>
        <v>0</v>
      </c>
      <c r="I15" s="2650"/>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0" t="s">
        <v>0</v>
      </c>
      <c r="B1" s="3540" t="s">
        <v>4</v>
      </c>
      <c r="C1" s="3540" t="s">
        <v>5</v>
      </c>
      <c r="D1" s="3541" t="s">
        <v>40</v>
      </c>
      <c r="E1" s="3541" t="s">
        <v>41</v>
      </c>
      <c r="F1" s="3541"/>
      <c r="G1" s="3541"/>
      <c r="H1" s="3541"/>
      <c r="I1" s="3541"/>
      <c r="J1" s="3541"/>
      <c r="K1" s="3541"/>
      <c r="L1" s="3541"/>
      <c r="M1" s="3541"/>
    </row>
    <row r="2" spans="1:13" ht="27" customHeight="1">
      <c r="A2" s="3540"/>
      <c r="B2" s="3540"/>
      <c r="C2" s="3540"/>
      <c r="D2" s="3541"/>
      <c r="E2" s="3541" t="s">
        <v>24</v>
      </c>
      <c r="F2" s="3541" t="s">
        <v>25</v>
      </c>
      <c r="G2" s="3541"/>
      <c r="H2" s="3541"/>
      <c r="I2" s="3541"/>
      <c r="J2" s="3541" t="s">
        <v>26</v>
      </c>
      <c r="K2" s="3541"/>
      <c r="L2" s="3541"/>
      <c r="M2" s="3541"/>
    </row>
    <row r="3" spans="1:13" ht="28.5">
      <c r="A3" s="3540"/>
      <c r="B3" s="3540"/>
      <c r="C3" s="3540"/>
      <c r="D3" s="3541"/>
      <c r="E3" s="35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1" t="s">
        <v>42</v>
      </c>
      <c r="B9" s="3541"/>
      <c r="C9" s="35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76"/>
  <sheetViews>
    <sheetView workbookViewId="0">
      <selection activeCell="M104" sqref="M104"/>
    </sheetView>
  </sheetViews>
  <sheetFormatPr defaultRowHeight="12"/>
  <cols>
    <col min="1" max="2" width="9" style="3445"/>
    <col min="3" max="3" width="12.375" style="3445" customWidth="1"/>
    <col min="4" max="4" width="11.375" style="3445" customWidth="1"/>
    <col min="5" max="6" width="9" style="3445"/>
    <col min="7" max="7" width="9.375" style="3445" bestFit="1" customWidth="1"/>
    <col min="8" max="10" width="9" style="3445"/>
    <col min="11" max="11" width="9.75" style="3445" customWidth="1"/>
    <col min="12" max="14" width="9" style="3445"/>
    <col min="15" max="15" width="8.5" style="3445" customWidth="1"/>
    <col min="16" max="16384" width="9" style="3445"/>
  </cols>
  <sheetData>
    <row r="1" spans="1:15" ht="36">
      <c r="C1" s="3445" t="s">
        <v>3116</v>
      </c>
      <c r="D1" s="3445" t="s">
        <v>3118</v>
      </c>
      <c r="E1" s="3445" t="s">
        <v>3120</v>
      </c>
      <c r="F1" s="3445" t="s">
        <v>3121</v>
      </c>
      <c r="G1" s="3445" t="s">
        <v>3123</v>
      </c>
      <c r="H1" s="3445" t="s">
        <v>3206</v>
      </c>
      <c r="I1" s="3445" t="s">
        <v>3207</v>
      </c>
      <c r="J1" s="3445" t="s">
        <v>3208</v>
      </c>
      <c r="K1" s="3445" t="s">
        <v>3211</v>
      </c>
      <c r="L1" s="3445" t="s">
        <v>3212</v>
      </c>
      <c r="M1" s="3445" t="s">
        <v>3214</v>
      </c>
      <c r="N1" s="3445" t="s">
        <v>3215</v>
      </c>
      <c r="O1" s="3445" t="s">
        <v>4154</v>
      </c>
    </row>
    <row r="2" spans="1:15" ht="44.25" customHeight="1">
      <c r="B2" s="3445" t="s">
        <v>3201</v>
      </c>
      <c r="C2" s="3445" t="s">
        <v>4208</v>
      </c>
      <c r="D2" s="3445" t="s">
        <v>3221</v>
      </c>
      <c r="E2" s="3445">
        <v>97473.98</v>
      </c>
      <c r="F2" s="3445" t="s">
        <v>3122</v>
      </c>
      <c r="G2" s="3446">
        <v>64904</v>
      </c>
      <c r="H2" s="3445">
        <v>0.45</v>
      </c>
      <c r="I2" s="3445">
        <v>43863.29</v>
      </c>
      <c r="J2" s="3445">
        <v>87000</v>
      </c>
      <c r="K2" s="3448">
        <f>154292279.268257/10000</f>
        <v>15429.227926825699</v>
      </c>
      <c r="L2" s="3445" t="s">
        <v>3209</v>
      </c>
      <c r="M2" s="3445">
        <v>23000</v>
      </c>
      <c r="N2" s="3445" t="s">
        <v>3216</v>
      </c>
      <c r="O2" s="3445">
        <f>ROUND(K2/I2*10000,0)</f>
        <v>3518</v>
      </c>
    </row>
    <row r="3" spans="1:15" ht="36">
      <c r="B3" s="3445" t="s">
        <v>3202</v>
      </c>
      <c r="C3" s="3445" t="s">
        <v>3200</v>
      </c>
      <c r="D3" s="3445" t="s">
        <v>3119</v>
      </c>
      <c r="E3" s="3445">
        <v>96040.29</v>
      </c>
      <c r="F3" s="3445" t="s">
        <v>3122</v>
      </c>
      <c r="G3" s="3446">
        <v>64904</v>
      </c>
      <c r="H3" s="3445">
        <v>0.45</v>
      </c>
      <c r="I3" s="3445">
        <v>43218.13</v>
      </c>
      <c r="J3" s="3445">
        <v>86000</v>
      </c>
      <c r="K3" s="3448">
        <f>152022880.831217/10000</f>
        <v>15202.288083121699</v>
      </c>
      <c r="L3" s="3445" t="s">
        <v>3210</v>
      </c>
      <c r="M3" s="3445">
        <v>23000</v>
      </c>
      <c r="N3" s="3445" t="s">
        <v>3216</v>
      </c>
      <c r="O3" s="3445">
        <f>ROUND(K3/I3*10000,0)</f>
        <v>3518</v>
      </c>
    </row>
    <row r="6" spans="1:15">
      <c r="A6" s="3447" t="s">
        <v>3117</v>
      </c>
      <c r="B6" s="3447"/>
      <c r="C6" s="3447"/>
      <c r="D6" s="3447"/>
      <c r="E6" s="3447"/>
      <c r="F6" s="3447"/>
      <c r="H6" s="3447" t="s">
        <v>3203</v>
      </c>
      <c r="I6" s="3447"/>
      <c r="J6" s="3447"/>
      <c r="K6" s="3447"/>
      <c r="L6" s="3447"/>
      <c r="M6" s="3447"/>
    </row>
    <row r="7" spans="1:15">
      <c r="A7" s="3447"/>
      <c r="B7" s="3447" t="s">
        <v>3184</v>
      </c>
      <c r="C7" s="3447" t="s">
        <v>3186</v>
      </c>
      <c r="D7" s="3447" t="s">
        <v>3189</v>
      </c>
      <c r="E7" s="3447" t="s">
        <v>3187</v>
      </c>
      <c r="F7" s="3447" t="s">
        <v>3188</v>
      </c>
      <c r="H7" s="3447"/>
      <c r="I7" s="3447" t="s">
        <v>3184</v>
      </c>
      <c r="J7" s="3447" t="s">
        <v>3186</v>
      </c>
      <c r="K7" s="3447" t="s">
        <v>3189</v>
      </c>
      <c r="L7" s="3447" t="s">
        <v>3187</v>
      </c>
      <c r="M7" s="3447" t="s">
        <v>3188</v>
      </c>
    </row>
    <row r="8" spans="1:15">
      <c r="A8" s="3447" t="s">
        <v>3124</v>
      </c>
      <c r="B8" s="3447">
        <v>785.99</v>
      </c>
      <c r="C8" s="3447">
        <v>0</v>
      </c>
      <c r="D8" s="3447">
        <f>B8+C8</f>
        <v>785.99</v>
      </c>
      <c r="E8" s="3447">
        <v>4</v>
      </c>
      <c r="F8" s="3447">
        <v>0</v>
      </c>
      <c r="H8" s="3447" t="s">
        <v>3124</v>
      </c>
      <c r="I8" s="3447">
        <v>785.99</v>
      </c>
      <c r="J8" s="3447">
        <v>0</v>
      </c>
      <c r="K8" s="3447">
        <f>I8+J8</f>
        <v>785.99</v>
      </c>
      <c r="L8" s="3447">
        <v>4</v>
      </c>
      <c r="M8" s="3447">
        <v>0</v>
      </c>
    </row>
    <row r="9" spans="1:15">
      <c r="A9" s="3445" t="s">
        <v>3126</v>
      </c>
      <c r="B9" s="3447">
        <v>785.99</v>
      </c>
      <c r="C9" s="3447">
        <v>0</v>
      </c>
      <c r="D9" s="3447">
        <f t="shared" ref="D9:D15" si="0">B9+C9</f>
        <v>785.99</v>
      </c>
      <c r="E9" s="3447">
        <v>4</v>
      </c>
      <c r="F9" s="3447">
        <v>0</v>
      </c>
      <c r="H9" s="3447" t="s">
        <v>3125</v>
      </c>
      <c r="I9" s="3447">
        <v>785.99</v>
      </c>
      <c r="J9" s="3447">
        <v>0</v>
      </c>
      <c r="K9" s="3447">
        <f t="shared" ref="K9:K26" si="1">I9+J9</f>
        <v>785.99</v>
      </c>
      <c r="L9" s="3447">
        <v>4</v>
      </c>
      <c r="M9" s="3447">
        <v>0</v>
      </c>
    </row>
    <row r="10" spans="1:15">
      <c r="A10" s="3445" t="s">
        <v>3127</v>
      </c>
      <c r="B10" s="3447">
        <v>785.99</v>
      </c>
      <c r="C10" s="3447">
        <v>0</v>
      </c>
      <c r="D10" s="3447">
        <f t="shared" si="0"/>
        <v>785.99</v>
      </c>
      <c r="E10" s="3447">
        <v>4</v>
      </c>
      <c r="F10" s="3447">
        <v>0</v>
      </c>
      <c r="H10" s="3447" t="s">
        <v>3127</v>
      </c>
      <c r="I10" s="3447">
        <v>785.99</v>
      </c>
      <c r="J10" s="3447">
        <v>0</v>
      </c>
      <c r="K10" s="3447">
        <f t="shared" si="1"/>
        <v>785.99</v>
      </c>
      <c r="L10" s="3447">
        <v>4</v>
      </c>
      <c r="M10" s="3447">
        <v>0</v>
      </c>
    </row>
    <row r="11" spans="1:15">
      <c r="A11" s="3445" t="s">
        <v>3128</v>
      </c>
      <c r="B11" s="3447">
        <v>785.99</v>
      </c>
      <c r="C11" s="3447">
        <v>0</v>
      </c>
      <c r="D11" s="3447">
        <f t="shared" si="0"/>
        <v>785.99</v>
      </c>
      <c r="E11" s="3447">
        <v>4</v>
      </c>
      <c r="F11" s="3447">
        <v>0</v>
      </c>
      <c r="H11" s="3447" t="s">
        <v>3128</v>
      </c>
      <c r="I11" s="3447">
        <v>785.99</v>
      </c>
      <c r="J11" s="3447">
        <v>0</v>
      </c>
      <c r="K11" s="3447">
        <f t="shared" si="1"/>
        <v>785.99</v>
      </c>
      <c r="L11" s="3447">
        <v>4</v>
      </c>
      <c r="M11" s="3447">
        <v>0</v>
      </c>
    </row>
    <row r="12" spans="1:15">
      <c r="A12" s="3445" t="s">
        <v>3129</v>
      </c>
      <c r="B12" s="3447">
        <v>785.99</v>
      </c>
      <c r="C12" s="3447">
        <v>0</v>
      </c>
      <c r="D12" s="3447">
        <f t="shared" si="0"/>
        <v>785.99</v>
      </c>
      <c r="E12" s="3447">
        <v>4</v>
      </c>
      <c r="F12" s="3447">
        <v>0</v>
      </c>
      <c r="H12" s="3447" t="s">
        <v>3129</v>
      </c>
      <c r="I12" s="3447">
        <v>785.99</v>
      </c>
      <c r="J12" s="3447">
        <v>0</v>
      </c>
      <c r="K12" s="3447">
        <f t="shared" si="1"/>
        <v>785.99</v>
      </c>
      <c r="L12" s="3447">
        <v>4</v>
      </c>
      <c r="M12" s="3447">
        <v>0</v>
      </c>
    </row>
    <row r="13" spans="1:15">
      <c r="A13" s="3445" t="s">
        <v>3130</v>
      </c>
      <c r="B13" s="3447">
        <v>785.99</v>
      </c>
      <c r="C13" s="3447">
        <v>0</v>
      </c>
      <c r="D13" s="3447">
        <f t="shared" si="0"/>
        <v>785.99</v>
      </c>
      <c r="E13" s="3447">
        <v>4</v>
      </c>
      <c r="F13" s="3447">
        <v>0</v>
      </c>
      <c r="H13" s="3447" t="s">
        <v>3130</v>
      </c>
      <c r="I13" s="3447">
        <v>785.99</v>
      </c>
      <c r="J13" s="3447">
        <v>0</v>
      </c>
      <c r="K13" s="3447">
        <f t="shared" si="1"/>
        <v>785.99</v>
      </c>
      <c r="L13" s="3447">
        <v>4</v>
      </c>
      <c r="M13" s="3447">
        <v>0</v>
      </c>
    </row>
    <row r="14" spans="1:15">
      <c r="A14" s="3445" t="s">
        <v>3131</v>
      </c>
      <c r="B14" s="3447">
        <v>785.99</v>
      </c>
      <c r="C14" s="3447">
        <v>0</v>
      </c>
      <c r="D14" s="3447">
        <f t="shared" si="0"/>
        <v>785.99</v>
      </c>
      <c r="E14" s="3447">
        <v>4</v>
      </c>
      <c r="F14" s="3447">
        <v>0</v>
      </c>
      <c r="H14" s="3447" t="s">
        <v>3131</v>
      </c>
      <c r="I14" s="3447">
        <v>785.99</v>
      </c>
      <c r="J14" s="3447">
        <v>0</v>
      </c>
      <c r="K14" s="3447">
        <f t="shared" si="1"/>
        <v>785.99</v>
      </c>
      <c r="L14" s="3447">
        <v>4</v>
      </c>
      <c r="M14" s="3447">
        <v>0</v>
      </c>
    </row>
    <row r="15" spans="1:15">
      <c r="A15" s="3445" t="s">
        <v>3132</v>
      </c>
      <c r="B15" s="3447">
        <v>920.53</v>
      </c>
      <c r="C15" s="3447">
        <v>0</v>
      </c>
      <c r="D15" s="3447">
        <f t="shared" si="0"/>
        <v>920.53</v>
      </c>
      <c r="E15" s="3447">
        <v>4</v>
      </c>
      <c r="F15" s="3447">
        <v>0</v>
      </c>
      <c r="H15" s="3447" t="s">
        <v>3132</v>
      </c>
      <c r="I15" s="3447">
        <v>785.99</v>
      </c>
      <c r="J15" s="3447">
        <v>0</v>
      </c>
      <c r="K15" s="3447">
        <f t="shared" si="1"/>
        <v>785.99</v>
      </c>
      <c r="L15" s="3447">
        <v>4</v>
      </c>
      <c r="M15" s="3447">
        <v>0</v>
      </c>
    </row>
    <row r="16" spans="1:15">
      <c r="A16" s="3445" t="s">
        <v>3133</v>
      </c>
      <c r="B16" s="3447">
        <v>920.53</v>
      </c>
      <c r="C16" s="3447">
        <v>0</v>
      </c>
      <c r="D16" s="3447">
        <f t="shared" ref="D16:D20" si="2">B16+C16</f>
        <v>920.53</v>
      </c>
      <c r="E16" s="3447">
        <v>4</v>
      </c>
      <c r="F16" s="3447">
        <v>0</v>
      </c>
      <c r="H16" s="3447" t="s">
        <v>3133</v>
      </c>
      <c r="I16" s="3447">
        <v>920.53</v>
      </c>
      <c r="J16" s="3447">
        <v>0</v>
      </c>
      <c r="K16" s="3447">
        <f t="shared" si="1"/>
        <v>920.53</v>
      </c>
      <c r="L16" s="3447">
        <v>4</v>
      </c>
      <c r="M16" s="3447">
        <v>0</v>
      </c>
    </row>
    <row r="17" spans="1:13">
      <c r="A17" s="3445" t="s">
        <v>3134</v>
      </c>
      <c r="B17" s="3447">
        <v>920.53</v>
      </c>
      <c r="C17" s="3447">
        <v>0</v>
      </c>
      <c r="D17" s="3447">
        <f t="shared" si="2"/>
        <v>920.53</v>
      </c>
      <c r="E17" s="3447">
        <v>4</v>
      </c>
      <c r="F17" s="3447">
        <v>0</v>
      </c>
      <c r="H17" s="3447" t="s">
        <v>3134</v>
      </c>
      <c r="I17" s="3447">
        <v>920.53</v>
      </c>
      <c r="J17" s="3447">
        <v>0</v>
      </c>
      <c r="K17" s="3447">
        <f t="shared" si="1"/>
        <v>920.53</v>
      </c>
      <c r="L17" s="3447">
        <v>4</v>
      </c>
      <c r="M17" s="3447">
        <v>0</v>
      </c>
    </row>
    <row r="18" spans="1:13">
      <c r="A18" s="3445" t="s">
        <v>3135</v>
      </c>
      <c r="B18" s="3447">
        <v>920.53</v>
      </c>
      <c r="C18" s="3447">
        <v>0</v>
      </c>
      <c r="D18" s="3447">
        <f t="shared" si="2"/>
        <v>920.53</v>
      </c>
      <c r="E18" s="3447">
        <v>4</v>
      </c>
      <c r="F18" s="3447">
        <v>0</v>
      </c>
      <c r="H18" s="3447" t="s">
        <v>3135</v>
      </c>
      <c r="I18" s="3447">
        <v>920.53</v>
      </c>
      <c r="J18" s="3447">
        <v>0</v>
      </c>
      <c r="K18" s="3447">
        <f t="shared" si="1"/>
        <v>920.53</v>
      </c>
      <c r="L18" s="3447">
        <v>4</v>
      </c>
      <c r="M18" s="3447">
        <v>0</v>
      </c>
    </row>
    <row r="19" spans="1:13">
      <c r="A19" s="3445" t="s">
        <v>3136</v>
      </c>
      <c r="B19" s="3447">
        <v>920.53</v>
      </c>
      <c r="C19" s="3447">
        <v>0</v>
      </c>
      <c r="D19" s="3447">
        <f t="shared" si="2"/>
        <v>920.53</v>
      </c>
      <c r="E19" s="3447">
        <v>4</v>
      </c>
      <c r="F19" s="3447">
        <v>0</v>
      </c>
      <c r="H19" s="3447" t="s">
        <v>3136</v>
      </c>
      <c r="I19" s="3447">
        <v>920.53</v>
      </c>
      <c r="J19" s="3447">
        <v>0</v>
      </c>
      <c r="K19" s="3447">
        <f t="shared" si="1"/>
        <v>920.53</v>
      </c>
      <c r="L19" s="3447">
        <v>4</v>
      </c>
      <c r="M19" s="3447">
        <v>0</v>
      </c>
    </row>
    <row r="20" spans="1:13">
      <c r="A20" s="3445" t="s">
        <v>3137</v>
      </c>
      <c r="B20" s="3447">
        <v>594.99</v>
      </c>
      <c r="C20" s="3447">
        <v>0</v>
      </c>
      <c r="D20" s="3447">
        <f t="shared" si="2"/>
        <v>594.99</v>
      </c>
      <c r="E20" s="3447">
        <v>4</v>
      </c>
      <c r="F20" s="3447">
        <v>0</v>
      </c>
      <c r="H20" s="3447" t="s">
        <v>3137</v>
      </c>
      <c r="I20" s="3447">
        <v>920.53</v>
      </c>
      <c r="J20" s="3447">
        <v>0</v>
      </c>
      <c r="K20" s="3447">
        <f t="shared" si="1"/>
        <v>920.53</v>
      </c>
      <c r="L20" s="3447">
        <v>4</v>
      </c>
      <c r="M20" s="3447">
        <v>0</v>
      </c>
    </row>
    <row r="21" spans="1:13">
      <c r="A21" s="3445" t="s">
        <v>3138</v>
      </c>
      <c r="B21" s="3447">
        <v>594.99</v>
      </c>
      <c r="C21" s="3447">
        <v>0</v>
      </c>
      <c r="D21" s="3447">
        <f t="shared" ref="D21:D22" si="3">B21+C21</f>
        <v>594.99</v>
      </c>
      <c r="E21" s="3447">
        <v>4</v>
      </c>
      <c r="F21" s="3447">
        <v>0</v>
      </c>
      <c r="H21" s="3447" t="s">
        <v>3138</v>
      </c>
      <c r="I21" s="3447">
        <v>920.53</v>
      </c>
      <c r="J21" s="3447">
        <v>0</v>
      </c>
      <c r="K21" s="3447">
        <f t="shared" si="1"/>
        <v>920.53</v>
      </c>
      <c r="L21" s="3447">
        <v>4</v>
      </c>
      <c r="M21" s="3447">
        <v>0</v>
      </c>
    </row>
    <row r="22" spans="1:13">
      <c r="A22" s="3445" t="s">
        <v>3139</v>
      </c>
      <c r="B22" s="3447">
        <v>594.99</v>
      </c>
      <c r="C22" s="3447">
        <v>0</v>
      </c>
      <c r="D22" s="3447">
        <f t="shared" si="3"/>
        <v>594.99</v>
      </c>
      <c r="E22" s="3447">
        <v>4</v>
      </c>
      <c r="F22" s="3447">
        <v>0</v>
      </c>
      <c r="H22" s="3447" t="s">
        <v>3139</v>
      </c>
      <c r="I22" s="3447">
        <v>920.53</v>
      </c>
      <c r="J22" s="3447">
        <v>0</v>
      </c>
      <c r="K22" s="3447">
        <f t="shared" si="1"/>
        <v>920.53</v>
      </c>
      <c r="L22" s="3447">
        <v>4</v>
      </c>
      <c r="M22" s="3447">
        <v>0</v>
      </c>
    </row>
    <row r="23" spans="1:13">
      <c r="A23" s="3445" t="s">
        <v>3140</v>
      </c>
      <c r="B23" s="3447">
        <v>594.99</v>
      </c>
      <c r="C23" s="3447">
        <v>0</v>
      </c>
      <c r="D23" s="3447">
        <f t="shared" ref="D23:D28" si="4">B23+C23</f>
        <v>594.99</v>
      </c>
      <c r="E23" s="3447">
        <v>4</v>
      </c>
      <c r="F23" s="3447">
        <v>0</v>
      </c>
      <c r="H23" s="3447" t="s">
        <v>3140</v>
      </c>
      <c r="I23" s="3447">
        <v>922.57</v>
      </c>
      <c r="J23" s="3447">
        <v>0</v>
      </c>
      <c r="K23" s="3447">
        <f t="shared" si="1"/>
        <v>922.57</v>
      </c>
      <c r="L23" s="3447">
        <v>4</v>
      </c>
      <c r="M23" s="3447">
        <v>0</v>
      </c>
    </row>
    <row r="24" spans="1:13">
      <c r="A24" s="3445" t="s">
        <v>3141</v>
      </c>
      <c r="B24" s="3447">
        <v>594.99</v>
      </c>
      <c r="C24" s="3447">
        <v>0</v>
      </c>
      <c r="D24" s="3447">
        <f t="shared" si="4"/>
        <v>594.99</v>
      </c>
      <c r="E24" s="3447">
        <v>4</v>
      </c>
      <c r="F24" s="3447">
        <v>0</v>
      </c>
      <c r="H24" s="3447" t="s">
        <v>3141</v>
      </c>
      <c r="I24" s="3447">
        <v>922.57</v>
      </c>
      <c r="J24" s="3447">
        <v>0</v>
      </c>
      <c r="K24" s="3447">
        <f t="shared" si="1"/>
        <v>922.57</v>
      </c>
      <c r="L24" s="3447">
        <v>4</v>
      </c>
      <c r="M24" s="3447">
        <v>0</v>
      </c>
    </row>
    <row r="25" spans="1:13">
      <c r="A25" s="3445" t="s">
        <v>3142</v>
      </c>
      <c r="B25" s="3447">
        <v>594.99</v>
      </c>
      <c r="C25" s="3447">
        <v>0</v>
      </c>
      <c r="D25" s="3447">
        <f t="shared" si="4"/>
        <v>594.99</v>
      </c>
      <c r="E25" s="3447">
        <v>4</v>
      </c>
      <c r="F25" s="3447">
        <v>0</v>
      </c>
      <c r="H25" s="3447" t="s">
        <v>3142</v>
      </c>
      <c r="I25" s="3447">
        <v>922.57</v>
      </c>
      <c r="J25" s="3447">
        <v>0</v>
      </c>
      <c r="K25" s="3447">
        <f t="shared" si="1"/>
        <v>922.57</v>
      </c>
      <c r="L25" s="3447">
        <v>4</v>
      </c>
      <c r="M25" s="3447">
        <v>0</v>
      </c>
    </row>
    <row r="26" spans="1:13">
      <c r="A26" s="3445" t="s">
        <v>3143</v>
      </c>
      <c r="B26" s="3447">
        <v>594.99</v>
      </c>
      <c r="C26" s="3447">
        <v>0</v>
      </c>
      <c r="D26" s="3447">
        <f t="shared" si="4"/>
        <v>594.99</v>
      </c>
      <c r="E26" s="3447">
        <v>4</v>
      </c>
      <c r="F26" s="3447">
        <v>0</v>
      </c>
      <c r="H26" s="3447" t="s">
        <v>3143</v>
      </c>
      <c r="I26" s="3447">
        <v>594.99</v>
      </c>
      <c r="J26" s="3447">
        <v>0</v>
      </c>
      <c r="K26" s="3447">
        <f t="shared" si="1"/>
        <v>594.99</v>
      </c>
      <c r="L26" s="3447">
        <v>4</v>
      </c>
      <c r="M26" s="3447">
        <v>0</v>
      </c>
    </row>
    <row r="27" spans="1:13">
      <c r="A27" s="3445" t="s">
        <v>3144</v>
      </c>
      <c r="B27" s="3447">
        <v>922.57</v>
      </c>
      <c r="C27" s="3447">
        <v>0</v>
      </c>
      <c r="D27" s="3447">
        <f t="shared" si="4"/>
        <v>922.57</v>
      </c>
      <c r="E27" s="3447">
        <v>4</v>
      </c>
      <c r="F27" s="3447">
        <v>0</v>
      </c>
      <c r="H27" s="3447" t="s">
        <v>3144</v>
      </c>
      <c r="I27" s="3447">
        <v>920.53</v>
      </c>
      <c r="J27" s="3447">
        <v>0</v>
      </c>
      <c r="K27" s="3447">
        <f t="shared" ref="K27" si="5">I27+J27</f>
        <v>920.53</v>
      </c>
      <c r="L27" s="3447">
        <v>4</v>
      </c>
      <c r="M27" s="3447">
        <v>0</v>
      </c>
    </row>
    <row r="28" spans="1:13">
      <c r="A28" s="3447" t="s">
        <v>3145</v>
      </c>
      <c r="B28" s="3447">
        <v>920.53</v>
      </c>
      <c r="C28" s="3447">
        <v>0</v>
      </c>
      <c r="D28" s="3447">
        <f t="shared" si="4"/>
        <v>920.53</v>
      </c>
      <c r="E28" s="3447">
        <v>4</v>
      </c>
      <c r="F28" s="3447">
        <v>0</v>
      </c>
      <c r="H28" s="3447" t="s">
        <v>3145</v>
      </c>
      <c r="I28" s="3447">
        <v>920.53</v>
      </c>
      <c r="J28" s="3447">
        <v>0</v>
      </c>
      <c r="K28" s="3447">
        <f t="shared" ref="K28:K36" si="6">I28+J28</f>
        <v>920.53</v>
      </c>
      <c r="L28" s="3447">
        <v>4</v>
      </c>
      <c r="M28" s="3447">
        <v>0</v>
      </c>
    </row>
    <row r="29" spans="1:13">
      <c r="A29" s="3447" t="s">
        <v>3146</v>
      </c>
      <c r="B29" s="3447">
        <v>922.57</v>
      </c>
      <c r="C29" s="3447">
        <v>0</v>
      </c>
      <c r="D29" s="3447">
        <f t="shared" ref="D29:D36" si="7">B29+C29</f>
        <v>922.57</v>
      </c>
      <c r="E29" s="3447">
        <v>4</v>
      </c>
      <c r="F29" s="3447">
        <v>0</v>
      </c>
      <c r="H29" s="3447" t="s">
        <v>3146</v>
      </c>
      <c r="I29" s="3447">
        <v>923.08</v>
      </c>
      <c r="J29" s="3447">
        <v>0</v>
      </c>
      <c r="K29" s="3447">
        <f t="shared" si="6"/>
        <v>923.08</v>
      </c>
      <c r="L29" s="3447">
        <v>4</v>
      </c>
      <c r="M29" s="3447">
        <v>0</v>
      </c>
    </row>
    <row r="30" spans="1:13">
      <c r="A30" s="3447" t="s">
        <v>3147</v>
      </c>
      <c r="B30" s="3447">
        <v>924.32</v>
      </c>
      <c r="C30" s="3447">
        <v>0</v>
      </c>
      <c r="D30" s="3447">
        <f t="shared" si="7"/>
        <v>924.32</v>
      </c>
      <c r="E30" s="3447">
        <v>4</v>
      </c>
      <c r="F30" s="3447">
        <v>0</v>
      </c>
      <c r="H30" s="3447" t="s">
        <v>3147</v>
      </c>
      <c r="I30" s="3447">
        <v>920.53</v>
      </c>
      <c r="J30" s="3447">
        <v>0</v>
      </c>
      <c r="K30" s="3447">
        <f t="shared" si="6"/>
        <v>920.53</v>
      </c>
      <c r="L30" s="3447">
        <v>4</v>
      </c>
      <c r="M30" s="3447">
        <v>0</v>
      </c>
    </row>
    <row r="31" spans="1:13">
      <c r="A31" s="3447" t="s">
        <v>3148</v>
      </c>
      <c r="B31" s="3447">
        <v>924.28</v>
      </c>
      <c r="C31" s="3447">
        <v>0</v>
      </c>
      <c r="D31" s="3447">
        <f t="shared" si="7"/>
        <v>924.28</v>
      </c>
      <c r="E31" s="3447">
        <v>4</v>
      </c>
      <c r="F31" s="3447">
        <v>0</v>
      </c>
      <c r="H31" s="3447" t="s">
        <v>3148</v>
      </c>
      <c r="I31" s="3447">
        <v>920.53</v>
      </c>
      <c r="J31" s="3447">
        <v>0</v>
      </c>
      <c r="K31" s="3447">
        <f t="shared" si="6"/>
        <v>920.53</v>
      </c>
      <c r="L31" s="3447">
        <v>4</v>
      </c>
      <c r="M31" s="3447">
        <v>0</v>
      </c>
    </row>
    <row r="32" spans="1:13">
      <c r="A32" s="3447" t="s">
        <v>3149</v>
      </c>
      <c r="B32" s="3447">
        <v>920.53</v>
      </c>
      <c r="C32" s="3447">
        <v>0</v>
      </c>
      <c r="D32" s="3447">
        <f t="shared" si="7"/>
        <v>920.53</v>
      </c>
      <c r="E32" s="3447">
        <v>4</v>
      </c>
      <c r="F32" s="3447">
        <v>0</v>
      </c>
      <c r="H32" s="3447" t="s">
        <v>3149</v>
      </c>
      <c r="I32" s="3447">
        <v>920.53</v>
      </c>
      <c r="J32" s="3447">
        <v>0</v>
      </c>
      <c r="K32" s="3447">
        <f t="shared" si="6"/>
        <v>920.53</v>
      </c>
      <c r="L32" s="3447">
        <v>4</v>
      </c>
      <c r="M32" s="3447">
        <v>0</v>
      </c>
    </row>
    <row r="33" spans="1:13">
      <c r="A33" s="3447" t="s">
        <v>3150</v>
      </c>
      <c r="B33" s="3447">
        <v>594.99</v>
      </c>
      <c r="C33" s="3447">
        <v>0</v>
      </c>
      <c r="D33" s="3447">
        <f t="shared" si="7"/>
        <v>594.99</v>
      </c>
      <c r="E33" s="3447">
        <v>4</v>
      </c>
      <c r="F33" s="3447">
        <v>0</v>
      </c>
      <c r="H33" s="3447" t="s">
        <v>3150</v>
      </c>
      <c r="I33" s="3447">
        <v>920.53</v>
      </c>
      <c r="J33" s="3447">
        <v>0</v>
      </c>
      <c r="K33" s="3447">
        <f t="shared" si="6"/>
        <v>920.53</v>
      </c>
      <c r="L33" s="3447">
        <v>4</v>
      </c>
      <c r="M33" s="3447">
        <v>0</v>
      </c>
    </row>
    <row r="34" spans="1:13">
      <c r="A34" s="3447" t="s">
        <v>3151</v>
      </c>
      <c r="B34" s="3447">
        <v>594.99</v>
      </c>
      <c r="C34" s="3447">
        <v>0</v>
      </c>
      <c r="D34" s="3447">
        <f t="shared" si="7"/>
        <v>594.99</v>
      </c>
      <c r="E34" s="3447">
        <v>4</v>
      </c>
      <c r="F34" s="3447">
        <v>0</v>
      </c>
      <c r="H34" s="3447" t="s">
        <v>3151</v>
      </c>
      <c r="I34" s="3447">
        <v>923.08</v>
      </c>
      <c r="J34" s="3447">
        <v>0</v>
      </c>
      <c r="K34" s="3447">
        <f t="shared" si="6"/>
        <v>923.08</v>
      </c>
      <c r="L34" s="3447">
        <v>4</v>
      </c>
      <c r="M34" s="3447">
        <v>0</v>
      </c>
    </row>
    <row r="35" spans="1:13">
      <c r="A35" s="3447" t="s">
        <v>3152</v>
      </c>
      <c r="B35" s="3447">
        <v>594.99</v>
      </c>
      <c r="C35" s="3447">
        <v>0</v>
      </c>
      <c r="D35" s="3447">
        <f t="shared" si="7"/>
        <v>594.99</v>
      </c>
      <c r="E35" s="3447">
        <v>4</v>
      </c>
      <c r="F35" s="3447">
        <v>0</v>
      </c>
      <c r="H35" s="3447" t="s">
        <v>3152</v>
      </c>
      <c r="I35" s="3447">
        <v>920.53</v>
      </c>
      <c r="J35" s="3447">
        <v>0</v>
      </c>
      <c r="K35" s="3447">
        <f t="shared" si="6"/>
        <v>920.53</v>
      </c>
      <c r="L35" s="3447">
        <v>4</v>
      </c>
      <c r="M35" s="3447">
        <v>0</v>
      </c>
    </row>
    <row r="36" spans="1:13">
      <c r="A36" s="3447" t="s">
        <v>3153</v>
      </c>
      <c r="B36" s="3447">
        <v>594.99</v>
      </c>
      <c r="C36" s="3447">
        <v>0</v>
      </c>
      <c r="D36" s="3447">
        <f t="shared" si="7"/>
        <v>594.99</v>
      </c>
      <c r="E36" s="3447">
        <v>4</v>
      </c>
      <c r="F36" s="3447">
        <v>0</v>
      </c>
      <c r="H36" s="3447" t="s">
        <v>3153</v>
      </c>
      <c r="I36" s="3447">
        <v>1186.29</v>
      </c>
      <c r="J36" s="3447">
        <v>0</v>
      </c>
      <c r="K36" s="3447">
        <f t="shared" si="6"/>
        <v>1186.29</v>
      </c>
      <c r="L36" s="3447">
        <v>4</v>
      </c>
      <c r="M36" s="3447">
        <v>0</v>
      </c>
    </row>
    <row r="37" spans="1:13">
      <c r="A37" s="3447" t="s">
        <v>3154</v>
      </c>
      <c r="B37" s="3447">
        <v>920.53</v>
      </c>
      <c r="C37" s="3447">
        <v>0</v>
      </c>
      <c r="D37" s="3447">
        <f t="shared" ref="D37:D38" si="8">B37+C37</f>
        <v>920.53</v>
      </c>
      <c r="E37" s="3447">
        <v>4</v>
      </c>
      <c r="F37" s="3447">
        <v>0</v>
      </c>
      <c r="H37" s="3447" t="s">
        <v>3154</v>
      </c>
      <c r="I37" s="3447">
        <v>1186.29</v>
      </c>
      <c r="J37" s="3447">
        <v>0</v>
      </c>
      <c r="K37" s="3447">
        <f t="shared" ref="K37:K44" si="9">I37+J37</f>
        <v>1186.29</v>
      </c>
      <c r="L37" s="3447">
        <v>4</v>
      </c>
      <c r="M37" s="3447">
        <v>0</v>
      </c>
    </row>
    <row r="38" spans="1:13">
      <c r="A38" s="3447" t="s">
        <v>3155</v>
      </c>
      <c r="B38" s="3447">
        <v>922.61</v>
      </c>
      <c r="C38" s="3447">
        <v>0</v>
      </c>
      <c r="D38" s="3447">
        <f t="shared" si="8"/>
        <v>922.61</v>
      </c>
      <c r="E38" s="3447">
        <v>4</v>
      </c>
      <c r="F38" s="3447">
        <v>0</v>
      </c>
      <c r="H38" s="3447" t="s">
        <v>3155</v>
      </c>
      <c r="I38" s="3447">
        <v>1186.29</v>
      </c>
      <c r="J38" s="3447">
        <v>0</v>
      </c>
      <c r="K38" s="3447">
        <f t="shared" si="9"/>
        <v>1186.29</v>
      </c>
      <c r="L38" s="3447">
        <v>4</v>
      </c>
      <c r="M38" s="3447">
        <v>0</v>
      </c>
    </row>
    <row r="39" spans="1:13">
      <c r="A39" s="3447" t="s">
        <v>3156</v>
      </c>
      <c r="B39" s="3447">
        <v>920.53</v>
      </c>
      <c r="C39" s="3447">
        <v>0</v>
      </c>
      <c r="D39" s="3447">
        <f t="shared" ref="D39:D40" si="10">B39+C39</f>
        <v>920.53</v>
      </c>
      <c r="E39" s="3447">
        <v>4</v>
      </c>
      <c r="F39" s="3447">
        <v>0</v>
      </c>
      <c r="H39" s="3447" t="s">
        <v>3156</v>
      </c>
      <c r="I39" s="3447">
        <v>1186.29</v>
      </c>
      <c r="J39" s="3447">
        <v>0</v>
      </c>
      <c r="K39" s="3447">
        <f t="shared" si="9"/>
        <v>1186.29</v>
      </c>
      <c r="L39" s="3447">
        <v>4</v>
      </c>
      <c r="M39" s="3447">
        <v>0</v>
      </c>
    </row>
    <row r="40" spans="1:13">
      <c r="A40" s="3447" t="s">
        <v>3157</v>
      </c>
      <c r="B40" s="3447">
        <v>594.99</v>
      </c>
      <c r="C40" s="3447">
        <v>0</v>
      </c>
      <c r="D40" s="3447">
        <f t="shared" si="10"/>
        <v>594.99</v>
      </c>
      <c r="E40" s="3447">
        <v>4</v>
      </c>
      <c r="F40" s="3447">
        <v>0</v>
      </c>
      <c r="H40" s="3447" t="s">
        <v>3157</v>
      </c>
      <c r="I40" s="3447">
        <v>1186.29</v>
      </c>
      <c r="J40" s="3447">
        <v>0</v>
      </c>
      <c r="K40" s="3447">
        <f t="shared" si="9"/>
        <v>1186.29</v>
      </c>
      <c r="L40" s="3447">
        <v>4</v>
      </c>
      <c r="M40" s="3447">
        <v>0</v>
      </c>
    </row>
    <row r="41" spans="1:13">
      <c r="A41" s="3447" t="s">
        <v>3158</v>
      </c>
      <c r="B41" s="3447">
        <v>594.99</v>
      </c>
      <c r="C41" s="3447">
        <v>0</v>
      </c>
      <c r="D41" s="3447">
        <f t="shared" ref="D41:D57" si="11">B41+C41</f>
        <v>594.99</v>
      </c>
      <c r="E41" s="3447">
        <v>4</v>
      </c>
      <c r="F41" s="3447">
        <v>0</v>
      </c>
      <c r="H41" s="3447" t="s">
        <v>3158</v>
      </c>
      <c r="I41" s="3447">
        <v>1186.29</v>
      </c>
      <c r="J41" s="3447">
        <v>0</v>
      </c>
      <c r="K41" s="3447">
        <f t="shared" si="9"/>
        <v>1186.29</v>
      </c>
      <c r="L41" s="3447">
        <v>4</v>
      </c>
      <c r="M41" s="3447">
        <v>0</v>
      </c>
    </row>
    <row r="42" spans="1:13">
      <c r="A42" s="3445" t="s">
        <v>3159</v>
      </c>
      <c r="B42" s="3447">
        <v>594.99</v>
      </c>
      <c r="C42" s="3447">
        <v>0</v>
      </c>
      <c r="D42" s="3447">
        <f t="shared" si="11"/>
        <v>594.99</v>
      </c>
      <c r="E42" s="3447">
        <v>4</v>
      </c>
      <c r="F42" s="3447">
        <v>0</v>
      </c>
      <c r="H42" s="3447" t="s">
        <v>3159</v>
      </c>
      <c r="I42" s="3447">
        <v>1186.29</v>
      </c>
      <c r="J42" s="3447">
        <v>0</v>
      </c>
      <c r="K42" s="3447">
        <f t="shared" si="9"/>
        <v>1186.29</v>
      </c>
      <c r="L42" s="3447">
        <v>4</v>
      </c>
      <c r="M42" s="3447">
        <v>0</v>
      </c>
    </row>
    <row r="43" spans="1:13">
      <c r="A43" s="3445" t="s">
        <v>3160</v>
      </c>
      <c r="B43" s="3447">
        <v>594.99</v>
      </c>
      <c r="C43" s="3447">
        <v>0</v>
      </c>
      <c r="D43" s="3447">
        <f t="shared" si="11"/>
        <v>594.99</v>
      </c>
      <c r="E43" s="3447">
        <v>4</v>
      </c>
      <c r="F43" s="3447">
        <v>0</v>
      </c>
      <c r="H43" s="3447" t="s">
        <v>3160</v>
      </c>
      <c r="I43" s="3447">
        <v>1186.29</v>
      </c>
      <c r="J43" s="3447">
        <v>0</v>
      </c>
      <c r="K43" s="3447">
        <f t="shared" si="9"/>
        <v>1186.29</v>
      </c>
      <c r="L43" s="3447">
        <v>4</v>
      </c>
      <c r="M43" s="3447">
        <v>0</v>
      </c>
    </row>
    <row r="44" spans="1:13">
      <c r="A44" s="3445" t="s">
        <v>3161</v>
      </c>
      <c r="B44" s="3447">
        <v>594.99</v>
      </c>
      <c r="C44" s="3447">
        <v>0</v>
      </c>
      <c r="D44" s="3447">
        <f t="shared" si="11"/>
        <v>594.99</v>
      </c>
      <c r="E44" s="3447">
        <v>4</v>
      </c>
      <c r="F44" s="3447">
        <v>0</v>
      </c>
      <c r="H44" s="3447" t="s">
        <v>3161</v>
      </c>
      <c r="I44" s="3447">
        <v>594.99</v>
      </c>
      <c r="J44" s="3447">
        <v>0</v>
      </c>
      <c r="K44" s="3447">
        <f t="shared" si="9"/>
        <v>594.99</v>
      </c>
      <c r="L44" s="3447">
        <v>4</v>
      </c>
      <c r="M44" s="3447">
        <v>0</v>
      </c>
    </row>
    <row r="45" spans="1:13">
      <c r="A45" s="3445" t="s">
        <v>3162</v>
      </c>
      <c r="B45" s="3447">
        <v>594.99</v>
      </c>
      <c r="C45" s="3447">
        <v>0</v>
      </c>
      <c r="D45" s="3447">
        <f t="shared" si="11"/>
        <v>594.99</v>
      </c>
      <c r="E45" s="3447">
        <v>4</v>
      </c>
      <c r="F45" s="3447">
        <v>0</v>
      </c>
      <c r="H45" s="3447" t="s">
        <v>3162</v>
      </c>
      <c r="I45" s="3447">
        <v>594.99</v>
      </c>
      <c r="J45" s="3447">
        <v>0</v>
      </c>
      <c r="K45" s="3447">
        <f t="shared" ref="K45:K52" si="12">I45+J45</f>
        <v>594.99</v>
      </c>
      <c r="L45" s="3447">
        <v>4</v>
      </c>
      <c r="M45" s="3447">
        <v>0</v>
      </c>
    </row>
    <row r="46" spans="1:13">
      <c r="A46" s="3445" t="s">
        <v>3163</v>
      </c>
      <c r="B46" s="3447">
        <v>594.99</v>
      </c>
      <c r="C46" s="3447">
        <v>0</v>
      </c>
      <c r="D46" s="3447">
        <f t="shared" si="11"/>
        <v>594.99</v>
      </c>
      <c r="E46" s="3447">
        <v>4</v>
      </c>
      <c r="F46" s="3447">
        <v>0</v>
      </c>
      <c r="H46" s="3447" t="s">
        <v>3163</v>
      </c>
      <c r="I46" s="3447">
        <v>1186.29</v>
      </c>
      <c r="J46" s="3447">
        <v>0</v>
      </c>
      <c r="K46" s="3447">
        <f t="shared" si="12"/>
        <v>1186.29</v>
      </c>
      <c r="L46" s="3447">
        <v>4</v>
      </c>
      <c r="M46" s="3447">
        <v>0</v>
      </c>
    </row>
    <row r="47" spans="1:13">
      <c r="A47" s="3445" t="s">
        <v>3164</v>
      </c>
      <c r="B47" s="3447">
        <v>594.99</v>
      </c>
      <c r="C47" s="3447">
        <v>0</v>
      </c>
      <c r="D47" s="3447">
        <f t="shared" si="11"/>
        <v>594.99</v>
      </c>
      <c r="E47" s="3447">
        <v>4</v>
      </c>
      <c r="F47" s="3447">
        <v>0</v>
      </c>
      <c r="H47" s="3447" t="s">
        <v>3164</v>
      </c>
      <c r="I47" s="3447">
        <v>785.99</v>
      </c>
      <c r="J47" s="3447">
        <v>0</v>
      </c>
      <c r="K47" s="3447">
        <f t="shared" si="12"/>
        <v>785.99</v>
      </c>
      <c r="L47" s="3447">
        <v>4</v>
      </c>
      <c r="M47" s="3447">
        <v>0</v>
      </c>
    </row>
    <row r="48" spans="1:13">
      <c r="A48" s="3445" t="s">
        <v>3165</v>
      </c>
      <c r="B48" s="3447">
        <v>594.99</v>
      </c>
      <c r="C48" s="3447">
        <v>0</v>
      </c>
      <c r="D48" s="3447">
        <f t="shared" si="11"/>
        <v>594.99</v>
      </c>
      <c r="E48" s="3447">
        <v>4</v>
      </c>
      <c r="F48" s="3447">
        <v>0</v>
      </c>
      <c r="H48" s="3447" t="s">
        <v>3165</v>
      </c>
      <c r="I48" s="3447">
        <v>785.99</v>
      </c>
      <c r="J48" s="3447">
        <v>0</v>
      </c>
      <c r="K48" s="3447">
        <f t="shared" si="12"/>
        <v>785.99</v>
      </c>
      <c r="L48" s="3447">
        <v>4</v>
      </c>
      <c r="M48" s="3447">
        <v>0</v>
      </c>
    </row>
    <row r="49" spans="1:13">
      <c r="A49" s="3445" t="s">
        <v>3166</v>
      </c>
      <c r="B49" s="3447">
        <v>594.99</v>
      </c>
      <c r="C49" s="3447">
        <v>0</v>
      </c>
      <c r="D49" s="3447">
        <f t="shared" si="11"/>
        <v>594.99</v>
      </c>
      <c r="E49" s="3447">
        <v>4</v>
      </c>
      <c r="F49" s="3447">
        <v>0</v>
      </c>
      <c r="H49" s="3447" t="s">
        <v>3166</v>
      </c>
      <c r="I49" s="3447">
        <v>785.99</v>
      </c>
      <c r="J49" s="3447">
        <v>0</v>
      </c>
      <c r="K49" s="3447">
        <f t="shared" si="12"/>
        <v>785.99</v>
      </c>
      <c r="L49" s="3447">
        <v>4</v>
      </c>
      <c r="M49" s="3447">
        <v>0</v>
      </c>
    </row>
    <row r="50" spans="1:13">
      <c r="A50" s="3445" t="s">
        <v>3167</v>
      </c>
      <c r="B50" s="3447">
        <v>594.99</v>
      </c>
      <c r="C50" s="3447">
        <v>0</v>
      </c>
      <c r="D50" s="3447">
        <f t="shared" si="11"/>
        <v>594.99</v>
      </c>
      <c r="E50" s="3447">
        <v>4</v>
      </c>
      <c r="F50" s="3447">
        <v>0</v>
      </c>
      <c r="H50" s="3447" t="s">
        <v>3167</v>
      </c>
      <c r="I50" s="3447">
        <v>785.99</v>
      </c>
      <c r="J50" s="3447">
        <v>0</v>
      </c>
      <c r="K50" s="3447">
        <f t="shared" si="12"/>
        <v>785.99</v>
      </c>
      <c r="L50" s="3447">
        <v>4</v>
      </c>
      <c r="M50" s="3447">
        <v>0</v>
      </c>
    </row>
    <row r="51" spans="1:13">
      <c r="A51" s="3445" t="s">
        <v>3168</v>
      </c>
      <c r="B51" s="3447">
        <v>594.99</v>
      </c>
      <c r="C51" s="3447">
        <v>0</v>
      </c>
      <c r="D51" s="3447">
        <f t="shared" si="11"/>
        <v>594.99</v>
      </c>
      <c r="E51" s="3447">
        <v>4</v>
      </c>
      <c r="F51" s="3447">
        <v>0</v>
      </c>
      <c r="H51" s="3447" t="s">
        <v>3168</v>
      </c>
      <c r="I51" s="3447">
        <v>785.99</v>
      </c>
      <c r="J51" s="3447">
        <v>0</v>
      </c>
      <c r="K51" s="3447">
        <f t="shared" si="12"/>
        <v>785.99</v>
      </c>
      <c r="L51" s="3447">
        <v>4</v>
      </c>
      <c r="M51" s="3447">
        <v>0</v>
      </c>
    </row>
    <row r="52" spans="1:13">
      <c r="A52" s="3445" t="s">
        <v>3169</v>
      </c>
      <c r="B52" s="3447">
        <v>594.99</v>
      </c>
      <c r="C52" s="3447">
        <v>0</v>
      </c>
      <c r="D52" s="3447">
        <f t="shared" si="11"/>
        <v>594.99</v>
      </c>
      <c r="E52" s="3447">
        <v>4</v>
      </c>
      <c r="F52" s="3447">
        <v>0</v>
      </c>
      <c r="H52" s="3447" t="s">
        <v>3169</v>
      </c>
      <c r="I52" s="3447">
        <v>785.99</v>
      </c>
      <c r="J52" s="3447">
        <v>0</v>
      </c>
      <c r="K52" s="3447">
        <f t="shared" si="12"/>
        <v>785.99</v>
      </c>
      <c r="L52" s="3447">
        <v>4</v>
      </c>
      <c r="M52" s="3447">
        <v>0</v>
      </c>
    </row>
    <row r="53" spans="1:13">
      <c r="A53" s="3445" t="s">
        <v>3170</v>
      </c>
      <c r="B53" s="3447">
        <v>594.99</v>
      </c>
      <c r="C53" s="3447">
        <v>0</v>
      </c>
      <c r="D53" s="3447">
        <f t="shared" si="11"/>
        <v>594.99</v>
      </c>
      <c r="E53" s="3447">
        <v>4</v>
      </c>
      <c r="F53" s="3447">
        <v>0</v>
      </c>
      <c r="H53" s="3447" t="s">
        <v>3170</v>
      </c>
      <c r="I53" s="3447">
        <v>1186.29</v>
      </c>
      <c r="J53" s="3447">
        <v>0</v>
      </c>
      <c r="K53" s="3447">
        <f t="shared" ref="K53:K55" si="13">I53+J53</f>
        <v>1186.29</v>
      </c>
      <c r="L53" s="3447">
        <v>4</v>
      </c>
      <c r="M53" s="3447">
        <v>0</v>
      </c>
    </row>
    <row r="54" spans="1:13">
      <c r="A54" s="3445" t="s">
        <v>3171</v>
      </c>
      <c r="B54" s="3447">
        <v>594.99</v>
      </c>
      <c r="C54" s="3447">
        <v>0</v>
      </c>
      <c r="D54" s="3447">
        <f t="shared" si="11"/>
        <v>594.99</v>
      </c>
      <c r="E54" s="3447">
        <v>4</v>
      </c>
      <c r="F54" s="3447">
        <v>0</v>
      </c>
      <c r="H54" s="3447" t="s">
        <v>3171</v>
      </c>
      <c r="I54" s="3447">
        <v>594.99</v>
      </c>
      <c r="J54" s="3447">
        <v>0</v>
      </c>
      <c r="K54" s="3447">
        <f t="shared" si="13"/>
        <v>594.99</v>
      </c>
      <c r="L54" s="3447">
        <v>4</v>
      </c>
      <c r="M54" s="3447">
        <v>0</v>
      </c>
    </row>
    <row r="55" spans="1:13">
      <c r="A55" s="3445" t="s">
        <v>3172</v>
      </c>
      <c r="B55" s="3447">
        <v>594.99</v>
      </c>
      <c r="C55" s="3447">
        <v>0</v>
      </c>
      <c r="D55" s="3447">
        <f t="shared" si="11"/>
        <v>594.99</v>
      </c>
      <c r="E55" s="3447">
        <v>4</v>
      </c>
      <c r="F55" s="3447">
        <v>0</v>
      </c>
      <c r="H55" s="3447" t="s">
        <v>3172</v>
      </c>
      <c r="I55" s="3447">
        <v>594.99</v>
      </c>
      <c r="J55" s="3447">
        <v>0</v>
      </c>
      <c r="K55" s="3447">
        <f t="shared" si="13"/>
        <v>594.99</v>
      </c>
      <c r="L55" s="3447">
        <v>4</v>
      </c>
      <c r="M55" s="3447">
        <v>0</v>
      </c>
    </row>
    <row r="56" spans="1:13">
      <c r="A56" s="3445" t="s">
        <v>3173</v>
      </c>
      <c r="B56" s="3447">
        <v>594.99</v>
      </c>
      <c r="C56" s="3447">
        <v>0</v>
      </c>
      <c r="D56" s="3447">
        <f t="shared" si="11"/>
        <v>594.99</v>
      </c>
      <c r="E56" s="3447">
        <v>4</v>
      </c>
      <c r="F56" s="3447">
        <v>0</v>
      </c>
      <c r="H56" s="3447" t="s">
        <v>3173</v>
      </c>
      <c r="I56" s="3447">
        <v>785.99</v>
      </c>
      <c r="J56" s="3447">
        <v>0</v>
      </c>
      <c r="K56" s="3447">
        <f t="shared" ref="K56:K61" si="14">I56+J56</f>
        <v>785.99</v>
      </c>
      <c r="L56" s="3447">
        <v>4</v>
      </c>
      <c r="M56" s="3447">
        <v>0</v>
      </c>
    </row>
    <row r="57" spans="1:13">
      <c r="A57" s="3445" t="s">
        <v>3174</v>
      </c>
      <c r="B57" s="3447">
        <v>594.99</v>
      </c>
      <c r="C57" s="3447">
        <v>0</v>
      </c>
      <c r="D57" s="3447">
        <f t="shared" si="11"/>
        <v>594.99</v>
      </c>
      <c r="E57" s="3447">
        <v>4</v>
      </c>
      <c r="F57" s="3447">
        <v>0</v>
      </c>
      <c r="H57" s="3447" t="s">
        <v>3174</v>
      </c>
      <c r="I57" s="3447">
        <v>785.99</v>
      </c>
      <c r="J57" s="3447">
        <v>0</v>
      </c>
      <c r="K57" s="3447">
        <f t="shared" si="14"/>
        <v>785.99</v>
      </c>
      <c r="L57" s="3447">
        <v>4</v>
      </c>
      <c r="M57" s="3447">
        <v>0</v>
      </c>
    </row>
    <row r="58" spans="1:13">
      <c r="A58" s="3445" t="s">
        <v>3175</v>
      </c>
      <c r="B58" s="3447">
        <v>594.99</v>
      </c>
      <c r="C58" s="3447">
        <v>0</v>
      </c>
      <c r="D58" s="3447">
        <f t="shared" ref="D58:D75" si="15">B58+C58</f>
        <v>594.99</v>
      </c>
      <c r="E58" s="3447">
        <v>4</v>
      </c>
      <c r="F58" s="3447">
        <v>0</v>
      </c>
      <c r="H58" s="3447" t="s">
        <v>3175</v>
      </c>
      <c r="I58" s="3447">
        <v>785.99</v>
      </c>
      <c r="J58" s="3447">
        <v>0</v>
      </c>
      <c r="K58" s="3447">
        <f t="shared" si="14"/>
        <v>785.99</v>
      </c>
      <c r="L58" s="3447">
        <v>4</v>
      </c>
      <c r="M58" s="3447">
        <v>0</v>
      </c>
    </row>
    <row r="59" spans="1:13">
      <c r="A59" s="3445" t="s">
        <v>3176</v>
      </c>
      <c r="B59" s="3447">
        <v>594.99</v>
      </c>
      <c r="C59" s="3447">
        <v>0</v>
      </c>
      <c r="D59" s="3447">
        <f t="shared" si="15"/>
        <v>594.99</v>
      </c>
      <c r="E59" s="3447">
        <v>4</v>
      </c>
      <c r="F59" s="3447">
        <v>0</v>
      </c>
      <c r="H59" s="3447" t="s">
        <v>3204</v>
      </c>
      <c r="I59" s="3447">
        <v>154.77000000000001</v>
      </c>
      <c r="J59" s="3447">
        <v>0</v>
      </c>
      <c r="K59" s="3447">
        <f t="shared" si="14"/>
        <v>154.77000000000001</v>
      </c>
      <c r="L59" s="3447">
        <v>1</v>
      </c>
      <c r="M59" s="3447">
        <v>0</v>
      </c>
    </row>
    <row r="60" spans="1:13">
      <c r="A60" s="3445" t="s">
        <v>3177</v>
      </c>
      <c r="B60" s="3447">
        <v>920.53</v>
      </c>
      <c r="C60" s="3447">
        <v>0</v>
      </c>
      <c r="D60" s="3447">
        <f t="shared" si="15"/>
        <v>920.53</v>
      </c>
      <c r="E60" s="3447">
        <v>4</v>
      </c>
      <c r="F60" s="3447">
        <v>0</v>
      </c>
      <c r="H60" s="3447" t="s">
        <v>3205</v>
      </c>
      <c r="I60" s="3447">
        <v>228.89</v>
      </c>
      <c r="J60" s="3447">
        <v>0</v>
      </c>
      <c r="K60" s="3447">
        <f t="shared" si="14"/>
        <v>228.89</v>
      </c>
      <c r="L60" s="3447">
        <v>1</v>
      </c>
      <c r="M60" s="3447">
        <v>0</v>
      </c>
    </row>
    <row r="61" spans="1:13">
      <c r="A61" s="3445" t="s">
        <v>3178</v>
      </c>
      <c r="B61" s="3447">
        <v>920.53</v>
      </c>
      <c r="C61" s="3447">
        <v>0</v>
      </c>
      <c r="D61" s="3447">
        <f t="shared" si="15"/>
        <v>920.53</v>
      </c>
      <c r="E61" s="3447">
        <v>4</v>
      </c>
      <c r="F61" s="3447">
        <v>0</v>
      </c>
      <c r="H61" s="3447" t="s">
        <v>3197</v>
      </c>
      <c r="I61" s="3447">
        <v>0</v>
      </c>
      <c r="J61" s="3447">
        <v>11010.02</v>
      </c>
      <c r="K61" s="3447">
        <f t="shared" si="14"/>
        <v>11010.02</v>
      </c>
      <c r="L61" s="3447">
        <v>0</v>
      </c>
      <c r="M61" s="3447">
        <v>1</v>
      </c>
    </row>
    <row r="62" spans="1:13">
      <c r="A62" s="3445" t="s">
        <v>3179</v>
      </c>
      <c r="B62" s="3447">
        <v>920.53</v>
      </c>
      <c r="C62" s="3447">
        <v>0</v>
      </c>
      <c r="D62" s="3447">
        <f t="shared" si="15"/>
        <v>920.53</v>
      </c>
      <c r="E62" s="3447">
        <v>4</v>
      </c>
      <c r="F62" s="3447">
        <v>0</v>
      </c>
      <c r="H62" s="3447"/>
      <c r="I62" s="3447">
        <f>SUM(I8:I61)</f>
        <v>46084.629999999976</v>
      </c>
      <c r="J62" s="3447">
        <f t="shared" ref="J62:K62" si="16">SUM(J8:J61)</f>
        <v>11010.02</v>
      </c>
      <c r="K62" s="3447">
        <f t="shared" si="16"/>
        <v>57094.64999999998</v>
      </c>
    </row>
    <row r="63" spans="1:13">
      <c r="A63" s="3445" t="s">
        <v>3180</v>
      </c>
      <c r="B63" s="3447">
        <v>920.53</v>
      </c>
      <c r="C63" s="3447">
        <v>0</v>
      </c>
      <c r="D63" s="3447">
        <f t="shared" si="15"/>
        <v>920.53</v>
      </c>
      <c r="E63" s="3447">
        <v>4</v>
      </c>
      <c r="F63" s="3447">
        <v>0</v>
      </c>
      <c r="H63" s="3447"/>
    </row>
    <row r="64" spans="1:13">
      <c r="A64" s="3445" t="s">
        <v>3181</v>
      </c>
      <c r="B64" s="3447">
        <v>920.53</v>
      </c>
      <c r="C64" s="3447">
        <v>0</v>
      </c>
      <c r="D64" s="3447">
        <f t="shared" si="15"/>
        <v>920.53</v>
      </c>
      <c r="H64" s="3447"/>
    </row>
    <row r="65" spans="1:8">
      <c r="A65" s="3445" t="s">
        <v>3182</v>
      </c>
      <c r="C65" s="3447">
        <v>0</v>
      </c>
      <c r="D65" s="3447">
        <f t="shared" si="15"/>
        <v>0</v>
      </c>
      <c r="E65" s="3447">
        <v>4</v>
      </c>
      <c r="F65" s="3447">
        <v>0</v>
      </c>
      <c r="H65" s="3447"/>
    </row>
    <row r="66" spans="1:8">
      <c r="A66" s="3445" t="s">
        <v>3190</v>
      </c>
      <c r="C66" s="3447">
        <v>0</v>
      </c>
      <c r="D66" s="3447">
        <f t="shared" si="15"/>
        <v>0</v>
      </c>
      <c r="E66" s="3447">
        <v>4</v>
      </c>
      <c r="F66" s="3447">
        <v>0</v>
      </c>
      <c r="H66" s="3447"/>
    </row>
    <row r="67" spans="1:8">
      <c r="A67" s="3445" t="s">
        <v>3191</v>
      </c>
      <c r="B67" s="3445">
        <v>785.99</v>
      </c>
      <c r="C67" s="3447">
        <v>0</v>
      </c>
      <c r="D67" s="3447">
        <f t="shared" si="15"/>
        <v>785.99</v>
      </c>
      <c r="E67" s="3447">
        <v>4</v>
      </c>
      <c r="F67" s="3447">
        <v>0</v>
      </c>
      <c r="H67" s="3447"/>
    </row>
    <row r="68" spans="1:8">
      <c r="A68" s="3445" t="s">
        <v>3192</v>
      </c>
      <c r="B68" s="3445">
        <v>785.99</v>
      </c>
      <c r="C68" s="3447">
        <v>0</v>
      </c>
      <c r="D68" s="3447">
        <f t="shared" si="15"/>
        <v>785.99</v>
      </c>
      <c r="E68" s="3447">
        <v>4</v>
      </c>
      <c r="F68" s="3447">
        <v>0</v>
      </c>
      <c r="H68" s="3447"/>
    </row>
    <row r="69" spans="1:8">
      <c r="A69" s="3445" t="s">
        <v>3193</v>
      </c>
      <c r="B69" s="3445">
        <v>785.99</v>
      </c>
      <c r="C69" s="3447">
        <v>0</v>
      </c>
      <c r="D69" s="3447">
        <f t="shared" si="15"/>
        <v>785.99</v>
      </c>
      <c r="E69" s="3447">
        <v>4</v>
      </c>
      <c r="F69" s="3447">
        <v>0</v>
      </c>
      <c r="H69" s="3447"/>
    </row>
    <row r="70" spans="1:8">
      <c r="A70" s="3447" t="s">
        <v>3194</v>
      </c>
      <c r="B70" s="3447">
        <v>785.99</v>
      </c>
      <c r="C70" s="3447">
        <v>0</v>
      </c>
      <c r="D70" s="3447">
        <f t="shared" si="15"/>
        <v>785.99</v>
      </c>
      <c r="E70" s="3447">
        <v>4</v>
      </c>
      <c r="F70" s="3447">
        <v>0</v>
      </c>
      <c r="H70" s="3447"/>
    </row>
    <row r="71" spans="1:8">
      <c r="A71" s="3447" t="s">
        <v>3195</v>
      </c>
      <c r="B71" s="3447">
        <v>785.99</v>
      </c>
      <c r="C71" s="3447">
        <v>0</v>
      </c>
      <c r="D71" s="3447">
        <f t="shared" si="15"/>
        <v>785.99</v>
      </c>
      <c r="E71" s="3447">
        <v>4</v>
      </c>
      <c r="F71" s="3447">
        <v>0</v>
      </c>
      <c r="H71" s="3447"/>
    </row>
    <row r="72" spans="1:8">
      <c r="A72" s="3447" t="s">
        <v>3196</v>
      </c>
      <c r="B72" s="3447">
        <v>785.95</v>
      </c>
      <c r="C72" s="3447">
        <v>0</v>
      </c>
      <c r="D72" s="3447">
        <f t="shared" si="15"/>
        <v>785.95</v>
      </c>
      <c r="E72" s="3447">
        <v>4</v>
      </c>
      <c r="F72" s="3447">
        <v>0</v>
      </c>
      <c r="H72" s="3447"/>
    </row>
    <row r="73" spans="1:8">
      <c r="A73" s="3447" t="s">
        <v>3197</v>
      </c>
      <c r="B73" s="3447">
        <v>0</v>
      </c>
      <c r="C73" s="3447">
        <v>11324.67</v>
      </c>
      <c r="D73" s="3447">
        <f t="shared" si="15"/>
        <v>11324.67</v>
      </c>
      <c r="E73" s="3447">
        <v>0</v>
      </c>
      <c r="F73" s="3447">
        <v>1</v>
      </c>
      <c r="H73" s="3447"/>
    </row>
    <row r="74" spans="1:8">
      <c r="A74" s="3447" t="s">
        <v>3198</v>
      </c>
      <c r="B74" s="3447">
        <v>192.67</v>
      </c>
      <c r="C74" s="3447">
        <v>0</v>
      </c>
      <c r="D74" s="3447">
        <f t="shared" si="15"/>
        <v>192.67</v>
      </c>
      <c r="E74" s="3447">
        <v>1</v>
      </c>
      <c r="F74" s="3447">
        <v>0</v>
      </c>
      <c r="H74" s="3447"/>
    </row>
    <row r="75" spans="1:8">
      <c r="A75" s="3447" t="s">
        <v>3199</v>
      </c>
      <c r="B75" s="3447">
        <v>154.77000000000001</v>
      </c>
      <c r="C75" s="3447">
        <v>0</v>
      </c>
      <c r="D75" s="3447">
        <f t="shared" si="15"/>
        <v>154.77000000000001</v>
      </c>
      <c r="E75" s="3447">
        <v>1</v>
      </c>
      <c r="F75" s="3447">
        <v>0</v>
      </c>
      <c r="H75" s="3447"/>
    </row>
    <row r="76" spans="1:8">
      <c r="A76" s="3447"/>
      <c r="B76" s="3447">
        <f>SUM(B8:B75)</f>
        <v>46513.729999999989</v>
      </c>
      <c r="C76" s="3447">
        <f t="shared" ref="C76:D76" si="17">SUM(C8:C75)</f>
        <v>11324.67</v>
      </c>
      <c r="D76" s="3447">
        <f t="shared" si="17"/>
        <v>57838.399999999987</v>
      </c>
      <c r="E76" s="3447"/>
      <c r="F76" s="3447"/>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9" sqref="M9"/>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51" t="s">
        <v>203</v>
      </c>
      <c r="B2" s="3551"/>
      <c r="C2" s="3551"/>
      <c r="D2" s="1841" t="s">
        <v>204</v>
      </c>
      <c r="E2" s="106" t="s">
        <v>205</v>
      </c>
      <c r="F2" s="2988"/>
      <c r="G2" s="1143"/>
      <c r="H2" s="1144"/>
      <c r="I2" s="1145" t="s">
        <v>837</v>
      </c>
      <c r="J2" s="2988"/>
      <c r="K2" s="2988"/>
      <c r="L2" s="2988"/>
      <c r="M2" s="2988"/>
      <c r="N2" s="2988"/>
      <c r="O2" s="2988"/>
      <c r="P2" s="2988"/>
    </row>
    <row r="3" spans="1:16" ht="15.75" thickBot="1">
      <c r="A3" s="3552" t="s">
        <v>206</v>
      </c>
      <c r="B3" s="3552"/>
      <c r="C3" s="3552"/>
      <c r="D3" s="107">
        <f>'数据-基础表'!AY6</f>
        <v>97473.98</v>
      </c>
      <c r="E3" s="107">
        <f>'数据-基础表'!AZ5</f>
        <v>51575.14</v>
      </c>
      <c r="F3" s="2988"/>
      <c r="G3" s="277" t="s">
        <v>838</v>
      </c>
      <c r="H3" s="272" t="s">
        <v>839</v>
      </c>
      <c r="I3" s="1842">
        <f>ROUND('数据-基础表'!B3/'数据-基础表'!A3,2)</f>
        <v>0.53</v>
      </c>
      <c r="J3" s="2988"/>
      <c r="K3" s="2988"/>
      <c r="L3" s="2988"/>
      <c r="M3" s="2988"/>
      <c r="N3" s="2988"/>
      <c r="O3" s="2988"/>
      <c r="P3" s="2988"/>
    </row>
    <row r="4" spans="1:16" ht="15">
      <c r="A4" s="3553"/>
      <c r="B4" s="3554"/>
      <c r="C4" s="3555"/>
      <c r="D4" s="108" t="s">
        <v>204</v>
      </c>
      <c r="E4" s="109" t="s">
        <v>205</v>
      </c>
      <c r="F4" s="2988"/>
      <c r="G4" s="1146"/>
      <c r="H4" s="272" t="s">
        <v>840</v>
      </c>
      <c r="I4" s="1842">
        <f>ROUND(SUMIF('数据-基础表'!I9:AS9,"地上",'数据-基础表'!I5:AS5)/'数据-基础表'!A3,2)</f>
        <v>0.45</v>
      </c>
      <c r="J4" s="2988"/>
      <c r="K4" s="2988"/>
      <c r="L4" s="2988"/>
      <c r="M4" s="2988"/>
      <c r="N4" s="2988"/>
      <c r="O4" s="2988"/>
      <c r="P4" s="2988"/>
    </row>
    <row r="5" spans="1:16">
      <c r="A5" s="110" t="s">
        <v>207</v>
      </c>
      <c r="B5" s="3556" t="s">
        <v>230</v>
      </c>
      <c r="C5" s="3556"/>
      <c r="D5" s="111">
        <f>ROUND($D$3*E5/$E$3,2)</f>
        <v>82234.8</v>
      </c>
      <c r="E5" s="112">
        <f>SUMIF('数据-基础表'!$11:$11,"住宅",'数据-基础表'!$5:$5)</f>
        <v>43511.83</v>
      </c>
      <c r="F5" s="2988"/>
      <c r="G5" s="277" t="s">
        <v>841</v>
      </c>
      <c r="H5" s="272" t="s">
        <v>839</v>
      </c>
      <c r="I5" s="1842">
        <f>ROUND(E31/D31,2)</f>
        <v>0.53</v>
      </c>
      <c r="J5" s="2988"/>
      <c r="K5" s="2988"/>
      <c r="L5" s="2988"/>
      <c r="M5" s="2988"/>
      <c r="N5" s="2988"/>
      <c r="O5" s="2988"/>
      <c r="P5" s="2988"/>
    </row>
    <row r="6" spans="1:16" ht="15" thickBot="1">
      <c r="A6" s="113"/>
      <c r="B6" s="3556" t="s">
        <v>208</v>
      </c>
      <c r="C6" s="3556"/>
      <c r="D6" s="111">
        <f>ROUND($D$3*E6/$E$3,2)</f>
        <v>15239.18</v>
      </c>
      <c r="E6" s="112">
        <f>E3-E5</f>
        <v>8063.3099999999977</v>
      </c>
      <c r="F6" s="2988"/>
      <c r="G6" s="1146"/>
      <c r="H6" s="272" t="s">
        <v>840</v>
      </c>
      <c r="I6" s="1842">
        <f>ROUND(F31/D31,2)</f>
        <v>0.45</v>
      </c>
      <c r="J6" s="2988"/>
      <c r="K6" s="2988"/>
      <c r="L6" s="2988"/>
      <c r="M6" s="2988"/>
      <c r="N6" s="2988"/>
      <c r="O6" s="2988"/>
      <c r="P6" s="2988"/>
    </row>
    <row r="7" spans="1:16" ht="15">
      <c r="A7" s="3548"/>
      <c r="B7" s="3549"/>
      <c r="C7" s="3550"/>
      <c r="D7" s="108" t="s">
        <v>204</v>
      </c>
      <c r="E7" s="114" t="s">
        <v>231</v>
      </c>
      <c r="F7" s="2988"/>
      <c r="G7" s="1101" t="s">
        <v>1445</v>
      </c>
      <c r="H7" s="1102"/>
      <c r="I7" s="1713"/>
      <c r="J7" s="2988"/>
      <c r="K7" s="2988"/>
      <c r="L7" s="2988"/>
      <c r="M7" s="2988"/>
      <c r="N7" s="2988"/>
      <c r="O7" s="2988"/>
      <c r="P7" s="2988"/>
    </row>
    <row r="8" spans="1:16">
      <c r="A8" s="110" t="s">
        <v>209</v>
      </c>
      <c r="B8" s="115" t="s">
        <v>210</v>
      </c>
      <c r="C8" s="111" t="s">
        <v>211</v>
      </c>
      <c r="D8" s="111">
        <f t="shared" ref="D8:D15" si="0">ROUND($D$3*E8/$E$3,2)</f>
        <v>82234.8</v>
      </c>
      <c r="E8" s="116">
        <f>SUMIF('数据-基础表'!BB10:BK10,"地上",'数据-基础表'!BB5:BK5)</f>
        <v>43511.83</v>
      </c>
      <c r="F8" s="2988"/>
      <c r="G8" s="2989"/>
      <c r="H8" s="2989"/>
      <c r="I8" s="2988"/>
      <c r="J8" s="2988"/>
      <c r="K8" s="2988"/>
      <c r="L8" s="2988"/>
      <c r="M8" s="2988"/>
      <c r="N8" s="2988"/>
      <c r="O8" s="2988"/>
      <c r="P8" s="2988"/>
    </row>
    <row r="9" spans="1:16">
      <c r="A9" s="117"/>
      <c r="B9" s="118"/>
      <c r="C9" s="111" t="s">
        <v>212</v>
      </c>
      <c r="D9" s="111">
        <f t="shared" si="0"/>
        <v>0</v>
      </c>
      <c r="E9" s="119">
        <v>0</v>
      </c>
      <c r="F9" s="2988"/>
      <c r="G9" s="2989"/>
      <c r="H9" s="2989"/>
      <c r="I9" s="2988"/>
      <c r="J9" s="2988"/>
      <c r="K9" s="2988"/>
      <c r="L9" s="2988"/>
      <c r="M9" s="2988"/>
      <c r="N9" s="2988"/>
      <c r="O9" s="2988"/>
      <c r="P9" s="2988"/>
    </row>
    <row r="10" spans="1:16">
      <c r="A10" s="117"/>
      <c r="B10" s="118"/>
      <c r="C10" s="111" t="s">
        <v>213</v>
      </c>
      <c r="D10" s="111">
        <f t="shared" si="0"/>
        <v>0</v>
      </c>
      <c r="E10" s="116">
        <f>SUMPRODUCT(('数据-基础表'!BB10:BK10="地下")*('数据-基础表'!BB11:BK11="商业")*('数据-基础表'!BB5:BK5))</f>
        <v>0</v>
      </c>
      <c r="F10" s="2988"/>
      <c r="G10" s="2989"/>
      <c r="H10" s="2989"/>
      <c r="I10" s="2988"/>
      <c r="J10" s="2988"/>
      <c r="K10" s="2988"/>
      <c r="L10" s="2988"/>
      <c r="M10" s="2988"/>
      <c r="N10" s="2988"/>
      <c r="O10" s="2988"/>
      <c r="P10" s="2988"/>
    </row>
    <row r="11" spans="1:16">
      <c r="A11" s="117"/>
      <c r="B11" s="118"/>
      <c r="C11" s="2163" t="s">
        <v>2117</v>
      </c>
      <c r="D11" s="111">
        <f t="shared" si="0"/>
        <v>0</v>
      </c>
      <c r="E11" s="116">
        <f>SUMPRODUCT(('数据-基础表'!BB10:BK10="地下")*('数据-基础表'!BB11:BK11="办公")*('数据-基础表'!BB5:BK5))+'数据-基础表'!AJ5</f>
        <v>0</v>
      </c>
      <c r="F11" s="2988"/>
      <c r="G11" s="2989"/>
      <c r="H11" s="2989"/>
      <c r="I11" s="2988"/>
      <c r="J11" s="2988"/>
      <c r="K11" s="2988"/>
      <c r="L11" s="2988"/>
      <c r="M11" s="2988"/>
      <c r="N11" s="2988"/>
      <c r="O11" s="2988"/>
      <c r="P11" s="2988"/>
    </row>
    <row r="12" spans="1:16">
      <c r="A12" s="117"/>
      <c r="B12" s="118"/>
      <c r="C12" s="111" t="s">
        <v>214</v>
      </c>
      <c r="D12" s="111">
        <f t="shared" si="0"/>
        <v>0</v>
      </c>
      <c r="E12" s="116">
        <f>SUMPRODUCT(('数据-基础表'!BB10:BK10="地下")*('数据-基础表'!BB11:BK11="仓储")*('数据-基础表'!BB5:BK5))</f>
        <v>0</v>
      </c>
      <c r="F12" s="2988"/>
      <c r="G12" s="2989"/>
      <c r="H12" s="2989"/>
      <c r="I12" s="2988"/>
      <c r="J12" s="2988"/>
      <c r="K12" s="2988"/>
      <c r="L12" s="2988"/>
      <c r="M12" s="2988"/>
      <c r="N12" s="2988"/>
      <c r="O12" s="2988"/>
      <c r="P12" s="2988"/>
    </row>
    <row r="13" spans="1:16">
      <c r="A13" s="117"/>
      <c r="B13" s="118"/>
      <c r="C13" s="2163" t="s">
        <v>2124</v>
      </c>
      <c r="D13" s="111">
        <f t="shared" si="0"/>
        <v>14601.29</v>
      </c>
      <c r="E13" s="116">
        <f>SUMPRODUCT(('数据-基础表'!BB10:BK10="地下")*('数据-基础表'!BB11:BK11="车库")*('数据-基础表'!BB5:BK5))</f>
        <v>7725.79</v>
      </c>
      <c r="F13" s="2988"/>
      <c r="G13" s="2989"/>
      <c r="H13" s="2989"/>
      <c r="I13" s="2988"/>
      <c r="J13" s="2988"/>
      <c r="K13" s="2988"/>
      <c r="L13" s="2988"/>
      <c r="M13" s="2988"/>
      <c r="N13" s="2988"/>
      <c r="O13" s="2988"/>
      <c r="P13" s="2988"/>
    </row>
    <row r="14" spans="1:16">
      <c r="A14" s="117"/>
      <c r="B14" s="118"/>
      <c r="C14" s="111" t="s">
        <v>232</v>
      </c>
      <c r="D14" s="111">
        <f t="shared" si="0"/>
        <v>0</v>
      </c>
      <c r="E14" s="116">
        <f>SUMPRODUCT(('数据-基础表'!BB10:BK10="地下")*('数据-基础表'!BB11:BK11="车库—商业")*('数据-基础表'!BB5:BK5))</f>
        <v>0</v>
      </c>
      <c r="F14" s="2988"/>
      <c r="G14" s="2989"/>
      <c r="H14" s="2989"/>
      <c r="I14" s="2988"/>
      <c r="J14" s="2988"/>
      <c r="K14" s="2988"/>
      <c r="L14" s="2988"/>
      <c r="M14" s="2988"/>
      <c r="N14" s="2988"/>
      <c r="O14" s="2988"/>
      <c r="P14" s="2988"/>
    </row>
    <row r="15" spans="1:16" ht="15" thickBot="1">
      <c r="A15" s="117"/>
      <c r="B15" s="118"/>
      <c r="C15" s="111" t="s">
        <v>233</v>
      </c>
      <c r="D15" s="111">
        <f t="shared" si="0"/>
        <v>0</v>
      </c>
      <c r="E15" s="116">
        <f>SUMPRODUCT(('数据-基础表'!BB10:BK10="地下")*('数据-基础表'!BB11:BK11="车库—办公")*('数据-基础表'!BB5:BK5))</f>
        <v>0</v>
      </c>
      <c r="F15" s="2988"/>
      <c r="G15" s="2989"/>
      <c r="H15" s="2989"/>
      <c r="I15" s="2988"/>
      <c r="J15" s="2988"/>
      <c r="K15" s="2988"/>
      <c r="L15" s="2988"/>
      <c r="M15" s="2988"/>
      <c r="N15" s="2988"/>
      <c r="O15" s="2988"/>
      <c r="P15" s="2988"/>
    </row>
    <row r="16" spans="1:16" ht="15.75" thickBot="1">
      <c r="A16" s="113"/>
      <c r="B16" s="118"/>
      <c r="C16" s="115" t="s">
        <v>215</v>
      </c>
      <c r="D16" s="115">
        <f>SUM(D8:D15)</f>
        <v>96836.09</v>
      </c>
      <c r="E16" s="120">
        <f>SUM(E8:E15)</f>
        <v>51237.62</v>
      </c>
      <c r="F16" s="2988"/>
      <c r="G16" s="2989"/>
      <c r="H16" s="937" t="s">
        <v>219</v>
      </c>
      <c r="I16" s="938"/>
      <c r="J16" s="1850"/>
      <c r="K16" s="3542" t="s">
        <v>2284</v>
      </c>
      <c r="L16" s="3543"/>
      <c r="M16" s="3543"/>
      <c r="N16" s="3543"/>
      <c r="O16" s="3543"/>
      <c r="P16" s="3544"/>
    </row>
    <row r="17" spans="1:19" ht="15">
      <c r="A17" s="121" t="s">
        <v>216</v>
      </c>
      <c r="B17" s="122" t="s">
        <v>217</v>
      </c>
      <c r="C17" s="2130" t="s">
        <v>2103</v>
      </c>
      <c r="D17" s="108" t="s">
        <v>204</v>
      </c>
      <c r="E17" s="124" t="s">
        <v>205</v>
      </c>
      <c r="F17" s="125"/>
      <c r="G17" s="1273"/>
      <c r="H17" s="939" t="s">
        <v>218</v>
      </c>
      <c r="I17" s="940" t="s">
        <v>2102</v>
      </c>
      <c r="J17" s="1850"/>
      <c r="K17" s="3545" t="s">
        <v>2285</v>
      </c>
      <c r="L17" s="3546"/>
      <c r="M17" s="3547"/>
      <c r="N17" s="3545" t="s">
        <v>2286</v>
      </c>
      <c r="O17" s="3546"/>
      <c r="P17" s="3547"/>
      <c r="R17" s="2131" t="s">
        <v>2101</v>
      </c>
      <c r="S17" s="142"/>
    </row>
    <row r="18" spans="1:19" ht="15">
      <c r="A18" s="117"/>
      <c r="B18" s="128"/>
      <c r="C18" s="129"/>
      <c r="D18" s="2404"/>
      <c r="E18" s="130" t="s">
        <v>220</v>
      </c>
      <c r="F18" s="131" t="s">
        <v>221</v>
      </c>
      <c r="G18" s="1274" t="s">
        <v>222</v>
      </c>
      <c r="H18" s="941" t="s">
        <v>223</v>
      </c>
      <c r="I18" s="942" t="s">
        <v>224</v>
      </c>
      <c r="J18" s="1850"/>
      <c r="K18" s="2369" t="s">
        <v>2287</v>
      </c>
      <c r="L18" s="2370" t="s">
        <v>2288</v>
      </c>
      <c r="M18" s="2371" t="s">
        <v>2289</v>
      </c>
      <c r="N18" s="2369" t="s">
        <v>2287</v>
      </c>
      <c r="O18" s="2370" t="s">
        <v>2288</v>
      </c>
      <c r="P18" s="2371" t="s">
        <v>2289</v>
      </c>
      <c r="R18" s="2132" t="s">
        <v>2099</v>
      </c>
      <c r="S18" s="2132" t="s">
        <v>2100</v>
      </c>
    </row>
    <row r="19" spans="1:19">
      <c r="A19" s="133"/>
      <c r="B19" s="115" t="s">
        <v>225</v>
      </c>
      <c r="C19" s="2657" t="s">
        <v>3219</v>
      </c>
      <c r="D19" s="111">
        <f t="shared" ref="D19:D26" si="1">ROUND($D$3*E19/$E$3,2)</f>
        <v>82234.8</v>
      </c>
      <c r="E19" s="134">
        <f t="shared" ref="E19:E26" si="2">SUM(F19:G19)</f>
        <v>43511.83</v>
      </c>
      <c r="F19" s="2990">
        <f>'数据-基础表'!I13</f>
        <v>43511.83</v>
      </c>
      <c r="G19" s="2991"/>
      <c r="H19" s="943">
        <f>ROUND($D$3*I19/$E$3,2)</f>
        <v>64.2</v>
      </c>
      <c r="I19" s="116">
        <f>IF($I$17="自定义",P19,M19)</f>
        <v>33.97</v>
      </c>
      <c r="J19" s="1850"/>
      <c r="K19" s="2372">
        <f t="shared" ref="K19:K26" si="3">ROUND(E$28*E19/E$27,2)</f>
        <v>33.97</v>
      </c>
      <c r="L19" s="272">
        <f t="shared" ref="L19:L26" si="4">ROUND(IF(COUNTIF(C19,"*住宅*")&gt;0,E$29*E19/E$32,0),2)</f>
        <v>0</v>
      </c>
      <c r="M19" s="2373">
        <f>K19+L19</f>
        <v>33.97</v>
      </c>
      <c r="N19" s="2374"/>
      <c r="O19" s="2375"/>
      <c r="P19" s="2376">
        <f>N19+O19</f>
        <v>0</v>
      </c>
      <c r="R19" s="272">
        <f t="shared" ref="R19:S26" si="5">D19+H19</f>
        <v>82299</v>
      </c>
      <c r="S19" s="2133">
        <f t="shared" si="5"/>
        <v>43545.8</v>
      </c>
    </row>
    <row r="20" spans="1:19">
      <c r="A20" s="137"/>
      <c r="B20" s="115" t="s">
        <v>226</v>
      </c>
      <c r="C20" s="2657" t="s">
        <v>3220</v>
      </c>
      <c r="D20" s="111">
        <f t="shared" si="1"/>
        <v>14601.29</v>
      </c>
      <c r="E20" s="134">
        <f t="shared" si="2"/>
        <v>7725.79</v>
      </c>
      <c r="F20" s="2990"/>
      <c r="G20" s="2991">
        <f>'数据-基础表'!K13</f>
        <v>7725.79</v>
      </c>
      <c r="H20" s="943">
        <f t="shared" ref="H20:H26" si="6">ROUND($D$3*I20/$E$3,2)</f>
        <v>11.4</v>
      </c>
      <c r="I20" s="116">
        <f t="shared" ref="I20:I26" si="7">IF($I$17="自定义",P20,M20)</f>
        <v>6.03</v>
      </c>
      <c r="J20" s="1850"/>
      <c r="K20" s="2372">
        <f t="shared" si="3"/>
        <v>6.03</v>
      </c>
      <c r="L20" s="272">
        <f t="shared" si="4"/>
        <v>0</v>
      </c>
      <c r="M20" s="2373">
        <f t="shared" ref="M20:M26" si="8">K20+L20</f>
        <v>6.03</v>
      </c>
      <c r="N20" s="2374"/>
      <c r="O20" s="2375"/>
      <c r="P20" s="2376">
        <f t="shared" ref="P20:P26" si="9">N20+O20</f>
        <v>0</v>
      </c>
      <c r="R20" s="272">
        <f t="shared" si="5"/>
        <v>14612.69</v>
      </c>
      <c r="S20" s="2133">
        <f t="shared" si="5"/>
        <v>7731.82</v>
      </c>
    </row>
    <row r="21" spans="1:19">
      <c r="A21" s="137"/>
      <c r="B21" s="115" t="s">
        <v>226</v>
      </c>
      <c r="C21" s="2657"/>
      <c r="D21" s="111">
        <f t="shared" si="1"/>
        <v>0</v>
      </c>
      <c r="E21" s="134">
        <f t="shared" si="2"/>
        <v>0</v>
      </c>
      <c r="F21" s="2990"/>
      <c r="G21" s="2991"/>
      <c r="H21" s="943">
        <f t="shared" si="6"/>
        <v>0</v>
      </c>
      <c r="I21" s="116">
        <f t="shared" si="7"/>
        <v>0</v>
      </c>
      <c r="J21" s="1850"/>
      <c r="K21" s="2372">
        <f t="shared" si="3"/>
        <v>0</v>
      </c>
      <c r="L21" s="272">
        <f t="shared" si="4"/>
        <v>0</v>
      </c>
      <c r="M21" s="2373">
        <f t="shared" si="8"/>
        <v>0</v>
      </c>
      <c r="N21" s="2374"/>
      <c r="O21" s="2375"/>
      <c r="P21" s="2376">
        <f t="shared" si="9"/>
        <v>0</v>
      </c>
      <c r="R21" s="272">
        <f t="shared" si="5"/>
        <v>0</v>
      </c>
      <c r="S21" s="2133">
        <f t="shared" si="5"/>
        <v>0</v>
      </c>
    </row>
    <row r="22" spans="1:19">
      <c r="A22" s="137"/>
      <c r="B22" s="115" t="s">
        <v>226</v>
      </c>
      <c r="C22" s="1272"/>
      <c r="D22" s="111">
        <f t="shared" si="1"/>
        <v>0</v>
      </c>
      <c r="E22" s="134">
        <f t="shared" si="2"/>
        <v>0</v>
      </c>
      <c r="F22" s="2992"/>
      <c r="G22" s="2993"/>
      <c r="H22" s="943">
        <f t="shared" si="6"/>
        <v>0</v>
      </c>
      <c r="I22" s="116">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7"/>
      <c r="B23" s="115" t="s">
        <v>226</v>
      </c>
      <c r="C23" s="138"/>
      <c r="D23" s="111">
        <f>ROUND($D$3*E23/$E$3,2)</f>
        <v>0</v>
      </c>
      <c r="E23" s="134">
        <f>SUM(F23:G23)</f>
        <v>0</v>
      </c>
      <c r="F23" s="2992"/>
      <c r="G23" s="2993"/>
      <c r="H23" s="943">
        <f>ROUND($D$3*I23/$E$3,2)</f>
        <v>0</v>
      </c>
      <c r="I23" s="116">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7"/>
      <c r="B24" s="115" t="s">
        <v>226</v>
      </c>
      <c r="C24" s="138"/>
      <c r="D24" s="111">
        <f>ROUND($D$3*E24/$E$3,2)</f>
        <v>0</v>
      </c>
      <c r="E24" s="134">
        <f>SUM(F24:G24)</f>
        <v>0</v>
      </c>
      <c r="F24" s="2992"/>
      <c r="G24" s="2993"/>
      <c r="H24" s="943">
        <f>ROUND($D$3*I24/$E$3,2)</f>
        <v>0</v>
      </c>
      <c r="I24" s="116">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7"/>
      <c r="B25" s="115" t="s">
        <v>226</v>
      </c>
      <c r="C25" s="138"/>
      <c r="D25" s="111">
        <f t="shared" si="1"/>
        <v>0</v>
      </c>
      <c r="E25" s="134">
        <f t="shared" si="2"/>
        <v>0</v>
      </c>
      <c r="F25" s="2992"/>
      <c r="G25" s="2993"/>
      <c r="H25" s="110">
        <f t="shared" si="6"/>
        <v>0</v>
      </c>
      <c r="I25" s="116">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7"/>
      <c r="B26" s="115" t="s">
        <v>226</v>
      </c>
      <c r="C26" s="140"/>
      <c r="D26" s="111">
        <f t="shared" si="1"/>
        <v>0</v>
      </c>
      <c r="E26" s="134">
        <f t="shared" si="2"/>
        <v>0</v>
      </c>
      <c r="F26" s="2992"/>
      <c r="G26" s="2993"/>
      <c r="H26" s="110">
        <f t="shared" si="6"/>
        <v>0</v>
      </c>
      <c r="I26" s="116">
        <f t="shared" si="7"/>
        <v>0</v>
      </c>
      <c r="J26" s="1850"/>
      <c r="K26" s="2377">
        <f t="shared" si="3"/>
        <v>0</v>
      </c>
      <c r="L26" s="277">
        <f t="shared" si="4"/>
        <v>0</v>
      </c>
      <c r="M26" s="144">
        <f t="shared" si="8"/>
        <v>0</v>
      </c>
      <c r="N26" s="2378"/>
      <c r="O26" s="2379"/>
      <c r="P26" s="2380">
        <f t="shared" si="9"/>
        <v>0</v>
      </c>
      <c r="R26" s="272">
        <f t="shared" si="5"/>
        <v>0</v>
      </c>
      <c r="S26" s="2133">
        <f t="shared" si="5"/>
        <v>0</v>
      </c>
    </row>
    <row r="27" spans="1:19" ht="43.5" thickBot="1">
      <c r="A27" s="137"/>
      <c r="B27" s="111"/>
      <c r="C27" s="127" t="s">
        <v>215</v>
      </c>
      <c r="D27" s="134">
        <f>SUM(D19:D26)</f>
        <v>96836.09</v>
      </c>
      <c r="E27" s="141">
        <f>IF(SUM(E19:E26)='数据-基础表'!BA5,SUM(E19:E26),IF(F27="地上面积有误","面积有误","地下面积有误"))</f>
        <v>51237.62</v>
      </c>
      <c r="F27" s="134">
        <f>IF(SUM(F19:F26)=E8,SUM(F19:F26),"地上面积有误")</f>
        <v>43511.83</v>
      </c>
      <c r="G27" s="112">
        <f>SUM(G19:G26)</f>
        <v>7725.79</v>
      </c>
      <c r="H27" s="944">
        <f>SUM(H19:H26)</f>
        <v>75.600000000000009</v>
      </c>
      <c r="I27" s="945">
        <f>SUM(I19:I26)</f>
        <v>40</v>
      </c>
      <c r="J27" s="1850"/>
      <c r="K27" s="2381">
        <f>SUM(K19:K26)</f>
        <v>40</v>
      </c>
      <c r="L27" s="2382">
        <f>SUM(L19:L26)</f>
        <v>0</v>
      </c>
      <c r="M27" s="2383">
        <f>SUM(M19:M26)</f>
        <v>40</v>
      </c>
      <c r="N27" s="2381">
        <f t="shared" ref="N27:O27" si="10">SUM(N19:N26)</f>
        <v>0</v>
      </c>
      <c r="O27" s="2382">
        <f t="shared" si="10"/>
        <v>0</v>
      </c>
      <c r="P27" s="2384">
        <f>SUM(P19:P26)</f>
        <v>0</v>
      </c>
      <c r="R27" s="2137" t="str">
        <f>IF(SUM(R19:R26)=$D$3,SUM(R19:R26),SUM(R19:R26)&amp;"误差"&amp;ROUND(SUM(R19:R26)-$D$3,2))</f>
        <v>96911.69误差-562.29</v>
      </c>
      <c r="S27" s="272" t="str">
        <f>IF(SUM(S19:S26)=$E$3,SUM(S19:S26),SUM(S19:S26)&amp;"误差"&amp;ROUND(SUM(S19:S26)-E3,2))</f>
        <v>51277.62误差-297.52</v>
      </c>
    </row>
    <row r="28" spans="1:19">
      <c r="A28" s="137"/>
      <c r="B28" s="115" t="s">
        <v>227</v>
      </c>
      <c r="C28" s="135" t="s">
        <v>228</v>
      </c>
      <c r="D28" s="111">
        <f>ROUND($D$3*E28/$E$3,2)</f>
        <v>75.599999999999994</v>
      </c>
      <c r="E28" s="134">
        <f>SUM(F28:G28)</f>
        <v>40</v>
      </c>
      <c r="F28" s="142">
        <f>'数据-基础表'!BQ5+'数据-基础表'!BS5</f>
        <v>40</v>
      </c>
      <c r="G28" s="143">
        <f>'数据-基础表'!BR5+'数据-基础表'!BT5</f>
        <v>0</v>
      </c>
      <c r="H28" s="2988"/>
      <c r="I28" s="2988"/>
      <c r="J28" s="2988"/>
      <c r="K28" s="2988"/>
      <c r="L28" s="2988"/>
      <c r="M28" s="2988"/>
      <c r="N28" s="2988"/>
      <c r="O28" s="2988"/>
      <c r="P28" s="2988"/>
    </row>
    <row r="29" spans="1:19">
      <c r="A29" s="137"/>
      <c r="B29" s="115" t="s">
        <v>227</v>
      </c>
      <c r="C29" s="2145" t="s">
        <v>2110</v>
      </c>
      <c r="D29" s="111">
        <f>ROUND($D$3*E29/$E$3,2)</f>
        <v>562.29999999999995</v>
      </c>
      <c r="E29" s="134">
        <f>SUM(F29:G29)</f>
        <v>297.52</v>
      </c>
      <c r="F29" s="142">
        <f>'数据-基础表'!BM5+'数据-基础表'!BO5</f>
        <v>297.52</v>
      </c>
      <c r="G29" s="144">
        <f>'数据-基础表'!BN5+'数据-基础表'!BP5</f>
        <v>0</v>
      </c>
      <c r="H29" s="2988"/>
      <c r="I29" s="2988"/>
      <c r="J29" s="2988"/>
      <c r="K29" s="2988"/>
      <c r="L29" s="2988"/>
      <c r="M29" s="2988"/>
      <c r="N29" s="2988"/>
      <c r="O29" s="2988"/>
      <c r="P29" s="2988"/>
    </row>
    <row r="30" spans="1:19">
      <c r="A30" s="137"/>
      <c r="B30" s="111"/>
      <c r="C30" s="145" t="s">
        <v>215</v>
      </c>
      <c r="D30" s="134">
        <f>SUM(D28:D29)</f>
        <v>637.9</v>
      </c>
      <c r="E30" s="134">
        <f>SUM(E28:E29)</f>
        <v>337.52</v>
      </c>
      <c r="F30" s="134">
        <f>SUM(F28:F29)</f>
        <v>337.52</v>
      </c>
      <c r="G30" s="112">
        <f>SUM(G28:G29)</f>
        <v>0</v>
      </c>
      <c r="H30" s="2988"/>
      <c r="I30" s="2988"/>
      <c r="J30" s="2988"/>
      <c r="K30" s="2988"/>
      <c r="L30" s="2988"/>
      <c r="M30" s="2988"/>
      <c r="N30" s="2988"/>
      <c r="O30" s="2988"/>
      <c r="P30" s="2988"/>
    </row>
    <row r="31" spans="1:19" ht="32.25" customHeight="1" thickBot="1">
      <c r="A31" s="1275"/>
      <c r="B31" s="1276" t="s">
        <v>229</v>
      </c>
      <c r="C31" s="2162" t="s">
        <v>2112</v>
      </c>
      <c r="D31" s="1277">
        <f>D27+D30</f>
        <v>97473.989999999991</v>
      </c>
      <c r="E31" s="1277">
        <f>E27+E30</f>
        <v>51575.14</v>
      </c>
      <c r="F31" s="1278">
        <f>F27+F30</f>
        <v>43849.35</v>
      </c>
      <c r="G31" s="1279">
        <f>G27+G30</f>
        <v>7725.79</v>
      </c>
      <c r="H31" s="2988"/>
      <c r="I31" s="2988"/>
      <c r="J31" s="2988"/>
      <c r="K31" s="2988"/>
      <c r="L31" s="2988"/>
      <c r="M31" s="2988"/>
      <c r="N31" s="2988"/>
      <c r="O31" s="2988"/>
      <c r="P31" s="2988"/>
    </row>
    <row r="32" spans="1:19">
      <c r="A32" s="1850"/>
      <c r="B32" s="2174" t="s">
        <v>2111</v>
      </c>
      <c r="C32" s="2409"/>
      <c r="D32" s="1146"/>
      <c r="E32" s="1146">
        <f>SUMIF(C19:C26,"*住宅*",E19:E26)</f>
        <v>0</v>
      </c>
      <c r="F32" s="1146"/>
      <c r="G32" s="1146"/>
      <c r="H32" s="2988"/>
      <c r="I32" s="2988"/>
      <c r="J32" s="2988"/>
      <c r="K32" s="2988"/>
      <c r="L32" s="2988"/>
      <c r="M32" s="2988"/>
      <c r="N32" s="2988"/>
      <c r="O32" s="2988"/>
      <c r="P32" s="2988"/>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12" activePane="bottomRight" state="frozen"/>
      <selection pane="topRight" activeCell="D1" sqref="D1"/>
      <selection pane="bottomLeft" activeCell="A4" sqref="A4"/>
      <selection pane="bottomRight" activeCell="S48" sqref="S48"/>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60"/>
    <col min="42" max="42" width="13.75" style="1860" customWidth="1"/>
    <col min="43" max="83" width="13.75" style="1860"/>
    <col min="84" max="16384" width="13.75" style="1148"/>
  </cols>
  <sheetData>
    <row r="1" spans="1:83" ht="19.5" thickBot="1">
      <c r="A1" s="146" t="s">
        <v>234</v>
      </c>
      <c r="B1" s="1147"/>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5"/>
      <c r="AO1" s="2995"/>
      <c r="AP1" s="2995"/>
      <c r="AQ1" s="2995"/>
      <c r="AR1" s="2995"/>
      <c r="AS1" s="2995"/>
      <c r="AT1" s="2995"/>
      <c r="AU1" s="2995"/>
      <c r="AV1" s="2995"/>
      <c r="AW1" s="2995"/>
      <c r="AX1" s="2995"/>
      <c r="AY1" s="2995"/>
      <c r="AZ1" s="2995"/>
    </row>
    <row r="2" spans="1:83" s="1151" customFormat="1" ht="15.75" thickBot="1">
      <c r="A2" s="147" t="s">
        <v>235</v>
      </c>
      <c r="B2" s="2170">
        <f>项目基本情况!D3</f>
        <v>44735</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8"/>
      <c r="AO2" s="2998"/>
      <c r="AP2" s="2998"/>
      <c r="AQ2" s="2998"/>
      <c r="AR2" s="2998"/>
      <c r="AS2" s="2998"/>
      <c r="AT2" s="2998"/>
      <c r="AU2" s="2998"/>
      <c r="AV2" s="2998"/>
      <c r="AW2" s="2998"/>
      <c r="AX2" s="2998"/>
      <c r="AY2" s="2998"/>
      <c r="AZ2" s="2998"/>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1" customFormat="1" ht="15" thickBot="1">
      <c r="A3" s="1152"/>
      <c r="B3" s="1149"/>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8"/>
      <c r="AO3" s="2998"/>
      <c r="AP3" s="2998"/>
      <c r="AQ3" s="2998"/>
      <c r="AR3" s="2998"/>
      <c r="AS3" s="2998"/>
      <c r="AT3" s="2998"/>
      <c r="AU3" s="2998"/>
      <c r="AV3" s="2998"/>
      <c r="AW3" s="2998"/>
      <c r="AX3" s="2998"/>
      <c r="AY3" s="2998"/>
      <c r="AZ3" s="2998"/>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1" customFormat="1" ht="1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8"/>
      <c r="AO4" s="2998"/>
      <c r="AP4" s="2998"/>
      <c r="AQ4" s="2998"/>
      <c r="AR4" s="2998"/>
      <c r="AS4" s="2998"/>
      <c r="AT4" s="2998"/>
      <c r="AU4" s="2998"/>
      <c r="AV4" s="2998"/>
      <c r="AW4" s="2998"/>
      <c r="AX4" s="2998"/>
      <c r="AY4" s="2998"/>
      <c r="AZ4" s="2998"/>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7" customFormat="1" ht="40.5">
      <c r="A5" s="2136"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3230</v>
      </c>
      <c r="O5" s="161" t="s">
        <v>246</v>
      </c>
      <c r="P5" s="163" t="s">
        <v>247</v>
      </c>
      <c r="Q5" s="164" t="s">
        <v>248</v>
      </c>
      <c r="R5" s="165" t="s">
        <v>249</v>
      </c>
      <c r="S5" s="2385" t="s">
        <v>2290</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2113</v>
      </c>
      <c r="AI5" s="169" t="s">
        <v>2082</v>
      </c>
      <c r="AJ5" s="169" t="s">
        <v>258</v>
      </c>
      <c r="AK5" s="157" t="s">
        <v>259</v>
      </c>
      <c r="AL5" s="157" t="s">
        <v>260</v>
      </c>
      <c r="AM5" s="170" t="s">
        <v>261</v>
      </c>
      <c r="AN5" s="2198" t="s">
        <v>2160</v>
      </c>
      <c r="AO5" s="3009"/>
      <c r="AP5" s="2994" t="s">
        <v>2700</v>
      </c>
      <c r="AQ5" s="3009"/>
      <c r="AR5" s="3009"/>
      <c r="AS5" s="3009"/>
      <c r="AT5" s="3009"/>
      <c r="AU5" s="3009"/>
      <c r="AV5" s="3009"/>
      <c r="AW5" s="3009"/>
      <c r="AX5" s="3009"/>
      <c r="AY5" s="3009"/>
      <c r="AZ5" s="3009"/>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1" customFormat="1" ht="14.25">
      <c r="A6" s="2134" t="str">
        <f>'数据-汇总表'!C19</f>
        <v>洋房</v>
      </c>
      <c r="B6" s="2169" t="str">
        <f>IF(A6=0,"","经营性")</f>
        <v>经营性</v>
      </c>
      <c r="C6" s="171" t="s">
        <v>902</v>
      </c>
      <c r="D6" s="2140">
        <f>SUMIF(项目基本情况!D$15:I$15,C6,项目基本情况!D$18:I$18)</f>
        <v>70</v>
      </c>
      <c r="E6" s="2141">
        <f>IF(B6="","",SUMIF(项目基本情况!D$15:I$15,C6,项目基本情况!D$17:I$17))</f>
        <v>64904</v>
      </c>
      <c r="F6" s="172">
        <f>SUMIF(项目基本情况!D$15:I$15,C6,项目基本情况!D$19:I$19)</f>
        <v>55.25</v>
      </c>
      <c r="G6" s="173">
        <f>IF(ISERROR(ROUND(POWER(1+H6,D6-F6)*(POWER(1+H6,F6)-1)/(POWER(1+H6,D6)-1),3)),0,ROUND(POWER(1+H6,D6-F6)*(POWER(1+H6,F6)-1)/(POWER(1+H6,D6)-1),3))</f>
        <v>0.94599999999999995</v>
      </c>
      <c r="H6" s="2658">
        <v>0.04</v>
      </c>
      <c r="I6" s="2658">
        <v>4.4999999999999998E-2</v>
      </c>
      <c r="J6" s="174">
        <v>7.0000000000000007E-2</v>
      </c>
      <c r="K6" s="177">
        <f>SUMIF('数据-汇总表'!C$19:C$33,'数据-取费表'!A6,'数据-汇总表'!E$19:E$33)</f>
        <v>43511.83</v>
      </c>
      <c r="L6" s="3464">
        <v>3700</v>
      </c>
      <c r="M6" s="175">
        <f t="shared" ref="M6:M14" si="0">ROUND(K6*L6/10000,0)</f>
        <v>16099</v>
      </c>
      <c r="N6" s="2659">
        <v>0</v>
      </c>
      <c r="O6" s="175">
        <f>IF($N$5="成新度","——",ROUND(M6*N6,0))</f>
        <v>0</v>
      </c>
      <c r="P6" s="176">
        <f>IF($N$5="成新度","——",M6-O6)</f>
        <v>16099</v>
      </c>
      <c r="Q6" s="3467">
        <v>0.15</v>
      </c>
      <c r="R6" s="177">
        <f>SUMIF('数据-汇总表'!C$19:C$33,A6,'数据-汇总表'!R$19:R$33)</f>
        <v>82299</v>
      </c>
      <c r="S6" s="132">
        <f>IF('数据-汇总表'!$I$17="按面积比例",SUMIF('数据-汇总表'!C$19:C$33,A6,'数据-汇总表'!K$19:K$33),SUMIF('数据-汇总表'!C$19:C$33,A6,'数据-汇总表'!N$19:N$33))</f>
        <v>33.97</v>
      </c>
      <c r="T6" s="2066">
        <f>IF($T$4="按面积比例",IF(ISERROR(ROUND($M$14*S6/S$16,0)),"0",ROUND($M$14*S6/S$16,0)),"需自行计算录入")</f>
        <v>8</v>
      </c>
      <c r="U6" s="178"/>
      <c r="V6" s="179"/>
      <c r="W6" s="179"/>
      <c r="X6" s="2153"/>
      <c r="Y6" s="180"/>
      <c r="Z6" s="181"/>
      <c r="AA6" s="174"/>
      <c r="AB6" s="174"/>
      <c r="AC6" s="2156"/>
      <c r="AD6" s="182"/>
      <c r="AE6" s="941">
        <f ca="1">IF(AN6="",0,SUMIF(INDIRECT("'"&amp;AN6&amp;"'"&amp;"!E:E"),$AE$5,INDIRECT("'"&amp;AN6&amp;"'"&amp;"!F:F")))</f>
        <v>0</v>
      </c>
      <c r="AF6" s="139"/>
      <c r="AG6" s="1158">
        <f>IF(AF6="",0,AE6-AF6)</f>
        <v>0</v>
      </c>
      <c r="AH6" s="139"/>
      <c r="AI6" s="185"/>
      <c r="AJ6" s="186"/>
      <c r="AK6" s="187"/>
      <c r="AL6" s="188"/>
      <c r="AM6" s="2669"/>
      <c r="AN6" s="2199"/>
      <c r="AO6" s="2998"/>
      <c r="AP6" s="1149">
        <f>ROUND(1-1/(1+H6)^F6,3)</f>
        <v>0.88500000000000001</v>
      </c>
      <c r="AQ6" s="2998"/>
      <c r="AR6" s="2998"/>
      <c r="AS6" s="2998"/>
      <c r="AT6" s="2998"/>
      <c r="AU6" s="2998"/>
      <c r="AV6" s="2998"/>
      <c r="AW6" s="2998"/>
      <c r="AX6" s="2998"/>
      <c r="AY6" s="2998"/>
      <c r="AZ6" s="2998"/>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1" customFormat="1" ht="14.25">
      <c r="A7" s="2134" t="str">
        <f>'数据-汇总表'!C20</f>
        <v>地下车库</v>
      </c>
      <c r="B7" s="2169" t="str">
        <f t="shared" ref="B7:B13" si="1">IF(A7=0,"","经营性")</f>
        <v>经营性</v>
      </c>
      <c r="C7" s="171" t="s">
        <v>3218</v>
      </c>
      <c r="D7" s="2140">
        <f>SUMIF(项目基本情况!D$15:I$15,C7,项目基本情况!D$18:I$18)</f>
        <v>50</v>
      </c>
      <c r="E7" s="2141">
        <f>IF(B7="","",SUMIF(项目基本情况!D$15:I$15,C7,项目基本情况!D$17:I$17))</f>
        <v>57599</v>
      </c>
      <c r="F7" s="172">
        <f>SUMIF(项目基本情况!D$15:I$15,C7,项目基本情况!D$19:I$19)</f>
        <v>35.24</v>
      </c>
      <c r="G7" s="173">
        <f t="shared" ref="G7:G11" si="2">IF(ISERROR(ROUND(POWER(1+H7,D7-F7)*(POWER(1+H7,F7)-1)/(POWER(1+H7,D7)-1),3)),0,ROUND(POWER(1+H7,D7-F7)*(POWER(1+H7,F7)-1)/(POWER(1+H7,D7)-1),3))</f>
        <v>0.89900000000000002</v>
      </c>
      <c r="H7" s="2658">
        <v>0.05</v>
      </c>
      <c r="I7" s="2658">
        <v>5.5E-2</v>
      </c>
      <c r="J7" s="174">
        <v>7.0000000000000007E-2</v>
      </c>
      <c r="K7" s="177">
        <f>SUMIF('数据-汇总表'!C$19:C$33,'数据-取费表'!A7,'数据-汇总表'!E$19:E$33)</f>
        <v>7725.79</v>
      </c>
      <c r="L7" s="3464">
        <v>2500</v>
      </c>
      <c r="M7" s="175">
        <f t="shared" si="0"/>
        <v>1931</v>
      </c>
      <c r="N7" s="2659">
        <v>0</v>
      </c>
      <c r="O7" s="175">
        <f t="shared" ref="O7:O14" si="3">IF($N$5="成新度","——",ROUND(M7*N7,0))</f>
        <v>0</v>
      </c>
      <c r="P7" s="176">
        <f t="shared" ref="P7:P14" si="4">IF($N$5="成新度","——",M7-O7)</f>
        <v>1931</v>
      </c>
      <c r="Q7" s="2660">
        <v>0.05</v>
      </c>
      <c r="R7" s="177">
        <f>SUMIF('数据-汇总表'!C$19:C$33,A7,'数据-汇总表'!R$19:R$33)</f>
        <v>14612.69</v>
      </c>
      <c r="S7" s="132">
        <f>IF('数据-汇总表'!$I$17="按面积比例",SUMIF('数据-汇总表'!C$19:C$33,A7,'数据-汇总表'!K$19:K$33),SUMIF('数据-汇总表'!C$19:C$33,A7,'数据-汇总表'!N$19:N$33))</f>
        <v>6.03</v>
      </c>
      <c r="T7" s="2066">
        <f t="shared" ref="T7:T13" si="5">IF($T$4="按面积比例",IF(ISERROR(ROUND($M$14*S7/S$16,0)),"0",ROUND($M$14*S7/S$16,0)),"需自行计算录入")</f>
        <v>2</v>
      </c>
      <c r="U7" s="178"/>
      <c r="V7" s="179"/>
      <c r="W7" s="179"/>
      <c r="X7" s="2153"/>
      <c r="Y7" s="180"/>
      <c r="Z7" s="181"/>
      <c r="AA7" s="174"/>
      <c r="AB7" s="174"/>
      <c r="AC7" s="2156"/>
      <c r="AD7" s="182"/>
      <c r="AE7" s="941">
        <f t="shared" ref="AE7:AE13" ca="1" si="6">IF(AN7="",0,SUMIF(INDIRECT("'"&amp;AN7&amp;"'"&amp;"!E:E"),$AE$5,INDIRECT("'"&amp;AN7&amp;"'"&amp;"!F:F")))</f>
        <v>0</v>
      </c>
      <c r="AF7" s="139"/>
      <c r="AG7" s="1158">
        <f t="shared" ref="AG7:AG13" si="7">IF(AF7="",0,AE7-AF7)</f>
        <v>0</v>
      </c>
      <c r="AH7" s="139">
        <f>ROUNDDOWN(K7/35,0)</f>
        <v>220</v>
      </c>
      <c r="AI7" s="185"/>
      <c r="AJ7" s="186"/>
      <c r="AK7" s="187"/>
      <c r="AL7" s="188"/>
      <c r="AM7" s="2197"/>
      <c r="AN7" s="2199"/>
      <c r="AO7" s="2998"/>
      <c r="AP7" s="1149">
        <f t="shared" ref="AP7:AP13" si="8">ROUND(1-1/(1+H7)^F7,3)</f>
        <v>0.82099999999999995</v>
      </c>
      <c r="AQ7" s="2998"/>
      <c r="AR7" s="2998"/>
      <c r="AS7" s="2998"/>
      <c r="AT7" s="2998"/>
      <c r="AU7" s="2998"/>
      <c r="AV7" s="2998"/>
      <c r="AW7" s="2998"/>
      <c r="AX7" s="2998"/>
      <c r="AY7" s="2998"/>
      <c r="AZ7" s="2998"/>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1" customFormat="1" ht="14.25">
      <c r="A8" s="2134">
        <f>'数据-汇总表'!C21</f>
        <v>0</v>
      </c>
      <c r="B8" s="2169" t="str">
        <f t="shared" si="1"/>
        <v/>
      </c>
      <c r="C8" s="171"/>
      <c r="D8" s="2140">
        <f>SUMIF(项目基本情况!D$15:I$15,C8,项目基本情况!D$18:I$18)</f>
        <v>0</v>
      </c>
      <c r="E8" s="2141"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3464"/>
      <c r="M8" s="175">
        <f>ROUND(K8*L8/10000,0)</f>
        <v>0</v>
      </c>
      <c r="N8" s="2659"/>
      <c r="O8" s="175">
        <f t="shared" si="3"/>
        <v>0</v>
      </c>
      <c r="P8" s="176">
        <f t="shared" si="4"/>
        <v>0</v>
      </c>
      <c r="Q8" s="2660"/>
      <c r="R8" s="177">
        <f>SUMIF('数据-汇总表'!C$19:C$33,A8,'数据-汇总表'!R$19:R$33)</f>
        <v>0</v>
      </c>
      <c r="S8" s="132">
        <f>IF('数据-汇总表'!$I$17="按面积比例",SUMIF('数据-汇总表'!C$19:C$33,A8,'数据-汇总表'!K$19:K$33),SUMIF('数据-汇总表'!C$19:C$33,A8,'数据-汇总表'!N$19:N$33))</f>
        <v>0</v>
      </c>
      <c r="T8" s="2066">
        <f t="shared" si="5"/>
        <v>0</v>
      </c>
      <c r="U8" s="178"/>
      <c r="V8" s="179"/>
      <c r="W8" s="179"/>
      <c r="X8" s="2153"/>
      <c r="Y8" s="180"/>
      <c r="Z8" s="181"/>
      <c r="AA8" s="174"/>
      <c r="AB8" s="174"/>
      <c r="AC8" s="2156"/>
      <c r="AD8" s="182"/>
      <c r="AE8" s="941">
        <f t="shared" ca="1" si="6"/>
        <v>0</v>
      </c>
      <c r="AF8" s="139"/>
      <c r="AG8" s="1158">
        <f t="shared" si="7"/>
        <v>0</v>
      </c>
      <c r="AH8" s="139"/>
      <c r="AI8" s="185"/>
      <c r="AJ8" s="186"/>
      <c r="AK8" s="187"/>
      <c r="AL8" s="188"/>
      <c r="AM8" s="2197"/>
      <c r="AN8" s="2199"/>
      <c r="AO8" s="2998"/>
      <c r="AP8" s="1149">
        <f t="shared" si="8"/>
        <v>0</v>
      </c>
      <c r="AQ8" s="2998"/>
      <c r="AR8" s="2998"/>
      <c r="AS8" s="2998"/>
      <c r="AT8" s="2998"/>
      <c r="AU8" s="2998"/>
      <c r="AV8" s="2998"/>
      <c r="AW8" s="2998"/>
      <c r="AX8" s="2998"/>
      <c r="AY8" s="2998"/>
      <c r="AZ8" s="2998"/>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1" customFormat="1" ht="14.25">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3465"/>
      <c r="M9" s="175">
        <f t="shared" si="0"/>
        <v>0</v>
      </c>
      <c r="N9" s="191"/>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f t="shared" si="5"/>
        <v>0</v>
      </c>
      <c r="U9" s="178"/>
      <c r="V9" s="179"/>
      <c r="W9" s="179"/>
      <c r="X9" s="2153"/>
      <c r="Y9" s="180"/>
      <c r="Z9" s="181"/>
      <c r="AA9" s="174"/>
      <c r="AB9" s="174"/>
      <c r="AC9" s="2156"/>
      <c r="AD9" s="182"/>
      <c r="AE9" s="941">
        <f t="shared" ca="1" si="6"/>
        <v>0</v>
      </c>
      <c r="AF9" s="139"/>
      <c r="AG9" s="1158">
        <f t="shared" si="7"/>
        <v>0</v>
      </c>
      <c r="AH9" s="139"/>
      <c r="AI9" s="185"/>
      <c r="AJ9" s="186"/>
      <c r="AK9" s="187"/>
      <c r="AL9" s="188"/>
      <c r="AM9" s="2197"/>
      <c r="AN9" s="2199"/>
      <c r="AO9" s="2998"/>
      <c r="AP9" s="1149">
        <f t="shared" si="8"/>
        <v>0</v>
      </c>
      <c r="AQ9" s="2998"/>
      <c r="AR9" s="2998"/>
      <c r="AS9" s="2998"/>
      <c r="AT9" s="2998"/>
      <c r="AU9" s="2998"/>
      <c r="AV9" s="2998"/>
      <c r="AW9" s="2998"/>
      <c r="AX9" s="2998"/>
      <c r="AY9" s="2998"/>
      <c r="AZ9" s="2998"/>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1" customFormat="1" ht="14.25">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465"/>
      <c r="M10" s="175">
        <f t="shared" si="0"/>
        <v>0</v>
      </c>
      <c r="N10" s="191"/>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f t="shared" si="5"/>
        <v>0</v>
      </c>
      <c r="U10" s="178"/>
      <c r="V10" s="179"/>
      <c r="W10" s="179"/>
      <c r="X10" s="2153"/>
      <c r="Y10" s="180"/>
      <c r="Z10" s="181"/>
      <c r="AA10" s="174"/>
      <c r="AB10" s="174"/>
      <c r="AC10" s="2156"/>
      <c r="AD10" s="182"/>
      <c r="AE10" s="941">
        <f t="shared" ca="1" si="6"/>
        <v>0</v>
      </c>
      <c r="AF10" s="139"/>
      <c r="AG10" s="1158">
        <f t="shared" si="7"/>
        <v>0</v>
      </c>
      <c r="AH10" s="139"/>
      <c r="AI10" s="185"/>
      <c r="AJ10" s="186"/>
      <c r="AK10" s="187"/>
      <c r="AL10" s="188"/>
      <c r="AM10" s="2197"/>
      <c r="AN10" s="2199"/>
      <c r="AO10" s="2998"/>
      <c r="AP10" s="1149">
        <f t="shared" si="8"/>
        <v>0</v>
      </c>
      <c r="AQ10" s="2998"/>
      <c r="AR10" s="2998"/>
      <c r="AS10" s="2998"/>
      <c r="AT10" s="2998"/>
      <c r="AU10" s="2998"/>
      <c r="AV10" s="2998"/>
      <c r="AW10" s="2998"/>
      <c r="AX10" s="2998"/>
      <c r="AY10" s="2998"/>
      <c r="AZ10" s="2998"/>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1" customFormat="1" ht="14.25">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465"/>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f t="shared" si="5"/>
        <v>0</v>
      </c>
      <c r="U11" s="183"/>
      <c r="V11" s="174"/>
      <c r="W11" s="174"/>
      <c r="X11" s="2156"/>
      <c r="Y11" s="180"/>
      <c r="Z11" s="192"/>
      <c r="AA11" s="174"/>
      <c r="AB11" s="174"/>
      <c r="AC11" s="2156"/>
      <c r="AD11" s="182"/>
      <c r="AE11" s="941">
        <f t="shared" ca="1" si="6"/>
        <v>0</v>
      </c>
      <c r="AF11" s="139"/>
      <c r="AG11" s="1158">
        <f t="shared" si="7"/>
        <v>0</v>
      </c>
      <c r="AH11" s="139"/>
      <c r="AI11" s="185"/>
      <c r="AJ11" s="186"/>
      <c r="AK11" s="193"/>
      <c r="AL11" s="194"/>
      <c r="AM11" s="1685"/>
      <c r="AN11" s="2199"/>
      <c r="AO11" s="2998"/>
      <c r="AP11" s="1149">
        <f t="shared" si="8"/>
        <v>0</v>
      </c>
      <c r="AQ11" s="2998"/>
      <c r="AR11" s="2998"/>
      <c r="AS11" s="2998"/>
      <c r="AT11" s="2998"/>
      <c r="AU11" s="2998"/>
      <c r="AV11" s="2998"/>
      <c r="AW11" s="2998"/>
      <c r="AX11" s="2998"/>
      <c r="AY11" s="2998"/>
      <c r="AZ11" s="2998"/>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1" customFormat="1" ht="14.25">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465"/>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f t="shared" si="5"/>
        <v>0</v>
      </c>
      <c r="U12" s="183"/>
      <c r="V12" s="174"/>
      <c r="W12" s="174"/>
      <c r="X12" s="2156"/>
      <c r="Y12" s="180"/>
      <c r="Z12" s="192"/>
      <c r="AA12" s="174"/>
      <c r="AB12" s="174"/>
      <c r="AC12" s="2156"/>
      <c r="AD12" s="182"/>
      <c r="AE12" s="941">
        <f t="shared" ca="1" si="6"/>
        <v>0</v>
      </c>
      <c r="AF12" s="139"/>
      <c r="AG12" s="1158">
        <f t="shared" si="7"/>
        <v>0</v>
      </c>
      <c r="AH12" s="139"/>
      <c r="AI12" s="185"/>
      <c r="AJ12" s="186"/>
      <c r="AK12" s="193"/>
      <c r="AL12" s="194"/>
      <c r="AM12" s="1685"/>
      <c r="AN12" s="2199"/>
      <c r="AO12" s="2998"/>
      <c r="AP12" s="1149">
        <f t="shared" si="8"/>
        <v>0</v>
      </c>
      <c r="AQ12" s="2998"/>
      <c r="AR12" s="2998"/>
      <c r="AS12" s="2998"/>
      <c r="AT12" s="2998"/>
      <c r="AU12" s="2998"/>
      <c r="AV12" s="2998"/>
      <c r="AW12" s="2998"/>
      <c r="AX12" s="2998"/>
      <c r="AY12" s="2998"/>
      <c r="AZ12" s="2998"/>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1" customFormat="1" ht="14.25">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465"/>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f t="shared" si="5"/>
        <v>0</v>
      </c>
      <c r="U13" s="178"/>
      <c r="V13" s="179"/>
      <c r="W13" s="179"/>
      <c r="X13" s="2153"/>
      <c r="Y13" s="180"/>
      <c r="Z13" s="181"/>
      <c r="AA13" s="174"/>
      <c r="AB13" s="174"/>
      <c r="AC13" s="2156"/>
      <c r="AD13" s="182"/>
      <c r="AE13" s="941">
        <f t="shared" ca="1" si="6"/>
        <v>0</v>
      </c>
      <c r="AF13" s="139"/>
      <c r="AG13" s="1158">
        <f t="shared" si="7"/>
        <v>0</v>
      </c>
      <c r="AH13" s="139"/>
      <c r="AI13" s="185"/>
      <c r="AJ13" s="186"/>
      <c r="AK13" s="187"/>
      <c r="AL13" s="188"/>
      <c r="AM13" s="2197"/>
      <c r="AN13" s="2199"/>
      <c r="AO13" s="2998"/>
      <c r="AP13" s="1149">
        <f t="shared" si="8"/>
        <v>0</v>
      </c>
      <c r="AQ13" s="2998"/>
      <c r="AR13" s="2998"/>
      <c r="AS13" s="2998"/>
      <c r="AT13" s="2998"/>
      <c r="AU13" s="2998"/>
      <c r="AV13" s="2998"/>
      <c r="AW13" s="2998"/>
      <c r="AX13" s="2998"/>
      <c r="AY13" s="2998"/>
      <c r="AZ13" s="2998"/>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1" customFormat="1" ht="14.25">
      <c r="A14" s="2135" t="s">
        <v>2104</v>
      </c>
      <c r="B14" s="2138" t="s">
        <v>1479</v>
      </c>
      <c r="C14" s="2139" t="s">
        <v>2104</v>
      </c>
      <c r="D14" s="2140"/>
      <c r="E14" s="2141"/>
      <c r="F14" s="172"/>
      <c r="G14" s="173"/>
      <c r="H14" s="2142"/>
      <c r="I14" s="2142"/>
      <c r="J14" s="2142"/>
      <c r="K14" s="177">
        <f>SUMIF('数据-汇总表'!C$19:C$33,'数据-取费表'!A14,'数据-汇总表'!E$19:E$33)</f>
        <v>40</v>
      </c>
      <c r="L14" s="3465">
        <f>L7</f>
        <v>2500</v>
      </c>
      <c r="M14" s="175">
        <f t="shared" si="0"/>
        <v>10</v>
      </c>
      <c r="N14" s="191">
        <v>0</v>
      </c>
      <c r="O14" s="175">
        <f t="shared" si="3"/>
        <v>0</v>
      </c>
      <c r="P14" s="176">
        <f t="shared" si="4"/>
        <v>10</v>
      </c>
      <c r="Q14" s="2150"/>
      <c r="R14" s="177"/>
      <c r="S14" s="132"/>
      <c r="T14" s="2149"/>
      <c r="U14" s="943"/>
      <c r="V14" s="2152"/>
      <c r="W14" s="2152"/>
      <c r="X14" s="2153"/>
      <c r="Y14" s="2154"/>
      <c r="Z14" s="135"/>
      <c r="AA14" s="2155"/>
      <c r="AB14" s="2155"/>
      <c r="AC14" s="2156"/>
      <c r="AD14" s="2153"/>
      <c r="AE14" s="941"/>
      <c r="AF14" s="2128"/>
      <c r="AG14" s="1158"/>
      <c r="AH14" s="2128"/>
      <c r="AI14" s="1460"/>
      <c r="AJ14" s="1460"/>
      <c r="AK14" s="2157"/>
      <c r="AL14" s="2158"/>
      <c r="AM14" s="2159"/>
      <c r="AN14" s="2998"/>
      <c r="AO14" s="2998"/>
      <c r="AP14" s="2998"/>
      <c r="AQ14" s="2998"/>
      <c r="AR14" s="2998"/>
      <c r="AS14" s="2998"/>
      <c r="AT14" s="2998"/>
      <c r="AU14" s="2998"/>
      <c r="AV14" s="2998"/>
      <c r="AW14" s="2998"/>
      <c r="AX14" s="2998"/>
      <c r="AY14" s="2998"/>
      <c r="AZ14" s="2998"/>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1" customFormat="1" ht="27">
      <c r="A15" s="2144" t="s">
        <v>2106</v>
      </c>
      <c r="B15" s="2138" t="s">
        <v>1479</v>
      </c>
      <c r="C15" s="2139" t="s">
        <v>2105</v>
      </c>
      <c r="D15" s="2140"/>
      <c r="E15" s="2141"/>
      <c r="F15" s="172"/>
      <c r="G15" s="173"/>
      <c r="H15" s="2142"/>
      <c r="I15" s="2142"/>
      <c r="J15" s="2142"/>
      <c r="K15" s="177">
        <f>SUMIF('数据-汇总表'!C$19:C$33,'数据-取费表'!A15,'数据-汇总表'!E$19:E$33)</f>
        <v>297.52</v>
      </c>
      <c r="L15" s="2148"/>
      <c r="M15" s="175"/>
      <c r="N15" s="2151"/>
      <c r="O15" s="175"/>
      <c r="P15" s="176"/>
      <c r="Q15" s="2150"/>
      <c r="R15" s="177"/>
      <c r="S15" s="132"/>
      <c r="T15" s="2149"/>
      <c r="U15" s="943"/>
      <c r="V15" s="2152"/>
      <c r="W15" s="2152"/>
      <c r="X15" s="2153"/>
      <c r="Y15" s="2154"/>
      <c r="Z15" s="135"/>
      <c r="AA15" s="2155"/>
      <c r="AB15" s="2155"/>
      <c r="AC15" s="2156"/>
      <c r="AD15" s="2153"/>
      <c r="AE15" s="941"/>
      <c r="AF15" s="2128"/>
      <c r="AG15" s="1158"/>
      <c r="AH15" s="2128"/>
      <c r="AI15" s="1460"/>
      <c r="AJ15" s="1460"/>
      <c r="AK15" s="2157"/>
      <c r="AL15" s="2158"/>
      <c r="AM15" s="2159"/>
      <c r="AN15" s="2998"/>
      <c r="AO15" s="2998"/>
      <c r="AP15" s="2998"/>
      <c r="AQ15" s="2998"/>
      <c r="AR15" s="2998"/>
      <c r="AS15" s="2998"/>
      <c r="AT15" s="2998"/>
      <c r="AU15" s="2998"/>
      <c r="AV15" s="2998"/>
      <c r="AW15" s="2998"/>
      <c r="AX15" s="2998"/>
      <c r="AY15" s="2998"/>
      <c r="AZ15" s="2998"/>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1" customFormat="1" ht="15.75" thickBot="1">
      <c r="A16" s="195" t="s">
        <v>262</v>
      </c>
      <c r="B16" s="196"/>
      <c r="C16" s="197"/>
      <c r="D16" s="198"/>
      <c r="E16" s="196"/>
      <c r="F16" s="196"/>
      <c r="G16" s="199">
        <f>ROUND(SUMPRODUCT(G6:G13,K6:K13)/SUMPRODUCT((G6:G13&gt;0)*(K6:K13)),3)</f>
        <v>0.93899999999999995</v>
      </c>
      <c r="H16" s="200">
        <f>ROUND(SUMPRODUCT(H6:H13,K6:K13)/SUMPRODUCT((H6:H13&gt;0)*(K6:K13)),3)</f>
        <v>4.2000000000000003E-2</v>
      </c>
      <c r="I16" s="201"/>
      <c r="J16" s="201"/>
      <c r="K16" s="202">
        <f>SUM(K6:K15)</f>
        <v>51575.14</v>
      </c>
      <c r="L16" s="203">
        <f>ROUND(M16*10000/SUM(K6:K14),0)</f>
        <v>3518</v>
      </c>
      <c r="M16" s="203">
        <f>SUM(M6:M14)</f>
        <v>18040</v>
      </c>
      <c r="N16" s="204">
        <f>ROUND(SUMPRODUCT(M6:M14,N6:N14)/M16,3)</f>
        <v>0</v>
      </c>
      <c r="O16" s="203">
        <f>SUM(O6:O14)</f>
        <v>0</v>
      </c>
      <c r="P16" s="203">
        <f>SUM(P6:P14)</f>
        <v>18040</v>
      </c>
      <c r="Q16" s="205">
        <f>ROUND(SUMPRODUCT(Q6:Q13,K6:K13)/SUMPRODUCT((Q6:Q13&gt;0)*(K6:K13)),2)</f>
        <v>0.13</v>
      </c>
      <c r="R16" s="2143">
        <f>SUM(R6:R13)</f>
        <v>96911.69</v>
      </c>
      <c r="S16" s="206">
        <f>SUM(S6:S13)</f>
        <v>40</v>
      </c>
      <c r="T16" s="207">
        <f>IF(SUMIF(T6:T13,"&lt;9E307")=M14,SUMIF(T6:T13,"&lt;9E307"),"有误，请检查")</f>
        <v>10</v>
      </c>
      <c r="U16" s="208"/>
      <c r="V16" s="209"/>
      <c r="W16" s="209"/>
      <c r="X16" s="212"/>
      <c r="Y16" s="210"/>
      <c r="Z16" s="211"/>
      <c r="AA16" s="209"/>
      <c r="AB16" s="209"/>
      <c r="AC16" s="212"/>
      <c r="AD16" s="212"/>
      <c r="AE16" s="208"/>
      <c r="AF16" s="209"/>
      <c r="AG16" s="210"/>
      <c r="AH16" s="209"/>
      <c r="AI16" s="211"/>
      <c r="AJ16" s="211"/>
      <c r="AK16" s="209"/>
      <c r="AL16" s="209"/>
      <c r="AM16" s="210"/>
      <c r="AN16" s="2998"/>
      <c r="AO16" s="2998"/>
      <c r="AP16" s="1149">
        <f>ROUND(SUMPRODUCT(AP6:AP13,K6:K13)/SUMPRODUCT((AP6:AP13&gt;0)*(K6:K13)),3)</f>
        <v>0.875</v>
      </c>
      <c r="AQ16" s="2998"/>
      <c r="AR16" s="2998"/>
      <c r="AS16" s="2998"/>
      <c r="AT16" s="2998"/>
      <c r="AU16" s="2998"/>
      <c r="AV16" s="2998"/>
      <c r="AW16" s="2998"/>
      <c r="AX16" s="2998"/>
      <c r="AY16" s="2998"/>
      <c r="AZ16" s="2998"/>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59"/>
      <c r="B17" s="2995"/>
      <c r="C17" s="2995"/>
      <c r="D17" s="2996"/>
      <c r="E17" s="2996"/>
      <c r="F17" s="2995"/>
      <c r="G17" s="2995"/>
      <c r="H17" s="2995"/>
      <c r="I17" s="2995"/>
      <c r="J17" s="2995"/>
      <c r="K17" s="2997"/>
      <c r="L17" s="2997"/>
      <c r="M17" s="2995"/>
      <c r="N17" s="2995"/>
      <c r="O17" s="2995"/>
      <c r="P17" s="2995"/>
      <c r="Q17" s="2995"/>
      <c r="R17" s="2995"/>
      <c r="S17" s="2995"/>
      <c r="T17" s="2995"/>
      <c r="U17" s="2995"/>
      <c r="V17" s="2995"/>
      <c r="W17" s="2995"/>
      <c r="X17" s="2995"/>
      <c r="Y17" s="2995"/>
      <c r="Z17" s="2995"/>
      <c r="AA17" s="2995"/>
      <c r="AB17" s="2995"/>
      <c r="AC17" s="2995"/>
      <c r="AD17" s="2995"/>
      <c r="AE17" s="2995"/>
      <c r="AF17" s="2995"/>
      <c r="AG17" s="2995"/>
      <c r="AH17" s="2995"/>
      <c r="AI17" s="2995"/>
      <c r="AJ17" s="2995"/>
      <c r="AK17" s="2995"/>
      <c r="AL17" s="2995"/>
      <c r="AM17" s="2995"/>
      <c r="AN17" s="2995"/>
      <c r="AO17" s="2995"/>
      <c r="AP17" s="2995"/>
      <c r="AQ17" s="2995"/>
      <c r="AR17" s="2995"/>
      <c r="AS17" s="2995"/>
      <c r="AT17" s="2995"/>
      <c r="AU17" s="2995"/>
      <c r="AV17" s="2995"/>
      <c r="AW17" s="2995"/>
      <c r="AX17" s="2995"/>
      <c r="AY17" s="2995"/>
      <c r="AZ17" s="2995"/>
    </row>
    <row r="18" spans="1:83" ht="15" thickBot="1">
      <c r="A18" s="148" t="s">
        <v>263</v>
      </c>
      <c r="B18" s="2998"/>
      <c r="C18" s="2998"/>
      <c r="D18" s="2999"/>
      <c r="E18" s="2998"/>
      <c r="F18" s="2998"/>
      <c r="G18" s="2998"/>
      <c r="H18" s="2998"/>
      <c r="I18" s="2998"/>
      <c r="J18" s="2998"/>
      <c r="K18" s="2997"/>
      <c r="L18" s="2997"/>
      <c r="M18" s="2995"/>
      <c r="N18" s="2995"/>
      <c r="O18" s="2995"/>
      <c r="P18" s="2995"/>
      <c r="Q18" s="2995"/>
      <c r="R18" s="2995"/>
      <c r="S18" s="2995"/>
      <c r="T18" s="2995"/>
      <c r="U18" s="2995"/>
      <c r="V18" s="2995"/>
      <c r="W18" s="2995"/>
      <c r="X18" s="2995"/>
      <c r="Y18" s="2995"/>
      <c r="Z18" s="2995"/>
      <c r="AA18" s="2995"/>
      <c r="AB18" s="2995"/>
      <c r="AC18" s="2995"/>
      <c r="AD18" s="2995"/>
      <c r="AE18" s="2995"/>
      <c r="AF18" s="2995"/>
      <c r="AG18" s="2995"/>
      <c r="AH18" s="2995"/>
      <c r="AI18" s="2995"/>
      <c r="AJ18" s="2995"/>
      <c r="AK18" s="2995"/>
      <c r="AL18" s="2995"/>
      <c r="AM18" s="2995"/>
      <c r="AN18" s="2995"/>
      <c r="AO18" s="2995"/>
      <c r="AP18" s="2995"/>
      <c r="AQ18" s="2995"/>
      <c r="AR18" s="2995"/>
      <c r="AS18" s="2995"/>
      <c r="AT18" s="2995"/>
      <c r="AU18" s="2995"/>
      <c r="AV18" s="2995"/>
      <c r="AW18" s="2995"/>
      <c r="AX18" s="2995"/>
      <c r="AY18" s="2995"/>
      <c r="AZ18" s="2995"/>
    </row>
    <row r="19" spans="1:83" ht="14.25">
      <c r="A19" s="214" t="s">
        <v>264</v>
      </c>
      <c r="B19" s="215">
        <v>0</v>
      </c>
      <c r="C19" s="3010" t="s">
        <v>2712</v>
      </c>
      <c r="D19" s="2999"/>
      <c r="E19" s="2998"/>
      <c r="F19" s="2998"/>
      <c r="G19" s="2998"/>
      <c r="H19" s="2998"/>
      <c r="I19" s="2998"/>
      <c r="J19" s="2998"/>
      <c r="K19" s="2997"/>
      <c r="L19" s="2997"/>
      <c r="M19" s="2995"/>
      <c r="N19" s="2995"/>
      <c r="O19" s="2995"/>
      <c r="P19" s="2995"/>
      <c r="Q19" s="2995"/>
      <c r="R19" s="2995"/>
      <c r="S19" s="2995"/>
      <c r="T19" s="2995"/>
      <c r="U19" s="2995"/>
      <c r="V19" s="2995"/>
      <c r="W19" s="2995"/>
      <c r="X19" s="2995"/>
      <c r="Y19" s="2995"/>
      <c r="Z19" s="2995"/>
      <c r="AA19" s="2995"/>
      <c r="AB19" s="2995"/>
      <c r="AC19" s="2995"/>
      <c r="AD19" s="2995"/>
      <c r="AE19" s="2995"/>
      <c r="AF19" s="2995"/>
      <c r="AG19" s="2995"/>
      <c r="AH19" s="2995">
        <f>K7/220</f>
        <v>35.11722727272727</v>
      </c>
      <c r="AI19" s="2995"/>
      <c r="AJ19" s="2995"/>
      <c r="AK19" s="2995"/>
      <c r="AL19" s="2995"/>
      <c r="AM19" s="2995"/>
      <c r="AN19" s="2995"/>
      <c r="AO19" s="2995"/>
      <c r="AP19" s="2995"/>
      <c r="AQ19" s="2995"/>
      <c r="AR19" s="2995"/>
      <c r="AS19" s="2995"/>
      <c r="AT19" s="2995"/>
      <c r="AU19" s="2995"/>
      <c r="AV19" s="2995"/>
      <c r="AW19" s="2995"/>
      <c r="AX19" s="2995"/>
      <c r="AY19" s="2995"/>
      <c r="AZ19" s="2995"/>
    </row>
    <row r="20" spans="1:83" ht="14.25">
      <c r="A20" s="216" t="s">
        <v>265</v>
      </c>
      <c r="B20" s="3466">
        <v>2.5</v>
      </c>
      <c r="C20" s="3010" t="s">
        <v>2125</v>
      </c>
      <c r="D20" s="2999"/>
      <c r="E20" s="2998"/>
      <c r="F20" s="2998"/>
      <c r="G20" s="2998"/>
      <c r="H20" s="2998"/>
      <c r="I20" s="2998"/>
      <c r="J20" s="2998"/>
      <c r="K20" s="2997"/>
      <c r="L20" s="2997"/>
      <c r="M20" s="2995"/>
      <c r="N20" s="2995"/>
      <c r="O20" s="2995"/>
      <c r="P20" s="2995"/>
      <c r="Q20" s="2995"/>
      <c r="R20" s="2995"/>
      <c r="S20" s="2995"/>
      <c r="T20" s="2995"/>
      <c r="U20" s="2995"/>
      <c r="V20" s="2995"/>
      <c r="W20" s="2995"/>
      <c r="X20" s="2995"/>
      <c r="Y20" s="2995"/>
      <c r="Z20" s="2995"/>
      <c r="AA20" s="2995"/>
      <c r="AB20" s="2995"/>
      <c r="AC20" s="2995"/>
      <c r="AD20" s="2995"/>
      <c r="AE20" s="2995"/>
      <c r="AF20" s="2995"/>
      <c r="AG20" s="2995"/>
      <c r="AH20" s="2995"/>
      <c r="AI20" s="2995"/>
      <c r="AJ20" s="2995"/>
      <c r="AK20" s="2995"/>
      <c r="AL20" s="2995"/>
      <c r="AM20" s="2995"/>
      <c r="AN20" s="2995"/>
      <c r="AO20" s="2995"/>
      <c r="AP20" s="2995"/>
      <c r="AQ20" s="2995"/>
      <c r="AR20" s="2995"/>
      <c r="AS20" s="2995"/>
      <c r="AT20" s="2995"/>
      <c r="AU20" s="2995"/>
      <c r="AV20" s="2995"/>
      <c r="AW20" s="2995"/>
      <c r="AX20" s="2995"/>
      <c r="AY20" s="2995"/>
      <c r="AZ20" s="2995"/>
    </row>
    <row r="21" spans="1:83" ht="14.25">
      <c r="A21" s="218" t="s">
        <v>266</v>
      </c>
      <c r="B21" s="217">
        <v>0</v>
      </c>
      <c r="C21" s="2998"/>
      <c r="D21" s="2999"/>
      <c r="E21" s="2998"/>
      <c r="F21" s="2998"/>
      <c r="G21" s="2998"/>
      <c r="H21" s="2998"/>
      <c r="I21" s="2998"/>
      <c r="J21" s="2998"/>
      <c r="K21" s="2997"/>
      <c r="L21" s="2997"/>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5"/>
      <c r="AK21" s="2995"/>
      <c r="AL21" s="2995"/>
      <c r="AM21" s="2995"/>
      <c r="AN21" s="2995"/>
      <c r="AO21" s="2995"/>
      <c r="AP21" s="2995"/>
      <c r="AQ21" s="2995"/>
      <c r="AR21" s="2995"/>
      <c r="AS21" s="2995"/>
      <c r="AT21" s="2995"/>
      <c r="AU21" s="2995"/>
      <c r="AV21" s="2995"/>
      <c r="AW21" s="2995"/>
      <c r="AX21" s="2995"/>
      <c r="AY21" s="2995"/>
      <c r="AZ21" s="2995"/>
    </row>
    <row r="22" spans="1:83" ht="14.25">
      <c r="A22" s="216" t="s">
        <v>267</v>
      </c>
      <c r="B22" s="219">
        <f>B19+B20</f>
        <v>2.5</v>
      </c>
      <c r="C22" s="2998"/>
      <c r="D22" s="2999"/>
      <c r="E22" s="2998"/>
      <c r="F22" s="2998"/>
      <c r="G22" s="2998"/>
      <c r="H22" s="2998"/>
      <c r="I22" s="2998"/>
      <c r="J22" s="2998"/>
      <c r="K22" s="2997"/>
      <c r="L22" s="2997"/>
      <c r="M22" s="2995"/>
      <c r="N22" s="2995"/>
      <c r="O22" s="2995"/>
      <c r="P22" s="2995"/>
      <c r="Q22" s="2995"/>
      <c r="R22" s="2995"/>
      <c r="S22" s="2995"/>
      <c r="T22" s="2995"/>
      <c r="U22" s="2995"/>
      <c r="V22" s="2995"/>
      <c r="W22" s="2995"/>
      <c r="X22" s="2995"/>
      <c r="Y22" s="2995"/>
      <c r="Z22" s="2995"/>
      <c r="AA22" s="2995"/>
      <c r="AB22" s="2995"/>
      <c r="AC22" s="2995"/>
      <c r="AD22" s="2995"/>
      <c r="AE22" s="2995"/>
      <c r="AF22" s="2995"/>
      <c r="AG22" s="2995"/>
      <c r="AH22" s="2995"/>
      <c r="AI22" s="2995"/>
      <c r="AJ22" s="2995"/>
      <c r="AK22" s="2995"/>
      <c r="AL22" s="2995"/>
      <c r="AM22" s="2995"/>
      <c r="AN22" s="2995"/>
      <c r="AO22" s="2995"/>
      <c r="AP22" s="2995"/>
      <c r="AQ22" s="2995"/>
      <c r="AR22" s="2995"/>
      <c r="AS22" s="2995"/>
      <c r="AT22" s="2995"/>
      <c r="AU22" s="2995"/>
      <c r="AV22" s="2995"/>
      <c r="AW22" s="2995"/>
      <c r="AX22" s="2995"/>
      <c r="AY22" s="2995"/>
      <c r="AZ22" s="2995"/>
    </row>
    <row r="23" spans="1:83" ht="14.25">
      <c r="A23" s="218" t="s">
        <v>268</v>
      </c>
      <c r="B23" s="219">
        <f>B19+B21</f>
        <v>0</v>
      </c>
      <c r="C23" s="2998"/>
      <c r="D23" s="2999"/>
      <c r="E23" s="2998"/>
      <c r="F23" s="2998"/>
      <c r="G23" s="2998"/>
      <c r="H23" s="2998"/>
      <c r="I23" s="2998"/>
      <c r="J23" s="2998"/>
      <c r="K23" s="2997"/>
      <c r="L23" s="2997"/>
      <c r="M23" s="2995"/>
      <c r="N23" s="2995"/>
      <c r="O23" s="2995"/>
      <c r="P23" s="2995"/>
      <c r="Q23" s="2995"/>
      <c r="R23" s="2995"/>
      <c r="S23" s="2995"/>
      <c r="T23" s="2995"/>
      <c r="U23" s="2995"/>
      <c r="V23" s="2995"/>
      <c r="W23" s="2995"/>
      <c r="X23" s="2995"/>
      <c r="Y23" s="2995"/>
      <c r="Z23" s="2995"/>
      <c r="AA23" s="2995"/>
      <c r="AB23" s="2995"/>
      <c r="AC23" s="2995"/>
      <c r="AD23" s="2995"/>
      <c r="AE23" s="2995"/>
      <c r="AF23" s="2995"/>
      <c r="AG23" s="2995"/>
      <c r="AH23" s="2995"/>
      <c r="AI23" s="2995"/>
      <c r="AJ23" s="2995"/>
      <c r="AK23" s="2995"/>
      <c r="AL23" s="2995"/>
      <c r="AM23" s="2995"/>
      <c r="AN23" s="2995"/>
      <c r="AO23" s="2995"/>
      <c r="AP23" s="2995"/>
      <c r="AQ23" s="2995"/>
      <c r="AR23" s="2995"/>
      <c r="AS23" s="2995"/>
      <c r="AT23" s="2995"/>
      <c r="AU23" s="2995"/>
      <c r="AV23" s="2995"/>
      <c r="AW23" s="2995"/>
      <c r="AX23" s="2995"/>
      <c r="AY23" s="2995"/>
      <c r="AZ23" s="2995"/>
    </row>
    <row r="24" spans="1:83" ht="15" thickBot="1">
      <c r="A24" s="220" t="s">
        <v>269</v>
      </c>
      <c r="B24" s="221">
        <f>B20-B21</f>
        <v>2.5</v>
      </c>
      <c r="C24" s="2998"/>
      <c r="D24" s="2999"/>
      <c r="E24" s="2998"/>
      <c r="F24" s="2998"/>
      <c r="G24" s="2998"/>
      <c r="H24" s="2998"/>
      <c r="I24" s="2998"/>
      <c r="J24" s="2998"/>
      <c r="K24" s="2997"/>
      <c r="L24" s="2997"/>
      <c r="M24" s="2995"/>
      <c r="N24" s="2995"/>
      <c r="O24" s="2995"/>
      <c r="P24" s="2995"/>
      <c r="Q24" s="2995"/>
      <c r="R24" s="2995"/>
      <c r="S24" s="2995"/>
      <c r="T24" s="2995"/>
      <c r="U24" s="2995"/>
      <c r="V24" s="2995"/>
      <c r="W24" s="2995"/>
      <c r="X24" s="2995"/>
      <c r="Y24" s="2995"/>
      <c r="Z24" s="2995"/>
      <c r="AA24" s="2995"/>
      <c r="AB24" s="2995"/>
      <c r="AC24" s="2995"/>
      <c r="AD24" s="2995"/>
      <c r="AE24" s="2995"/>
      <c r="AF24" s="2995"/>
      <c r="AG24" s="2995"/>
      <c r="AH24" s="2995"/>
      <c r="AI24" s="2995"/>
      <c r="AJ24" s="2995"/>
      <c r="AK24" s="2995"/>
      <c r="AL24" s="2995"/>
      <c r="AM24" s="2995"/>
      <c r="AN24" s="2995"/>
      <c r="AO24" s="2995"/>
      <c r="AP24" s="2995"/>
      <c r="AQ24" s="2995"/>
      <c r="AR24" s="2995"/>
      <c r="AS24" s="2995"/>
      <c r="AT24" s="2995"/>
      <c r="AU24" s="2995"/>
      <c r="AV24" s="2995"/>
      <c r="AW24" s="2995"/>
      <c r="AX24" s="2995"/>
      <c r="AY24" s="2995"/>
      <c r="AZ24" s="2995"/>
    </row>
    <row r="25" spans="1:83" ht="15" thickBot="1">
      <c r="A25" s="1152"/>
      <c r="B25" s="1149"/>
      <c r="C25" s="2998"/>
      <c r="D25" s="2999"/>
      <c r="E25" s="2998"/>
      <c r="F25" s="2998"/>
      <c r="G25" s="2998"/>
      <c r="H25" s="2998"/>
      <c r="I25" s="2998"/>
      <c r="J25" s="2998"/>
      <c r="K25" s="2997"/>
      <c r="L25" s="2997"/>
      <c r="M25" s="2995"/>
      <c r="N25" s="2995"/>
      <c r="O25" s="2995"/>
      <c r="P25" s="2995"/>
      <c r="Q25" s="2995"/>
      <c r="R25" s="2995"/>
      <c r="S25" s="2995"/>
      <c r="T25" s="2995"/>
      <c r="U25" s="2995"/>
      <c r="V25" s="2995"/>
      <c r="W25" s="2995"/>
      <c r="X25" s="2995"/>
      <c r="Y25" s="2995"/>
      <c r="Z25" s="2995"/>
      <c r="AA25" s="2995"/>
      <c r="AB25" s="2995"/>
      <c r="AC25" s="2995"/>
      <c r="AD25" s="2995"/>
      <c r="AE25" s="2995"/>
      <c r="AF25" s="2995"/>
      <c r="AG25" s="2995"/>
      <c r="AH25" s="2995"/>
      <c r="AI25" s="2995"/>
      <c r="AJ25" s="2995"/>
      <c r="AK25" s="2995"/>
      <c r="AL25" s="2995"/>
      <c r="AM25" s="2995"/>
      <c r="AN25" s="2995"/>
      <c r="AO25" s="2995"/>
      <c r="AP25" s="2995"/>
      <c r="AQ25" s="2995"/>
      <c r="AR25" s="2995"/>
      <c r="AS25" s="2995"/>
      <c r="AT25" s="2995"/>
      <c r="AU25" s="2995"/>
      <c r="AV25" s="2995"/>
      <c r="AW25" s="2995"/>
      <c r="AX25" s="2995"/>
      <c r="AY25" s="2995"/>
      <c r="AZ25" s="2995"/>
    </row>
    <row r="26" spans="1:83" ht="15" thickBot="1">
      <c r="A26" s="147" t="s">
        <v>270</v>
      </c>
      <c r="B26" s="222" t="s">
        <v>271</v>
      </c>
      <c r="C26" s="3000" t="s">
        <v>272</v>
      </c>
      <c r="D26" s="2999"/>
      <c r="E26" s="2998"/>
      <c r="F26" s="2998"/>
      <c r="G26" s="2998"/>
      <c r="H26" s="2998"/>
      <c r="I26" s="2998"/>
      <c r="J26" s="2998"/>
      <c r="K26" s="2997"/>
      <c r="L26" s="2997"/>
      <c r="M26" s="2995"/>
      <c r="N26" s="2995"/>
      <c r="O26" s="2995"/>
      <c r="P26" s="2995"/>
      <c r="Q26" s="2995"/>
      <c r="R26" s="2995"/>
      <c r="S26" s="2995"/>
      <c r="T26" s="2995"/>
      <c r="U26" s="2995"/>
      <c r="V26" s="2995"/>
      <c r="W26" s="2995"/>
      <c r="X26" s="2995"/>
      <c r="Y26" s="2995"/>
      <c r="Z26" s="2995"/>
      <c r="AA26" s="2995"/>
      <c r="AB26" s="2995"/>
      <c r="AC26" s="2995"/>
      <c r="AD26" s="2995"/>
      <c r="AE26" s="2995"/>
      <c r="AF26" s="2995"/>
      <c r="AG26" s="2995"/>
      <c r="AH26" s="2995"/>
      <c r="AI26" s="2995"/>
      <c r="AJ26" s="2995"/>
      <c r="AK26" s="2995"/>
      <c r="AL26" s="2995"/>
      <c r="AM26" s="2995"/>
      <c r="AN26" s="2995"/>
      <c r="AO26" s="2995"/>
      <c r="AP26" s="2995"/>
      <c r="AQ26" s="2995"/>
      <c r="AR26" s="2995"/>
      <c r="AS26" s="2995"/>
      <c r="AT26" s="2995"/>
      <c r="AU26" s="2995"/>
      <c r="AV26" s="2995"/>
      <c r="AW26" s="2995"/>
      <c r="AX26" s="2995"/>
      <c r="AY26" s="2995"/>
      <c r="AZ26" s="2995"/>
    </row>
    <row r="27" spans="1:83" s="1160" customFormat="1" ht="27.75">
      <c r="A27" s="223" t="s">
        <v>2127</v>
      </c>
      <c r="B27" s="224">
        <v>220</v>
      </c>
      <c r="C27" s="3011" t="s">
        <v>2713</v>
      </c>
      <c r="D27" s="3002"/>
      <c r="E27" s="3003"/>
      <c r="F27" s="3003"/>
      <c r="G27" s="2998"/>
      <c r="H27" s="2998"/>
      <c r="I27" s="2998"/>
      <c r="J27" s="2998"/>
      <c r="K27" s="2997"/>
      <c r="L27" s="2997"/>
      <c r="M27" s="2995"/>
      <c r="N27" s="2995"/>
      <c r="O27" s="2995"/>
      <c r="P27" s="2995"/>
      <c r="Q27" s="2995"/>
      <c r="R27" s="2995"/>
      <c r="S27" s="2995"/>
      <c r="T27" s="2995"/>
      <c r="U27" s="2995"/>
      <c r="V27" s="2995"/>
      <c r="W27" s="2995"/>
      <c r="X27" s="2995"/>
      <c r="Y27" s="2995"/>
      <c r="Z27" s="2995"/>
      <c r="AA27" s="2995"/>
      <c r="AB27" s="2995"/>
      <c r="AC27" s="2995"/>
      <c r="AD27" s="2995"/>
      <c r="AE27" s="2995"/>
      <c r="AF27" s="2995"/>
      <c r="AG27" s="2995"/>
      <c r="AH27" s="2995"/>
      <c r="AI27" s="2995"/>
      <c r="AJ27" s="2995"/>
      <c r="AK27" s="2995"/>
      <c r="AL27" s="2995"/>
      <c r="AM27" s="2995"/>
      <c r="AN27" s="2995"/>
      <c r="AO27" s="2995"/>
      <c r="AP27" s="2995"/>
      <c r="AQ27" s="2995"/>
      <c r="AR27" s="2995"/>
      <c r="AS27" s="2995"/>
      <c r="AT27" s="2995"/>
      <c r="AU27" s="2995"/>
      <c r="AV27" s="2995"/>
      <c r="AW27" s="2995"/>
      <c r="AX27" s="2995"/>
      <c r="AY27" s="2995"/>
      <c r="AZ27" s="2995"/>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0" customFormat="1" ht="27.75">
      <c r="A28" s="225" t="s">
        <v>2128</v>
      </c>
      <c r="B28" s="226">
        <v>220</v>
      </c>
      <c r="C28" s="3004"/>
      <c r="D28" s="3002"/>
      <c r="E28" s="3003"/>
      <c r="F28" s="3003"/>
      <c r="G28" s="2998"/>
      <c r="H28" s="2998"/>
      <c r="I28" s="2998"/>
      <c r="J28" s="2998"/>
      <c r="K28" s="2997"/>
      <c r="L28" s="2997"/>
      <c r="M28" s="2995"/>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c r="AL28" s="2995"/>
      <c r="AM28" s="2995"/>
      <c r="AN28" s="2995"/>
      <c r="AO28" s="2995"/>
      <c r="AP28" s="2995"/>
      <c r="AQ28" s="2995"/>
      <c r="AR28" s="2995"/>
      <c r="AS28" s="2995"/>
      <c r="AT28" s="2995"/>
      <c r="AU28" s="2995"/>
      <c r="AV28" s="2995"/>
      <c r="AW28" s="2995"/>
      <c r="AX28" s="2995"/>
      <c r="AY28" s="2995"/>
      <c r="AZ28" s="2995"/>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0" customFormat="1" ht="28.5" thickBot="1">
      <c r="A29" s="228" t="s">
        <v>2126</v>
      </c>
      <c r="B29" s="229">
        <v>0</v>
      </c>
      <c r="C29" s="3012" t="s">
        <v>2129</v>
      </c>
      <c r="D29" s="3002"/>
      <c r="E29" s="3003"/>
      <c r="F29" s="3003"/>
      <c r="G29" s="2998"/>
      <c r="H29" s="2998"/>
      <c r="I29" s="2998"/>
      <c r="J29" s="2998"/>
      <c r="K29" s="2997"/>
      <c r="L29" s="2997"/>
      <c r="M29" s="2995"/>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c r="AL29" s="2995"/>
      <c r="AM29" s="2995"/>
      <c r="AN29" s="2995"/>
      <c r="AO29" s="2995"/>
      <c r="AP29" s="2995"/>
      <c r="AQ29" s="2995"/>
      <c r="AR29" s="2995"/>
      <c r="AS29" s="2995"/>
      <c r="AT29" s="2995"/>
      <c r="AU29" s="2995"/>
      <c r="AV29" s="2995"/>
      <c r="AW29" s="2995"/>
      <c r="AX29" s="2995"/>
      <c r="AY29" s="2995"/>
      <c r="AZ29" s="2995"/>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0" customFormat="1" ht="27">
      <c r="A30" s="232" t="s">
        <v>273</v>
      </c>
      <c r="B30" s="947">
        <v>200</v>
      </c>
      <c r="C30" s="3004"/>
      <c r="D30" s="3002"/>
      <c r="E30" s="3003"/>
      <c r="F30" s="3003"/>
      <c r="G30" s="2998"/>
      <c r="H30" s="2998"/>
      <c r="I30" s="2998"/>
      <c r="J30" s="2998"/>
      <c r="K30" s="2997"/>
      <c r="L30" s="2997"/>
      <c r="M30" s="2995"/>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c r="AL30" s="2995"/>
      <c r="AM30" s="2995"/>
      <c r="AN30" s="2995"/>
      <c r="AO30" s="2995"/>
      <c r="AP30" s="2995"/>
      <c r="AQ30" s="2995"/>
      <c r="AR30" s="2995"/>
      <c r="AS30" s="2995"/>
      <c r="AT30" s="2995"/>
      <c r="AU30" s="2995"/>
      <c r="AV30" s="2995"/>
      <c r="AW30" s="2995"/>
      <c r="AX30" s="2995"/>
      <c r="AY30" s="2995"/>
      <c r="AZ30" s="2995"/>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0" customFormat="1" ht="27">
      <c r="A31" s="225" t="s">
        <v>274</v>
      </c>
      <c r="B31" s="227">
        <f>B30-B32</f>
        <v>130</v>
      </c>
      <c r="C31" s="3001"/>
      <c r="D31" s="3002"/>
      <c r="E31" s="3003"/>
      <c r="F31" s="3003"/>
      <c r="G31" s="2998"/>
      <c r="H31" s="2998"/>
      <c r="I31" s="2998"/>
      <c r="J31" s="2998"/>
      <c r="K31" s="2997"/>
      <c r="L31" s="2997"/>
      <c r="M31" s="2995"/>
      <c r="N31" s="2995"/>
      <c r="O31" s="2995"/>
      <c r="P31" s="2995"/>
      <c r="Q31" s="2995"/>
      <c r="R31" s="2995"/>
      <c r="S31" s="2995"/>
      <c r="T31" s="2995"/>
      <c r="U31" s="2995"/>
      <c r="V31" s="2995"/>
      <c r="W31" s="2995"/>
      <c r="X31" s="2995"/>
      <c r="Y31" s="2995"/>
      <c r="Z31" s="2995"/>
      <c r="AA31" s="2995"/>
      <c r="AB31" s="2995"/>
      <c r="AC31" s="2995"/>
      <c r="AD31" s="2995"/>
      <c r="AE31" s="2995"/>
      <c r="AF31" s="2995"/>
      <c r="AG31" s="2995"/>
      <c r="AH31" s="2995"/>
      <c r="AI31" s="2995"/>
      <c r="AJ31" s="2995"/>
      <c r="AK31" s="2995"/>
      <c r="AL31" s="2995"/>
      <c r="AM31" s="2995"/>
      <c r="AN31" s="2995"/>
      <c r="AO31" s="2995"/>
      <c r="AP31" s="2995"/>
      <c r="AQ31" s="2995"/>
      <c r="AR31" s="2995"/>
      <c r="AS31" s="2995"/>
      <c r="AT31" s="2995"/>
      <c r="AU31" s="2995"/>
      <c r="AV31" s="2995"/>
      <c r="AW31" s="2995"/>
      <c r="AX31" s="2995"/>
      <c r="AY31" s="2995"/>
      <c r="AZ31" s="2995"/>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0" customFormat="1" ht="27.75" thickBot="1">
      <c r="A32" s="234" t="s">
        <v>275</v>
      </c>
      <c r="B32" s="1283">
        <v>70</v>
      </c>
      <c r="C32" s="3004"/>
      <c r="D32" s="2999"/>
      <c r="E32" s="2998"/>
      <c r="F32" s="2998"/>
      <c r="G32" s="2998"/>
      <c r="H32" s="2998"/>
      <c r="I32" s="2998"/>
      <c r="J32" s="2998"/>
      <c r="K32" s="2997"/>
      <c r="L32" s="2997"/>
      <c r="M32" s="2995"/>
      <c r="N32" s="2995"/>
      <c r="O32" s="2995"/>
      <c r="P32" s="2995"/>
      <c r="Q32" s="2995"/>
      <c r="R32" s="2995"/>
      <c r="S32" s="2995"/>
      <c r="T32" s="2995"/>
      <c r="U32" s="2995"/>
      <c r="V32" s="2995"/>
      <c r="W32" s="2995"/>
      <c r="X32" s="2995"/>
      <c r="Y32" s="2995"/>
      <c r="Z32" s="2995"/>
      <c r="AA32" s="2995"/>
      <c r="AB32" s="2995"/>
      <c r="AC32" s="2995"/>
      <c r="AD32" s="2995"/>
      <c r="AE32" s="2995"/>
      <c r="AF32" s="2995"/>
      <c r="AG32" s="2995"/>
      <c r="AH32" s="2995"/>
      <c r="AI32" s="2995"/>
      <c r="AJ32" s="2995"/>
      <c r="AK32" s="2995"/>
      <c r="AL32" s="2995"/>
      <c r="AM32" s="2995"/>
      <c r="AN32" s="2995"/>
      <c r="AO32" s="2995"/>
      <c r="AP32" s="2995"/>
      <c r="AQ32" s="2995"/>
      <c r="AR32" s="2995"/>
      <c r="AS32" s="2995"/>
      <c r="AT32" s="2995"/>
      <c r="AU32" s="2995"/>
      <c r="AV32" s="2995"/>
      <c r="AW32" s="2995"/>
      <c r="AX32" s="2995"/>
      <c r="AY32" s="2995"/>
      <c r="AZ32" s="2995"/>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0" customFormat="1" ht="14.25">
      <c r="A33" s="223" t="s">
        <v>278</v>
      </c>
      <c r="B33" s="1284">
        <v>0.03</v>
      </c>
      <c r="C33" s="3013" t="s">
        <v>2701</v>
      </c>
      <c r="D33" s="3002"/>
      <c r="E33" s="3003"/>
      <c r="F33" s="3003"/>
      <c r="G33" s="2998"/>
      <c r="H33" s="2998"/>
      <c r="I33" s="2998"/>
      <c r="J33" s="2998"/>
      <c r="K33" s="2997"/>
      <c r="L33" s="2997"/>
      <c r="M33" s="2995"/>
      <c r="N33" s="2995"/>
      <c r="O33" s="2995"/>
      <c r="P33" s="2995"/>
      <c r="Q33" s="2995"/>
      <c r="R33" s="2995"/>
      <c r="S33" s="2995"/>
      <c r="T33" s="2995"/>
      <c r="U33" s="2995"/>
      <c r="V33" s="2995"/>
      <c r="W33" s="2995"/>
      <c r="X33" s="2995"/>
      <c r="Y33" s="2995"/>
      <c r="Z33" s="2995"/>
      <c r="AA33" s="2995"/>
      <c r="AB33" s="2995"/>
      <c r="AC33" s="2995"/>
      <c r="AD33" s="2995"/>
      <c r="AE33" s="2995"/>
      <c r="AF33" s="2995"/>
      <c r="AG33" s="2995"/>
      <c r="AH33" s="2995"/>
      <c r="AI33" s="2995"/>
      <c r="AJ33" s="2995"/>
      <c r="AK33" s="2995"/>
      <c r="AL33" s="2995"/>
      <c r="AM33" s="2995"/>
      <c r="AN33" s="2995"/>
      <c r="AO33" s="2995"/>
      <c r="AP33" s="2995"/>
      <c r="AQ33" s="2995"/>
      <c r="AR33" s="2995"/>
      <c r="AS33" s="2995"/>
      <c r="AT33" s="2995"/>
      <c r="AU33" s="2995"/>
      <c r="AV33" s="2995"/>
      <c r="AW33" s="2995"/>
      <c r="AX33" s="2995"/>
      <c r="AY33" s="2995"/>
      <c r="AZ33" s="2995"/>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5" t="s">
        <v>279</v>
      </c>
      <c r="B34" s="230">
        <v>0.05</v>
      </c>
      <c r="C34" s="3013" t="s">
        <v>2702</v>
      </c>
      <c r="D34" s="3014" t="s">
        <v>2709</v>
      </c>
      <c r="E34" s="2995"/>
      <c r="F34" s="2998"/>
      <c r="G34" s="2998"/>
      <c r="H34" s="2998"/>
      <c r="I34" s="2998"/>
      <c r="J34" s="2998"/>
      <c r="K34" s="2997"/>
      <c r="L34" s="2997"/>
      <c r="M34" s="2995"/>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c r="AL34" s="2995"/>
      <c r="AM34" s="2995"/>
      <c r="AN34" s="2995"/>
      <c r="AO34" s="2995"/>
      <c r="AP34" s="2995"/>
      <c r="AQ34" s="2995"/>
      <c r="AR34" s="2995"/>
      <c r="AS34" s="2995"/>
      <c r="AT34" s="2995"/>
      <c r="AU34" s="2995"/>
      <c r="AV34" s="2995"/>
      <c r="AW34" s="2995"/>
      <c r="AX34" s="2995"/>
      <c r="AY34" s="2995"/>
      <c r="AZ34" s="2995"/>
    </row>
    <row r="35" spans="1:83" ht="14.25">
      <c r="A35" s="225" t="s">
        <v>276</v>
      </c>
      <c r="B35" s="226">
        <v>200</v>
      </c>
      <c r="C35" s="3013" t="s">
        <v>2703</v>
      </c>
      <c r="D35" s="2999"/>
      <c r="E35" s="2998"/>
      <c r="F35" s="2998"/>
      <c r="G35" s="2998"/>
      <c r="H35" s="2998"/>
      <c r="I35" s="2998"/>
      <c r="J35" s="2998"/>
      <c r="K35" s="2997"/>
      <c r="L35" s="2997"/>
      <c r="M35" s="2995"/>
      <c r="N35" s="2995"/>
      <c r="O35" s="2995"/>
      <c r="P35" s="2995"/>
      <c r="Q35" s="2995"/>
      <c r="R35" s="2995"/>
      <c r="S35" s="2995"/>
      <c r="T35" s="2995"/>
      <c r="U35" s="2995"/>
      <c r="V35" s="2995"/>
      <c r="W35" s="2995"/>
      <c r="X35" s="2995"/>
      <c r="Y35" s="2995"/>
      <c r="Z35" s="2995"/>
      <c r="AA35" s="2995"/>
      <c r="AB35" s="2995"/>
      <c r="AC35" s="2995"/>
      <c r="AD35" s="2995"/>
      <c r="AE35" s="2995"/>
      <c r="AF35" s="2995"/>
      <c r="AG35" s="2995"/>
      <c r="AH35" s="2995"/>
      <c r="AI35" s="2995"/>
      <c r="AJ35" s="2995"/>
      <c r="AK35" s="2995"/>
      <c r="AL35" s="2995"/>
      <c r="AM35" s="2995"/>
      <c r="AN35" s="2995"/>
      <c r="AO35" s="2995"/>
      <c r="AP35" s="2995"/>
      <c r="AQ35" s="2995"/>
      <c r="AR35" s="2995"/>
      <c r="AS35" s="2995"/>
      <c r="AT35" s="2995"/>
      <c r="AU35" s="2995"/>
      <c r="AV35" s="2995"/>
      <c r="AW35" s="2995"/>
      <c r="AX35" s="2995"/>
      <c r="AY35" s="2995"/>
      <c r="AZ35" s="2995"/>
    </row>
    <row r="36" spans="1:83" ht="15" thickBot="1">
      <c r="A36" s="228" t="s">
        <v>277</v>
      </c>
      <c r="B36" s="231">
        <v>1.4999999999999999E-2</v>
      </c>
      <c r="C36" s="3013" t="s">
        <v>2704</v>
      </c>
      <c r="D36" s="2996"/>
      <c r="E36" s="2995"/>
      <c r="F36" s="2998"/>
      <c r="G36" s="2998"/>
      <c r="H36" s="2998"/>
      <c r="I36" s="2998"/>
      <c r="J36" s="2998"/>
      <c r="K36" s="2997"/>
      <c r="L36" s="2997"/>
      <c r="M36" s="2995"/>
      <c r="N36" s="2995"/>
      <c r="O36" s="2995"/>
      <c r="P36" s="2995"/>
      <c r="Q36" s="2995"/>
      <c r="R36" s="2995"/>
      <c r="S36" s="2995"/>
      <c r="T36" s="2995"/>
      <c r="U36" s="2995"/>
      <c r="V36" s="2995"/>
      <c r="W36" s="2995"/>
      <c r="X36" s="2995"/>
      <c r="Y36" s="2995"/>
      <c r="Z36" s="2995"/>
      <c r="AA36" s="2995"/>
      <c r="AB36" s="2995"/>
      <c r="AC36" s="2995"/>
      <c r="AD36" s="2995"/>
      <c r="AE36" s="2995"/>
      <c r="AF36" s="2995"/>
      <c r="AG36" s="2995"/>
      <c r="AH36" s="2995"/>
      <c r="AI36" s="2995"/>
      <c r="AJ36" s="2995"/>
      <c r="AK36" s="2995"/>
      <c r="AL36" s="2995"/>
      <c r="AM36" s="2995"/>
      <c r="AN36" s="2995"/>
      <c r="AO36" s="2995"/>
      <c r="AP36" s="2995"/>
      <c r="AQ36" s="2995"/>
      <c r="AR36" s="2995"/>
      <c r="AS36" s="2995"/>
      <c r="AT36" s="2995"/>
      <c r="AU36" s="2995"/>
      <c r="AV36" s="2995"/>
      <c r="AW36" s="2995"/>
      <c r="AX36" s="2995"/>
      <c r="AY36" s="2995"/>
      <c r="AZ36" s="2995"/>
    </row>
    <row r="37" spans="1:83" ht="14.25">
      <c r="A37" s="232" t="s">
        <v>280</v>
      </c>
      <c r="B37" s="233">
        <v>0.02</v>
      </c>
      <c r="C37" s="3013" t="s">
        <v>2705</v>
      </c>
      <c r="D37" s="2999"/>
      <c r="E37" s="2998"/>
      <c r="F37" s="2998"/>
      <c r="G37" s="2998"/>
      <c r="H37" s="2998"/>
      <c r="I37" s="2998"/>
      <c r="J37" s="2998"/>
      <c r="K37" s="2997"/>
      <c r="L37" s="2997"/>
      <c r="M37" s="2995"/>
      <c r="N37" s="2995"/>
      <c r="O37" s="2995"/>
      <c r="P37" s="2995"/>
      <c r="Q37" s="2995"/>
      <c r="R37" s="2995"/>
      <c r="S37" s="2995"/>
      <c r="T37" s="2995"/>
      <c r="U37" s="2995"/>
      <c r="V37" s="2995"/>
      <c r="W37" s="2995"/>
      <c r="X37" s="2995"/>
      <c r="Y37" s="2995"/>
      <c r="Z37" s="2995"/>
      <c r="AA37" s="2995"/>
      <c r="AB37" s="2995"/>
      <c r="AC37" s="2995"/>
      <c r="AD37" s="2995"/>
      <c r="AE37" s="2995"/>
      <c r="AF37" s="2995"/>
      <c r="AG37" s="2995"/>
      <c r="AH37" s="2995"/>
      <c r="AI37" s="2995"/>
      <c r="AJ37" s="2995"/>
      <c r="AK37" s="2995"/>
      <c r="AL37" s="2995"/>
      <c r="AM37" s="2995"/>
      <c r="AN37" s="2995"/>
      <c r="AO37" s="2995"/>
      <c r="AP37" s="2995"/>
      <c r="AQ37" s="2995"/>
      <c r="AR37" s="2995"/>
      <c r="AS37" s="2995"/>
      <c r="AT37" s="2995"/>
      <c r="AU37" s="2995"/>
      <c r="AV37" s="2995"/>
      <c r="AW37" s="2995"/>
      <c r="AX37" s="2995"/>
      <c r="AY37" s="2995"/>
      <c r="AZ37" s="2995"/>
    </row>
    <row r="38" spans="1:83" ht="14.25">
      <c r="A38" s="225" t="s">
        <v>281</v>
      </c>
      <c r="B38" s="230">
        <v>0.02</v>
      </c>
      <c r="C38" s="3013" t="s">
        <v>2705</v>
      </c>
      <c r="D38" s="2999"/>
      <c r="E38" s="2998"/>
      <c r="F38" s="2998"/>
      <c r="G38" s="2998"/>
      <c r="H38" s="2998"/>
      <c r="I38" s="2998"/>
      <c r="J38" s="2998"/>
      <c r="K38" s="2997"/>
      <c r="L38" s="2997"/>
      <c r="M38" s="2995"/>
      <c r="N38" s="2995"/>
      <c r="O38" s="2995"/>
      <c r="P38" s="2995"/>
      <c r="Q38" s="2995"/>
      <c r="R38" s="2995"/>
      <c r="S38" s="2995"/>
      <c r="T38" s="2995"/>
      <c r="U38" s="2995"/>
      <c r="V38" s="2995"/>
      <c r="W38" s="2995"/>
      <c r="X38" s="2995"/>
      <c r="Y38" s="2995"/>
      <c r="Z38" s="2995"/>
      <c r="AA38" s="2995"/>
      <c r="AB38" s="2995"/>
      <c r="AC38" s="2995"/>
      <c r="AD38" s="2995"/>
      <c r="AE38" s="2995"/>
      <c r="AF38" s="2995"/>
      <c r="AG38" s="2995"/>
      <c r="AH38" s="2995"/>
      <c r="AI38" s="2995"/>
      <c r="AJ38" s="2995"/>
      <c r="AK38" s="2995"/>
      <c r="AL38" s="2995"/>
      <c r="AM38" s="2995"/>
      <c r="AN38" s="2995"/>
      <c r="AO38" s="2995"/>
      <c r="AP38" s="2995"/>
      <c r="AQ38" s="2995"/>
      <c r="AR38" s="2995"/>
      <c r="AS38" s="2995"/>
      <c r="AT38" s="2995"/>
      <c r="AU38" s="2995"/>
      <c r="AV38" s="2995"/>
      <c r="AW38" s="2995"/>
      <c r="AX38" s="2995"/>
      <c r="AY38" s="2995"/>
      <c r="AZ38" s="2995"/>
    </row>
    <row r="39" spans="1:83" ht="14.25">
      <c r="A39" s="2292" t="s">
        <v>2236</v>
      </c>
      <c r="B39" s="772">
        <f ca="1">存贷款利率!C4</f>
        <v>1.4999999999999999E-2</v>
      </c>
      <c r="C39" s="3005"/>
      <c r="D39" s="2999"/>
      <c r="E39" s="2998"/>
      <c r="F39" s="2998"/>
      <c r="G39" s="2998"/>
      <c r="H39" s="2998"/>
      <c r="I39" s="2998"/>
      <c r="J39" s="2998"/>
      <c r="K39" s="2997"/>
      <c r="L39" s="2997"/>
      <c r="M39" s="2995"/>
      <c r="N39" s="2995"/>
      <c r="O39" s="2995"/>
      <c r="P39" s="2995"/>
      <c r="Q39" s="2995"/>
      <c r="R39" s="2995"/>
      <c r="S39" s="2995"/>
      <c r="T39" s="2995"/>
      <c r="U39" s="2995"/>
      <c r="V39" s="2995"/>
      <c r="W39" s="2995"/>
      <c r="X39" s="2995"/>
      <c r="Y39" s="2995"/>
      <c r="Z39" s="2995"/>
      <c r="AA39" s="2995"/>
      <c r="AB39" s="2995"/>
      <c r="AC39" s="2995"/>
      <c r="AD39" s="2995"/>
      <c r="AE39" s="2995"/>
      <c r="AF39" s="2995"/>
      <c r="AG39" s="2995"/>
      <c r="AH39" s="2995"/>
      <c r="AI39" s="2995"/>
      <c r="AJ39" s="2995"/>
      <c r="AK39" s="2995"/>
      <c r="AL39" s="2995"/>
      <c r="AM39" s="2995"/>
      <c r="AN39" s="2995"/>
      <c r="AO39" s="2995"/>
      <c r="AP39" s="2995"/>
      <c r="AQ39" s="2995"/>
      <c r="AR39" s="2995"/>
      <c r="AS39" s="2995"/>
      <c r="AT39" s="2995"/>
      <c r="AU39" s="2995"/>
      <c r="AV39" s="2995"/>
      <c r="AW39" s="2995"/>
      <c r="AX39" s="2995"/>
      <c r="AY39" s="2995"/>
      <c r="AZ39" s="2995"/>
    </row>
    <row r="40" spans="1:83" ht="15" thickBot="1">
      <c r="A40" s="3185" t="s">
        <v>3229</v>
      </c>
      <c r="B40" s="2286">
        <f ca="1">IF(A40="利息：取LPR",存贷款利率!E2,存贷款利率!E2+C40)</f>
        <v>4.2000000000000003E-2</v>
      </c>
      <c r="C40" s="3186">
        <v>5.0000000000000001E-3</v>
      </c>
      <c r="D40" s="2999"/>
      <c r="E40" s="2998"/>
      <c r="F40" s="2998"/>
      <c r="G40" s="2998"/>
      <c r="H40" s="2998"/>
      <c r="I40" s="2998"/>
      <c r="J40" s="2998"/>
      <c r="K40" s="2997"/>
      <c r="L40" s="2997"/>
      <c r="M40" s="2995"/>
      <c r="N40" s="2995"/>
      <c r="O40" s="2995"/>
      <c r="P40" s="2995"/>
      <c r="Q40" s="2995"/>
      <c r="R40" s="2995"/>
      <c r="S40" s="2995"/>
      <c r="T40" s="2995"/>
      <c r="U40" s="2995"/>
      <c r="V40" s="2995"/>
      <c r="W40" s="2995"/>
      <c r="X40" s="2995"/>
      <c r="Y40" s="2995"/>
      <c r="Z40" s="2995"/>
      <c r="AA40" s="2995"/>
      <c r="AB40" s="2995"/>
      <c r="AC40" s="2995"/>
      <c r="AD40" s="2995"/>
      <c r="AE40" s="2995"/>
      <c r="AF40" s="2995"/>
      <c r="AG40" s="2995"/>
      <c r="AH40" s="2995"/>
      <c r="AI40" s="2995"/>
      <c r="AJ40" s="2995"/>
      <c r="AK40" s="2995"/>
      <c r="AL40" s="2995"/>
      <c r="AM40" s="2995"/>
      <c r="AN40" s="2995"/>
      <c r="AO40" s="2995"/>
      <c r="AP40" s="2995"/>
      <c r="AQ40" s="2995"/>
      <c r="AR40" s="2995"/>
      <c r="AS40" s="2995"/>
      <c r="AT40" s="2995"/>
      <c r="AU40" s="2995"/>
      <c r="AV40" s="2995"/>
      <c r="AW40" s="2995"/>
      <c r="AX40" s="2995"/>
      <c r="AY40" s="2995"/>
      <c r="AZ40" s="2995"/>
    </row>
    <row r="41" spans="1:83" ht="14.25">
      <c r="A41" s="223" t="s">
        <v>282</v>
      </c>
      <c r="B41" s="235">
        <f>B42+B43</f>
        <v>5.5000000000000007E-2</v>
      </c>
      <c r="C41" s="3001"/>
      <c r="D41" s="2999"/>
      <c r="E41" s="2998"/>
      <c r="F41" s="2998"/>
      <c r="G41" s="2998"/>
      <c r="H41" s="2998"/>
      <c r="I41" s="2998"/>
      <c r="J41" s="2998"/>
      <c r="K41" s="2997"/>
      <c r="L41" s="2997"/>
      <c r="M41" s="2995"/>
      <c r="N41" s="2995"/>
      <c r="O41" s="2995"/>
      <c r="P41" s="2995"/>
      <c r="Q41" s="2995"/>
      <c r="R41" s="2995"/>
      <c r="S41" s="2995"/>
      <c r="T41" s="2995"/>
      <c r="U41" s="2995"/>
      <c r="V41" s="2995"/>
      <c r="W41" s="2995"/>
      <c r="X41" s="2995"/>
      <c r="Y41" s="2995"/>
      <c r="Z41" s="2995"/>
      <c r="AA41" s="2995"/>
      <c r="AB41" s="2995"/>
      <c r="AC41" s="2995"/>
      <c r="AD41" s="2995"/>
      <c r="AE41" s="2995"/>
      <c r="AF41" s="2995"/>
      <c r="AG41" s="2995"/>
      <c r="AH41" s="2995"/>
      <c r="AI41" s="2995"/>
      <c r="AJ41" s="2995"/>
      <c r="AK41" s="2995"/>
      <c r="AL41" s="2995"/>
      <c r="AM41" s="2995"/>
      <c r="AN41" s="2995"/>
      <c r="AO41" s="2995"/>
      <c r="AP41" s="2995"/>
      <c r="AQ41" s="2995"/>
      <c r="AR41" s="2995"/>
      <c r="AS41" s="2995"/>
      <c r="AT41" s="2995"/>
      <c r="AU41" s="2995"/>
      <c r="AV41" s="2995"/>
      <c r="AW41" s="2995"/>
      <c r="AX41" s="2995"/>
      <c r="AY41" s="2995"/>
      <c r="AZ41" s="2995"/>
    </row>
    <row r="42" spans="1:83" ht="14.25">
      <c r="A42" s="948" t="s">
        <v>283</v>
      </c>
      <c r="B42" s="237">
        <v>0.05</v>
      </c>
      <c r="C42" s="3015">
        <f>IF(B2&lt;DATE(2016,5,1),0,B42)</f>
        <v>0.05</v>
      </c>
      <c r="D42" s="2999"/>
      <c r="E42" s="2998"/>
      <c r="F42" s="2998"/>
      <c r="G42" s="2998"/>
      <c r="H42" s="2998"/>
      <c r="I42" s="2998"/>
      <c r="J42" s="2998"/>
      <c r="K42" s="2997"/>
      <c r="L42" s="2997"/>
      <c r="M42" s="2995"/>
      <c r="N42" s="2995"/>
      <c r="O42" s="2995"/>
      <c r="P42" s="2995"/>
      <c r="Q42" s="2995"/>
      <c r="R42" s="2995"/>
      <c r="S42" s="2995"/>
      <c r="T42" s="2995"/>
      <c r="U42" s="2995"/>
      <c r="V42" s="2995"/>
      <c r="W42" s="2995"/>
      <c r="X42" s="2995"/>
      <c r="Y42" s="2995"/>
      <c r="Z42" s="2995"/>
      <c r="AA42" s="2995"/>
      <c r="AB42" s="2995"/>
      <c r="AC42" s="2995"/>
      <c r="AD42" s="2995"/>
      <c r="AE42" s="2995"/>
      <c r="AF42" s="2995"/>
      <c r="AG42" s="2995"/>
      <c r="AH42" s="2995"/>
      <c r="AI42" s="2995"/>
      <c r="AJ42" s="2995"/>
      <c r="AK42" s="2995"/>
      <c r="AL42" s="2995"/>
      <c r="AM42" s="2995"/>
      <c r="AN42" s="2995"/>
      <c r="AO42" s="2995"/>
      <c r="AP42" s="2995"/>
      <c r="AQ42" s="2995"/>
      <c r="AR42" s="2995"/>
      <c r="AS42" s="2995"/>
      <c r="AT42" s="2995"/>
      <c r="AU42" s="2995"/>
      <c r="AV42" s="2995"/>
      <c r="AW42" s="2995"/>
      <c r="AX42" s="2995"/>
      <c r="AY42" s="2995"/>
      <c r="AZ42" s="2995"/>
    </row>
    <row r="43" spans="1:83" ht="14.25">
      <c r="A43" s="948" t="s">
        <v>284</v>
      </c>
      <c r="B43" s="238">
        <f>B42*(B44+B45+B46)+B47</f>
        <v>5.000000000000001E-3</v>
      </c>
      <c r="C43" s="3001"/>
      <c r="D43" s="2999"/>
      <c r="E43" s="2998"/>
      <c r="F43" s="2998"/>
      <c r="G43" s="2998"/>
      <c r="H43" s="2998"/>
      <c r="I43" s="2998"/>
      <c r="J43" s="2998"/>
      <c r="K43" s="2997"/>
      <c r="L43" s="2997"/>
      <c r="M43" s="2995"/>
      <c r="N43" s="2995"/>
      <c r="O43" s="2995"/>
      <c r="P43" s="2995"/>
      <c r="Q43" s="2995"/>
      <c r="R43" s="2995"/>
      <c r="S43" s="2995"/>
      <c r="T43" s="2995"/>
      <c r="U43" s="2995"/>
      <c r="V43" s="2995"/>
      <c r="W43" s="2995"/>
      <c r="X43" s="2995"/>
      <c r="Y43" s="2995"/>
      <c r="Z43" s="2995"/>
      <c r="AA43" s="2995"/>
      <c r="AB43" s="2995"/>
      <c r="AC43" s="2995"/>
      <c r="AD43" s="2995"/>
      <c r="AE43" s="2995"/>
      <c r="AF43" s="2995"/>
      <c r="AG43" s="2995"/>
      <c r="AH43" s="2995"/>
      <c r="AI43" s="2995"/>
      <c r="AJ43" s="2995"/>
      <c r="AK43" s="2995"/>
      <c r="AL43" s="2995"/>
      <c r="AM43" s="2995"/>
      <c r="AN43" s="2995"/>
      <c r="AO43" s="2995"/>
      <c r="AP43" s="2995"/>
      <c r="AQ43" s="2995"/>
      <c r="AR43" s="2995"/>
      <c r="AS43" s="2995"/>
      <c r="AT43" s="2995"/>
      <c r="AU43" s="2995"/>
      <c r="AV43" s="2995"/>
      <c r="AW43" s="2995"/>
      <c r="AX43" s="2995"/>
      <c r="AY43" s="2995"/>
      <c r="AZ43" s="2995"/>
    </row>
    <row r="44" spans="1:83" ht="14.25">
      <c r="A44" s="236" t="s">
        <v>285</v>
      </c>
      <c r="B44" s="239">
        <v>0.05</v>
      </c>
      <c r="C44" s="3013" t="s">
        <v>2710</v>
      </c>
      <c r="D44" s="2999"/>
      <c r="E44" s="2998"/>
      <c r="F44" s="2998"/>
      <c r="G44" s="2998"/>
      <c r="H44" s="2998"/>
      <c r="I44" s="2998"/>
      <c r="J44" s="2998"/>
      <c r="K44" s="2997"/>
      <c r="L44" s="2997"/>
      <c r="M44" s="2995"/>
      <c r="N44" s="2995"/>
      <c r="O44" s="2995"/>
      <c r="P44" s="2995"/>
      <c r="Q44" s="2995"/>
      <c r="R44" s="2995"/>
      <c r="S44" s="2995"/>
      <c r="T44" s="2995"/>
      <c r="U44" s="2995"/>
      <c r="V44" s="2995"/>
      <c r="W44" s="2995"/>
      <c r="X44" s="2995"/>
      <c r="Y44" s="2995"/>
      <c r="Z44" s="2995"/>
      <c r="AA44" s="2995"/>
      <c r="AB44" s="2995"/>
      <c r="AC44" s="2995"/>
      <c r="AD44" s="2995"/>
      <c r="AE44" s="2995"/>
      <c r="AF44" s="2995"/>
      <c r="AG44" s="2995"/>
      <c r="AH44" s="2995"/>
      <c r="AI44" s="2995"/>
      <c r="AJ44" s="2995"/>
      <c r="AK44" s="2995"/>
      <c r="AL44" s="2995"/>
      <c r="AM44" s="2995"/>
      <c r="AN44" s="2995"/>
      <c r="AO44" s="2995"/>
      <c r="AP44" s="2995"/>
      <c r="AQ44" s="2995"/>
      <c r="AR44" s="2995"/>
      <c r="AS44" s="2995"/>
      <c r="AT44" s="2995"/>
      <c r="AU44" s="2995"/>
      <c r="AV44" s="2995"/>
      <c r="AW44" s="2995"/>
      <c r="AX44" s="2995"/>
      <c r="AY44" s="2995"/>
      <c r="AZ44" s="2995"/>
    </row>
    <row r="45" spans="1:83" ht="14.25">
      <c r="A45" s="236" t="s">
        <v>286</v>
      </c>
      <c r="B45" s="237">
        <v>0.03</v>
      </c>
      <c r="C45" s="3016" t="s">
        <v>2706</v>
      </c>
      <c r="D45" s="2999"/>
      <c r="E45" s="2998"/>
      <c r="F45" s="2998"/>
      <c r="G45" s="2998"/>
      <c r="H45" s="2998"/>
      <c r="I45" s="2998"/>
      <c r="J45" s="2998"/>
      <c r="K45" s="2997"/>
      <c r="L45" s="2997"/>
      <c r="M45" s="2995"/>
      <c r="N45" s="2995"/>
      <c r="O45" s="2995"/>
      <c r="P45" s="2995"/>
      <c r="Q45" s="2995"/>
      <c r="R45" s="2995"/>
      <c r="S45" s="2995"/>
      <c r="T45" s="2995"/>
      <c r="U45" s="2995"/>
      <c r="V45" s="2995"/>
      <c r="W45" s="2995"/>
      <c r="X45" s="2995"/>
      <c r="Y45" s="2995"/>
      <c r="Z45" s="2995"/>
      <c r="AA45" s="2995"/>
      <c r="AB45" s="2995"/>
      <c r="AC45" s="2995"/>
      <c r="AD45" s="2995"/>
      <c r="AE45" s="2995"/>
      <c r="AF45" s="2995"/>
      <c r="AG45" s="2995"/>
      <c r="AH45" s="2995"/>
      <c r="AI45" s="2995"/>
      <c r="AJ45" s="2995"/>
      <c r="AK45" s="2995"/>
      <c r="AL45" s="2995"/>
      <c r="AM45" s="2995"/>
      <c r="AN45" s="2995"/>
      <c r="AO45" s="2995"/>
      <c r="AP45" s="2995"/>
      <c r="AQ45" s="2995"/>
      <c r="AR45" s="2995"/>
      <c r="AS45" s="2995"/>
      <c r="AT45" s="2995"/>
      <c r="AU45" s="2995"/>
      <c r="AV45" s="2995"/>
      <c r="AW45" s="2995"/>
      <c r="AX45" s="2995"/>
      <c r="AY45" s="2995"/>
      <c r="AZ45" s="2995"/>
    </row>
    <row r="46" spans="1:83" ht="14.25">
      <c r="A46" s="236" t="s">
        <v>287</v>
      </c>
      <c r="B46" s="237">
        <v>0.02</v>
      </c>
      <c r="C46" s="3016" t="s">
        <v>2707</v>
      </c>
      <c r="D46" s="2999"/>
      <c r="E46" s="2998"/>
      <c r="F46" s="2998"/>
      <c r="G46" s="2998"/>
      <c r="H46" s="2998"/>
      <c r="I46" s="2998"/>
      <c r="J46" s="2998"/>
      <c r="K46" s="2997"/>
      <c r="L46" s="2997"/>
      <c r="M46" s="2995"/>
      <c r="N46" s="2995"/>
      <c r="O46" s="2995"/>
      <c r="P46" s="2995"/>
      <c r="Q46" s="2995"/>
      <c r="R46" s="2995"/>
      <c r="S46" s="2995"/>
      <c r="T46" s="2995"/>
      <c r="U46" s="2995"/>
      <c r="V46" s="2995"/>
      <c r="W46" s="2995"/>
      <c r="X46" s="2995"/>
      <c r="Y46" s="2995"/>
      <c r="Z46" s="2995"/>
      <c r="AA46" s="2995"/>
      <c r="AB46" s="2995"/>
      <c r="AC46" s="2995"/>
      <c r="AD46" s="2995"/>
      <c r="AE46" s="2995"/>
      <c r="AF46" s="2995"/>
      <c r="AG46" s="2995"/>
      <c r="AH46" s="2995"/>
      <c r="AI46" s="2995"/>
      <c r="AJ46" s="2995"/>
      <c r="AK46" s="2995"/>
      <c r="AL46" s="2995"/>
      <c r="AM46" s="2995"/>
      <c r="AN46" s="2995"/>
      <c r="AO46" s="2995"/>
      <c r="AP46" s="2995"/>
      <c r="AQ46" s="2995"/>
      <c r="AR46" s="2995"/>
      <c r="AS46" s="2995"/>
      <c r="AT46" s="2995"/>
      <c r="AU46" s="2995"/>
      <c r="AV46" s="2995"/>
      <c r="AW46" s="2995"/>
      <c r="AX46" s="2995"/>
      <c r="AY46" s="2995"/>
      <c r="AZ46" s="2995"/>
    </row>
    <row r="47" spans="1:83" ht="15" thickBot="1">
      <c r="A47" s="240" t="s">
        <v>288</v>
      </c>
      <c r="B47" s="241"/>
      <c r="C47" s="3011" t="s">
        <v>2714</v>
      </c>
      <c r="D47" s="2999"/>
      <c r="E47" s="2998"/>
      <c r="F47" s="2998"/>
      <c r="G47" s="2998"/>
      <c r="H47" s="2998"/>
      <c r="I47" s="2998"/>
      <c r="J47" s="2998"/>
      <c r="K47" s="2997"/>
      <c r="L47" s="2997"/>
      <c r="M47" s="2995"/>
      <c r="N47" s="2995"/>
      <c r="O47" s="2995"/>
      <c r="P47" s="2995"/>
      <c r="Q47" s="2995"/>
      <c r="R47" s="2995"/>
      <c r="S47" s="2995"/>
      <c r="T47" s="2995"/>
      <c r="U47" s="2995"/>
      <c r="V47" s="2995"/>
      <c r="W47" s="2995"/>
      <c r="X47" s="2995"/>
      <c r="Y47" s="2995"/>
      <c r="Z47" s="2995"/>
      <c r="AA47" s="2995"/>
      <c r="AB47" s="2995"/>
      <c r="AC47" s="2995"/>
      <c r="AD47" s="2995"/>
      <c r="AE47" s="2995"/>
      <c r="AF47" s="2995"/>
      <c r="AG47" s="2995"/>
      <c r="AH47" s="2995"/>
      <c r="AI47" s="2995"/>
      <c r="AJ47" s="2995"/>
      <c r="AK47" s="2995"/>
      <c r="AL47" s="2995"/>
      <c r="AM47" s="2995"/>
      <c r="AN47" s="2995"/>
      <c r="AO47" s="2995"/>
      <c r="AP47" s="2995"/>
      <c r="AQ47" s="2995"/>
      <c r="AR47" s="2995"/>
      <c r="AS47" s="2995"/>
      <c r="AT47" s="2995"/>
      <c r="AU47" s="2995"/>
      <c r="AV47" s="2995"/>
      <c r="AW47" s="2995"/>
      <c r="AX47" s="2995"/>
      <c r="AY47" s="2995"/>
      <c r="AZ47" s="2995"/>
    </row>
    <row r="48" spans="1:83" ht="14.25">
      <c r="A48" s="242" t="s">
        <v>289</v>
      </c>
      <c r="B48" s="243">
        <v>0.03</v>
      </c>
      <c r="C48" s="3016" t="s">
        <v>2706</v>
      </c>
      <c r="D48" s="2999"/>
      <c r="E48" s="2998"/>
      <c r="F48" s="2998"/>
      <c r="G48" s="2998"/>
      <c r="H48" s="2998"/>
      <c r="I48" s="2998"/>
      <c r="J48" s="2998"/>
      <c r="K48" s="2997"/>
      <c r="L48" s="2997"/>
      <c r="M48" s="2995"/>
      <c r="N48" s="2995"/>
      <c r="O48" s="2995"/>
      <c r="P48" s="2995"/>
      <c r="Q48" s="2995"/>
      <c r="R48" s="2995"/>
      <c r="S48" s="2995"/>
      <c r="T48" s="2995"/>
      <c r="U48" s="2995"/>
      <c r="V48" s="2995"/>
      <c r="W48" s="2995"/>
      <c r="X48" s="2995"/>
      <c r="Y48" s="2995"/>
      <c r="Z48" s="2995"/>
      <c r="AA48" s="2995"/>
      <c r="AB48" s="2995"/>
      <c r="AC48" s="2995"/>
      <c r="AD48" s="2995"/>
      <c r="AE48" s="2995"/>
      <c r="AF48" s="2995"/>
      <c r="AG48" s="2995"/>
      <c r="AH48" s="2995"/>
      <c r="AI48" s="2995"/>
      <c r="AJ48" s="2995"/>
      <c r="AK48" s="2995"/>
      <c r="AL48" s="2995"/>
      <c r="AM48" s="2995"/>
      <c r="AN48" s="2995"/>
      <c r="AO48" s="2995"/>
      <c r="AP48" s="2995"/>
      <c r="AQ48" s="2995"/>
      <c r="AR48" s="2995"/>
      <c r="AS48" s="2995"/>
      <c r="AT48" s="2995"/>
      <c r="AU48" s="2995"/>
      <c r="AV48" s="2995"/>
      <c r="AW48" s="2995"/>
      <c r="AX48" s="2995"/>
      <c r="AY48" s="2995"/>
      <c r="AZ48" s="2995"/>
    </row>
    <row r="49" spans="1:52" ht="15" thickBot="1">
      <c r="A49" s="234" t="s">
        <v>290</v>
      </c>
      <c r="B49" s="237">
        <v>5.0000000000000001E-4</v>
      </c>
      <c r="C49" s="3016" t="s">
        <v>2708</v>
      </c>
      <c r="D49" s="2999"/>
      <c r="E49" s="2998"/>
      <c r="F49" s="2998"/>
      <c r="G49" s="2998"/>
      <c r="H49" s="2998"/>
      <c r="I49" s="2998"/>
      <c r="J49" s="2998"/>
      <c r="K49" s="2997"/>
      <c r="L49" s="2997"/>
      <c r="M49" s="2995"/>
      <c r="N49" s="2995"/>
      <c r="O49" s="2995"/>
      <c r="P49" s="2995"/>
      <c r="Q49" s="2995"/>
      <c r="R49" s="2995"/>
      <c r="S49" s="2995"/>
      <c r="T49" s="2995"/>
      <c r="U49" s="2995"/>
      <c r="V49" s="2995"/>
      <c r="W49" s="2995"/>
      <c r="X49" s="2995"/>
      <c r="Y49" s="2995"/>
      <c r="Z49" s="2995"/>
      <c r="AA49" s="2995"/>
      <c r="AB49" s="2995"/>
      <c r="AC49" s="2995"/>
      <c r="AD49" s="2995"/>
      <c r="AE49" s="2995"/>
      <c r="AF49" s="2995"/>
      <c r="AG49" s="2995"/>
      <c r="AH49" s="2995"/>
      <c r="AI49" s="2995"/>
      <c r="AJ49" s="2995"/>
      <c r="AK49" s="2995"/>
      <c r="AL49" s="2995"/>
      <c r="AM49" s="2995"/>
      <c r="AN49" s="2995"/>
      <c r="AO49" s="2995"/>
      <c r="AP49" s="2995"/>
      <c r="AQ49" s="2995"/>
      <c r="AR49" s="2995"/>
      <c r="AS49" s="2995"/>
      <c r="AT49" s="2995"/>
      <c r="AU49" s="2995"/>
      <c r="AV49" s="2995"/>
      <c r="AW49" s="2995"/>
      <c r="AX49" s="2995"/>
      <c r="AY49" s="2995"/>
      <c r="AZ49" s="2995"/>
    </row>
    <row r="50" spans="1:52" ht="14.25">
      <c r="A50" s="244" t="s">
        <v>291</v>
      </c>
      <c r="B50" s="245">
        <v>1.2E-2</v>
      </c>
      <c r="C50" s="3004"/>
      <c r="D50" s="2999"/>
      <c r="E50" s="2998"/>
      <c r="F50" s="2998"/>
      <c r="G50" s="2998"/>
      <c r="H50" s="2998"/>
      <c r="I50" s="2998"/>
      <c r="J50" s="2998"/>
      <c r="K50" s="2997"/>
      <c r="L50" s="2997"/>
      <c r="M50" s="2995"/>
      <c r="N50" s="2995"/>
      <c r="O50" s="2995"/>
      <c r="P50" s="2995"/>
      <c r="Q50" s="2995"/>
      <c r="R50" s="2995"/>
      <c r="S50" s="2995"/>
      <c r="T50" s="2995"/>
      <c r="U50" s="2995"/>
      <c r="V50" s="2995"/>
      <c r="W50" s="2995"/>
      <c r="X50" s="2995"/>
      <c r="Y50" s="2995"/>
      <c r="Z50" s="2995"/>
      <c r="AA50" s="2995"/>
      <c r="AB50" s="2995"/>
      <c r="AC50" s="2995"/>
      <c r="AD50" s="2995"/>
      <c r="AE50" s="2995"/>
      <c r="AF50" s="2995"/>
      <c r="AG50" s="2995"/>
      <c r="AH50" s="2995"/>
      <c r="AI50" s="2995"/>
      <c r="AJ50" s="2995"/>
      <c r="AK50" s="2995"/>
      <c r="AL50" s="2995"/>
      <c r="AM50" s="2995"/>
      <c r="AN50" s="2995"/>
      <c r="AO50" s="2995"/>
      <c r="AP50" s="2995"/>
      <c r="AQ50" s="2995"/>
      <c r="AR50" s="2995"/>
      <c r="AS50" s="2995"/>
      <c r="AT50" s="2995"/>
      <c r="AU50" s="2995"/>
      <c r="AV50" s="2995"/>
      <c r="AW50" s="2995"/>
      <c r="AX50" s="2995"/>
      <c r="AY50" s="2995"/>
      <c r="AZ50" s="2995"/>
    </row>
    <row r="51" spans="1:52" ht="15" thickBot="1">
      <c r="A51" s="228" t="s">
        <v>292</v>
      </c>
      <c r="B51" s="246">
        <v>0.12</v>
      </c>
      <c r="C51" s="3004"/>
      <c r="D51" s="2999"/>
      <c r="E51" s="2998"/>
      <c r="F51" s="2998"/>
      <c r="G51" s="2998"/>
      <c r="H51" s="2998"/>
      <c r="I51" s="2998"/>
      <c r="J51" s="2998"/>
      <c r="K51" s="2997"/>
      <c r="L51" s="2997"/>
      <c r="M51" s="2995"/>
      <c r="N51" s="2995"/>
      <c r="O51" s="2995"/>
      <c r="P51" s="2995"/>
      <c r="Q51" s="2995"/>
      <c r="R51" s="2995"/>
      <c r="S51" s="2995"/>
      <c r="T51" s="2995"/>
      <c r="U51" s="2995"/>
      <c r="V51" s="2995"/>
      <c r="W51" s="2995"/>
      <c r="X51" s="2995"/>
      <c r="Y51" s="2995"/>
      <c r="Z51" s="2995"/>
      <c r="AA51" s="2995"/>
      <c r="AB51" s="2995"/>
      <c r="AC51" s="2995"/>
      <c r="AD51" s="2995"/>
      <c r="AE51" s="2995"/>
      <c r="AF51" s="2995"/>
      <c r="AG51" s="2995"/>
      <c r="AH51" s="2995"/>
      <c r="AI51" s="2995"/>
      <c r="AJ51" s="2995"/>
      <c r="AK51" s="2995"/>
      <c r="AL51" s="2995"/>
      <c r="AM51" s="2995"/>
      <c r="AN51" s="2995"/>
      <c r="AO51" s="2995"/>
      <c r="AP51" s="2995"/>
      <c r="AQ51" s="2995"/>
      <c r="AR51" s="2995"/>
      <c r="AS51" s="2995"/>
      <c r="AT51" s="2995"/>
      <c r="AU51" s="2995"/>
      <c r="AV51" s="2995"/>
      <c r="AW51" s="2995"/>
      <c r="AX51" s="2995"/>
      <c r="AY51" s="2995"/>
      <c r="AZ51" s="2995"/>
    </row>
    <row r="52" spans="1:52" ht="14.25">
      <c r="A52" s="244" t="s">
        <v>293</v>
      </c>
      <c r="B52" s="247">
        <f>SUMIF(A54:A63,B53,B54:B63)</f>
        <v>2</v>
      </c>
      <c r="C52" s="3004"/>
      <c r="D52" s="2999"/>
      <c r="E52" s="2998"/>
      <c r="F52" s="2998"/>
      <c r="G52" s="2998"/>
      <c r="H52" s="2998"/>
      <c r="I52" s="2998"/>
      <c r="J52" s="2998"/>
      <c r="K52" s="2997"/>
      <c r="L52" s="2997"/>
      <c r="M52" s="2995"/>
      <c r="N52" s="2995"/>
      <c r="O52" s="2995"/>
      <c r="P52" s="2995"/>
      <c r="Q52" s="2995"/>
      <c r="R52" s="2995"/>
      <c r="S52" s="2995"/>
      <c r="T52" s="2995"/>
      <c r="U52" s="2995"/>
      <c r="V52" s="2995"/>
      <c r="W52" s="2995"/>
      <c r="X52" s="2995"/>
      <c r="Y52" s="2995"/>
      <c r="Z52" s="2995"/>
      <c r="AA52" s="2995"/>
      <c r="AB52" s="2995"/>
      <c r="AC52" s="2995"/>
      <c r="AD52" s="2995"/>
      <c r="AE52" s="2995"/>
      <c r="AF52" s="2995"/>
      <c r="AG52" s="2995"/>
      <c r="AH52" s="2995"/>
      <c r="AI52" s="2995"/>
      <c r="AJ52" s="2995"/>
      <c r="AK52" s="2995"/>
      <c r="AL52" s="2995"/>
      <c r="AM52" s="2995"/>
      <c r="AN52" s="2995"/>
      <c r="AO52" s="2995"/>
      <c r="AP52" s="2995"/>
      <c r="AQ52" s="2995"/>
      <c r="AR52" s="2995"/>
      <c r="AS52" s="2995"/>
      <c r="AT52" s="2995"/>
      <c r="AU52" s="2995"/>
      <c r="AV52" s="2995"/>
      <c r="AW52" s="2995"/>
      <c r="AX52" s="2995"/>
      <c r="AY52" s="2995"/>
      <c r="AZ52" s="2995"/>
    </row>
    <row r="53" spans="1:52" ht="27">
      <c r="A53" s="225" t="s">
        <v>294</v>
      </c>
      <c r="B53" s="248" t="s">
        <v>1388</v>
      </c>
      <c r="C53" s="3006" t="s">
        <v>3228</v>
      </c>
      <c r="D53" s="3017" t="s">
        <v>2711</v>
      </c>
      <c r="E53" s="2998"/>
      <c r="F53" s="2998"/>
      <c r="G53" s="2998"/>
      <c r="H53" s="2998"/>
      <c r="I53" s="2998"/>
      <c r="J53" s="2998"/>
      <c r="K53" s="2997"/>
      <c r="L53" s="2997"/>
      <c r="M53" s="2995"/>
      <c r="N53" s="2995"/>
      <c r="O53" s="2995"/>
      <c r="P53" s="2995"/>
      <c r="Q53" s="2995"/>
      <c r="R53" s="2995"/>
      <c r="S53" s="2995"/>
      <c r="T53" s="2995"/>
      <c r="U53" s="2995"/>
      <c r="V53" s="2995"/>
      <c r="W53" s="2995"/>
      <c r="X53" s="2995"/>
      <c r="Y53" s="2995"/>
      <c r="Z53" s="2995"/>
      <c r="AA53" s="2995"/>
      <c r="AB53" s="2995"/>
      <c r="AC53" s="2995"/>
      <c r="AD53" s="2995"/>
      <c r="AE53" s="2995"/>
      <c r="AF53" s="2995"/>
      <c r="AG53" s="2995"/>
      <c r="AH53" s="2995"/>
      <c r="AI53" s="2995"/>
      <c r="AJ53" s="2995"/>
      <c r="AK53" s="2995"/>
      <c r="AL53" s="2995"/>
      <c r="AM53" s="2995"/>
      <c r="AN53" s="2995"/>
      <c r="AO53" s="2995"/>
      <c r="AP53" s="2995"/>
      <c r="AQ53" s="2995"/>
      <c r="AR53" s="2995"/>
      <c r="AS53" s="2995"/>
      <c r="AT53" s="2995"/>
      <c r="AU53" s="2995"/>
      <c r="AV53" s="2995"/>
      <c r="AW53" s="2995"/>
      <c r="AX53" s="2995"/>
      <c r="AY53" s="2995"/>
      <c r="AZ53" s="2995"/>
    </row>
    <row r="54" spans="1:52" ht="14.25">
      <c r="A54" s="2690" t="s">
        <v>2606</v>
      </c>
      <c r="B54" s="3003">
        <v>18</v>
      </c>
      <c r="C54" s="3003">
        <v>18</v>
      </c>
      <c r="D54" s="3007"/>
      <c r="E54" s="2998"/>
      <c r="F54" s="2998"/>
      <c r="G54" s="2998"/>
      <c r="H54" s="2998"/>
      <c r="I54" s="2998"/>
      <c r="J54" s="2998"/>
      <c r="K54" s="2997"/>
      <c r="L54" s="2997"/>
      <c r="M54" s="2995"/>
      <c r="N54" s="2995"/>
      <c r="O54" s="2995"/>
      <c r="P54" s="2995"/>
      <c r="Q54" s="2995"/>
      <c r="R54" s="2995"/>
      <c r="S54" s="2995"/>
      <c r="T54" s="2995"/>
      <c r="U54" s="2995"/>
      <c r="V54" s="2995"/>
      <c r="W54" s="2995"/>
      <c r="X54" s="2995"/>
      <c r="Y54" s="2995"/>
      <c r="Z54" s="2995"/>
      <c r="AA54" s="2995"/>
      <c r="AB54" s="2995"/>
      <c r="AC54" s="2995"/>
      <c r="AD54" s="2995"/>
      <c r="AE54" s="2995"/>
      <c r="AF54" s="2995"/>
      <c r="AG54" s="2995"/>
      <c r="AH54" s="2995"/>
      <c r="AI54" s="2995"/>
      <c r="AJ54" s="2995"/>
      <c r="AK54" s="2995"/>
      <c r="AL54" s="2995"/>
      <c r="AM54" s="2995"/>
      <c r="AN54" s="2995"/>
      <c r="AO54" s="2995"/>
      <c r="AP54" s="2995"/>
      <c r="AQ54" s="2995"/>
      <c r="AR54" s="2995"/>
      <c r="AS54" s="2995"/>
      <c r="AT54" s="2995"/>
      <c r="AU54" s="2995"/>
      <c r="AV54" s="2995"/>
      <c r="AW54" s="2995"/>
      <c r="AX54" s="2995"/>
      <c r="AY54" s="2995"/>
      <c r="AZ54" s="2995"/>
    </row>
    <row r="55" spans="1:52" ht="14.25">
      <c r="A55" s="2690" t="s">
        <v>2607</v>
      </c>
      <c r="B55" s="3003">
        <v>15</v>
      </c>
      <c r="C55" s="3003">
        <v>15</v>
      </c>
      <c r="D55" s="3007"/>
      <c r="E55" s="2998"/>
      <c r="F55" s="2998"/>
      <c r="G55" s="2998"/>
      <c r="H55" s="2998"/>
      <c r="I55" s="3008"/>
      <c r="J55" s="2998"/>
      <c r="K55" s="2997"/>
      <c r="L55" s="2997"/>
      <c r="M55" s="2995"/>
      <c r="N55" s="2995"/>
      <c r="O55" s="2995"/>
      <c r="P55" s="2995"/>
      <c r="Q55" s="2995"/>
      <c r="R55" s="2995"/>
      <c r="S55" s="2995"/>
      <c r="T55" s="2995"/>
      <c r="U55" s="2995"/>
      <c r="V55" s="2995"/>
      <c r="W55" s="2995"/>
      <c r="X55" s="2995"/>
      <c r="Y55" s="2995"/>
      <c r="Z55" s="2995"/>
      <c r="AA55" s="2995"/>
      <c r="AB55" s="2995"/>
      <c r="AC55" s="2995"/>
      <c r="AD55" s="2995"/>
      <c r="AE55" s="2995"/>
      <c r="AF55" s="2995"/>
      <c r="AG55" s="2995"/>
      <c r="AH55" s="2995"/>
      <c r="AI55" s="2995"/>
      <c r="AJ55" s="2995"/>
      <c r="AK55" s="2995"/>
      <c r="AL55" s="2995"/>
      <c r="AM55" s="2995"/>
      <c r="AN55" s="2995"/>
      <c r="AO55" s="2995"/>
      <c r="AP55" s="2995"/>
      <c r="AQ55" s="2995"/>
      <c r="AR55" s="2995"/>
      <c r="AS55" s="2995"/>
      <c r="AT55" s="2995"/>
      <c r="AU55" s="2995"/>
      <c r="AV55" s="2995"/>
      <c r="AW55" s="2995"/>
      <c r="AX55" s="2995"/>
      <c r="AY55" s="2995"/>
      <c r="AZ55" s="2995"/>
    </row>
    <row r="56" spans="1:52" ht="14.25">
      <c r="A56" s="2690" t="s">
        <v>2608</v>
      </c>
      <c r="B56" s="3003">
        <v>12</v>
      </c>
      <c r="C56" s="3003">
        <v>12</v>
      </c>
      <c r="D56" s="3007"/>
      <c r="E56" s="2998"/>
      <c r="F56" s="2998"/>
      <c r="G56" s="2998"/>
      <c r="H56" s="2998"/>
      <c r="I56" s="2998"/>
      <c r="J56" s="2998"/>
      <c r="K56" s="2997"/>
      <c r="L56" s="2997"/>
      <c r="M56" s="2995"/>
      <c r="N56" s="2995"/>
      <c r="O56" s="2995"/>
      <c r="P56" s="2995"/>
      <c r="Q56" s="2995"/>
      <c r="R56" s="2995"/>
      <c r="S56" s="2995"/>
      <c r="T56" s="2995"/>
      <c r="U56" s="2995"/>
      <c r="V56" s="2995"/>
      <c r="W56" s="2995"/>
      <c r="X56" s="2995"/>
      <c r="Y56" s="2995"/>
      <c r="Z56" s="2995"/>
      <c r="AA56" s="2995"/>
      <c r="AB56" s="2995"/>
      <c r="AC56" s="2995"/>
      <c r="AD56" s="2995"/>
      <c r="AE56" s="2995"/>
      <c r="AF56" s="2995"/>
      <c r="AG56" s="2995"/>
      <c r="AH56" s="2995"/>
      <c r="AI56" s="2995"/>
      <c r="AJ56" s="2995"/>
      <c r="AK56" s="2995"/>
      <c r="AL56" s="2995"/>
      <c r="AM56" s="2995"/>
      <c r="AN56" s="2995"/>
      <c r="AO56" s="2995"/>
      <c r="AP56" s="2995"/>
      <c r="AQ56" s="2995"/>
      <c r="AR56" s="2995"/>
      <c r="AS56" s="2995"/>
      <c r="AT56" s="2995"/>
      <c r="AU56" s="2995"/>
      <c r="AV56" s="2995"/>
      <c r="AW56" s="2995"/>
      <c r="AX56" s="2995"/>
      <c r="AY56" s="2995"/>
      <c r="AZ56" s="2995"/>
    </row>
    <row r="57" spans="1:52" ht="14.25">
      <c r="A57" s="2690" t="s">
        <v>2609</v>
      </c>
      <c r="B57" s="3003">
        <v>9</v>
      </c>
      <c r="C57" s="3003">
        <v>9</v>
      </c>
      <c r="D57" s="3007"/>
      <c r="E57" s="2998"/>
      <c r="F57" s="2998"/>
      <c r="G57" s="2998"/>
      <c r="H57" s="2998"/>
      <c r="I57" s="2998"/>
      <c r="J57" s="2998"/>
      <c r="K57" s="2997"/>
      <c r="L57" s="2997"/>
      <c r="M57" s="2995"/>
      <c r="N57" s="2995"/>
      <c r="O57" s="2995"/>
      <c r="P57" s="2995"/>
      <c r="Q57" s="2995"/>
      <c r="R57" s="2995"/>
      <c r="S57" s="2995"/>
      <c r="T57" s="2995"/>
      <c r="U57" s="2995"/>
      <c r="V57" s="2995"/>
      <c r="W57" s="2995"/>
      <c r="X57" s="2995"/>
      <c r="Y57" s="2995"/>
      <c r="Z57" s="2995"/>
      <c r="AA57" s="2995"/>
      <c r="AB57" s="2995"/>
      <c r="AC57" s="2995"/>
      <c r="AD57" s="2995"/>
      <c r="AE57" s="2995"/>
      <c r="AF57" s="2995"/>
      <c r="AG57" s="2995"/>
      <c r="AH57" s="2995"/>
      <c r="AI57" s="2995"/>
      <c r="AJ57" s="2995"/>
      <c r="AK57" s="2995"/>
      <c r="AL57" s="2995"/>
      <c r="AM57" s="2995"/>
      <c r="AN57" s="2995"/>
      <c r="AO57" s="2995"/>
      <c r="AP57" s="2995"/>
      <c r="AQ57" s="2995"/>
      <c r="AR57" s="2995"/>
      <c r="AS57" s="2995"/>
      <c r="AT57" s="2995"/>
      <c r="AU57" s="2995"/>
      <c r="AV57" s="2995"/>
      <c r="AW57" s="2995"/>
      <c r="AX57" s="2995"/>
      <c r="AY57" s="2995"/>
      <c r="AZ57" s="2995"/>
    </row>
    <row r="58" spans="1:52" ht="14.25">
      <c r="A58" s="2690" t="s">
        <v>2610</v>
      </c>
      <c r="B58" s="3003">
        <v>6</v>
      </c>
      <c r="C58" s="3003">
        <v>6</v>
      </c>
      <c r="D58" s="3007"/>
      <c r="E58" s="2998"/>
      <c r="F58" s="2998"/>
      <c r="G58" s="2998"/>
      <c r="H58" s="2998"/>
      <c r="I58" s="2998"/>
      <c r="J58" s="2998"/>
      <c r="K58" s="2997"/>
      <c r="L58" s="2997"/>
      <c r="M58" s="2995"/>
      <c r="N58" s="2995"/>
      <c r="O58" s="2995"/>
      <c r="P58" s="2995"/>
      <c r="Q58" s="2995"/>
      <c r="R58" s="2995"/>
      <c r="S58" s="2995"/>
      <c r="T58" s="2995"/>
      <c r="U58" s="2995"/>
      <c r="V58" s="2995"/>
      <c r="W58" s="2995"/>
      <c r="X58" s="2995"/>
      <c r="Y58" s="2995"/>
      <c r="Z58" s="2995"/>
      <c r="AA58" s="2995"/>
      <c r="AB58" s="2995"/>
      <c r="AC58" s="2995"/>
      <c r="AD58" s="2995"/>
      <c r="AE58" s="2995"/>
      <c r="AF58" s="2995"/>
      <c r="AG58" s="2995"/>
      <c r="AH58" s="2995"/>
      <c r="AI58" s="2995"/>
      <c r="AJ58" s="2995"/>
      <c r="AK58" s="2995"/>
      <c r="AL58" s="2995"/>
      <c r="AM58" s="2995"/>
      <c r="AN58" s="2995"/>
      <c r="AO58" s="2995"/>
      <c r="AP58" s="2995"/>
      <c r="AQ58" s="2995"/>
      <c r="AR58" s="2995"/>
      <c r="AS58" s="2995"/>
      <c r="AT58" s="2995"/>
      <c r="AU58" s="2995"/>
      <c r="AV58" s="2995"/>
      <c r="AW58" s="2995"/>
      <c r="AX58" s="2995"/>
      <c r="AY58" s="2995"/>
      <c r="AZ58" s="2995"/>
    </row>
    <row r="59" spans="1:52" ht="14.25">
      <c r="A59" s="2690" t="s">
        <v>2611</v>
      </c>
      <c r="B59" s="3003">
        <v>2</v>
      </c>
      <c r="C59" s="3003">
        <v>2</v>
      </c>
      <c r="D59" s="3007"/>
      <c r="E59" s="2998"/>
      <c r="F59" s="2998"/>
      <c r="G59" s="2998"/>
      <c r="H59" s="2998"/>
      <c r="I59" s="2998"/>
      <c r="J59" s="2998"/>
      <c r="K59" s="2997"/>
      <c r="L59" s="2997"/>
      <c r="M59" s="2995"/>
      <c r="N59" s="2995"/>
      <c r="O59" s="2995"/>
      <c r="P59" s="2995"/>
      <c r="Q59" s="2995"/>
      <c r="R59" s="2995"/>
      <c r="S59" s="2995"/>
      <c r="T59" s="2995"/>
      <c r="U59" s="2995"/>
      <c r="V59" s="2995"/>
      <c r="W59" s="2995"/>
      <c r="X59" s="2995"/>
      <c r="Y59" s="2995"/>
      <c r="Z59" s="2995"/>
      <c r="AA59" s="2995"/>
      <c r="AB59" s="2995"/>
      <c r="AC59" s="2995"/>
      <c r="AD59" s="2995"/>
      <c r="AE59" s="2995"/>
      <c r="AF59" s="2995"/>
      <c r="AG59" s="2995"/>
      <c r="AH59" s="2995"/>
      <c r="AI59" s="2995"/>
      <c r="AJ59" s="2995"/>
      <c r="AK59" s="2995"/>
      <c r="AL59" s="2995"/>
      <c r="AM59" s="2995"/>
      <c r="AN59" s="2995"/>
      <c r="AO59" s="2995"/>
      <c r="AP59" s="2995"/>
      <c r="AQ59" s="2995"/>
      <c r="AR59" s="2995"/>
      <c r="AS59" s="2995"/>
      <c r="AT59" s="2995"/>
      <c r="AU59" s="2995"/>
      <c r="AV59" s="2995"/>
      <c r="AW59" s="2995"/>
      <c r="AX59" s="2995"/>
      <c r="AY59" s="2995"/>
      <c r="AZ59" s="2995"/>
    </row>
    <row r="60" spans="1:52" ht="14.25">
      <c r="A60" s="2690" t="s">
        <v>2612</v>
      </c>
      <c r="B60" s="184"/>
      <c r="C60" s="2998"/>
      <c r="D60" s="2999"/>
      <c r="E60" s="2998"/>
      <c r="F60" s="2998"/>
      <c r="G60" s="2998"/>
      <c r="H60" s="2998"/>
      <c r="I60" s="2998"/>
      <c r="J60" s="2998"/>
      <c r="K60" s="2997"/>
      <c r="L60" s="2997"/>
      <c r="M60" s="2995"/>
      <c r="N60" s="2995"/>
      <c r="O60" s="2995"/>
      <c r="P60" s="2995"/>
      <c r="Q60" s="2995"/>
      <c r="R60" s="2995"/>
      <c r="S60" s="2995"/>
      <c r="T60" s="2995"/>
      <c r="U60" s="2995"/>
      <c r="V60" s="2995"/>
      <c r="W60" s="2995"/>
      <c r="X60" s="2995"/>
      <c r="Y60" s="2995"/>
      <c r="Z60" s="2995"/>
      <c r="AA60" s="2995"/>
      <c r="AB60" s="2995"/>
      <c r="AC60" s="2995"/>
      <c r="AD60" s="2995"/>
      <c r="AE60" s="2995"/>
      <c r="AF60" s="2995"/>
      <c r="AG60" s="2995"/>
      <c r="AH60" s="2995"/>
      <c r="AI60" s="2995"/>
      <c r="AJ60" s="2995"/>
      <c r="AK60" s="2995"/>
      <c r="AL60" s="2995"/>
      <c r="AM60" s="2995"/>
      <c r="AN60" s="2995"/>
      <c r="AO60" s="2995"/>
      <c r="AP60" s="2995"/>
      <c r="AQ60" s="2995"/>
      <c r="AR60" s="2995"/>
      <c r="AS60" s="2995"/>
      <c r="AT60" s="2995"/>
      <c r="AU60" s="2995"/>
      <c r="AV60" s="2995"/>
      <c r="AW60" s="2995"/>
      <c r="AX60" s="2995"/>
      <c r="AY60" s="2995"/>
      <c r="AZ60" s="2995"/>
    </row>
    <row r="61" spans="1:52" ht="14.25">
      <c r="A61" s="2690" t="s">
        <v>2613</v>
      </c>
      <c r="B61" s="184"/>
      <c r="C61" s="2998"/>
      <c r="D61" s="2999"/>
      <c r="E61" s="2998"/>
      <c r="F61" s="2998"/>
      <c r="G61" s="2998"/>
      <c r="H61" s="2998"/>
      <c r="I61" s="2998"/>
      <c r="J61" s="2998"/>
      <c r="K61" s="2997"/>
      <c r="L61" s="2997"/>
      <c r="M61" s="2995"/>
      <c r="N61" s="2995"/>
      <c r="O61" s="2995"/>
      <c r="P61" s="2995"/>
      <c r="Q61" s="2995"/>
      <c r="R61" s="2995"/>
      <c r="S61" s="2995"/>
      <c r="T61" s="2995"/>
      <c r="U61" s="2995"/>
      <c r="V61" s="2995"/>
      <c r="W61" s="2995"/>
      <c r="X61" s="2995"/>
      <c r="Y61" s="2995"/>
      <c r="Z61" s="2995"/>
      <c r="AA61" s="2995"/>
      <c r="AB61" s="2995"/>
      <c r="AC61" s="2995"/>
      <c r="AD61" s="2995"/>
      <c r="AE61" s="2995"/>
      <c r="AF61" s="2995"/>
      <c r="AG61" s="2995"/>
      <c r="AH61" s="2995"/>
      <c r="AI61" s="2995"/>
      <c r="AJ61" s="2995"/>
      <c r="AK61" s="2995"/>
      <c r="AL61" s="2995"/>
      <c r="AM61" s="2995"/>
      <c r="AN61" s="2995"/>
      <c r="AO61" s="2995"/>
      <c r="AP61" s="2995"/>
      <c r="AQ61" s="2995"/>
      <c r="AR61" s="2995"/>
      <c r="AS61" s="2995"/>
      <c r="AT61" s="2995"/>
      <c r="AU61" s="2995"/>
      <c r="AV61" s="2995"/>
      <c r="AW61" s="2995"/>
      <c r="AX61" s="2995"/>
      <c r="AY61" s="2995"/>
      <c r="AZ61" s="2995"/>
    </row>
    <row r="62" spans="1:52" ht="14.25">
      <c r="A62" s="2690" t="s">
        <v>2614</v>
      </c>
      <c r="B62" s="184"/>
      <c r="C62" s="2998"/>
      <c r="D62" s="2999"/>
      <c r="E62" s="2998"/>
      <c r="F62" s="2998"/>
      <c r="G62" s="2998"/>
      <c r="H62" s="2998"/>
      <c r="I62" s="2998"/>
      <c r="J62" s="2998"/>
      <c r="K62" s="2997"/>
      <c r="L62" s="2997"/>
      <c r="M62" s="2995"/>
      <c r="N62" s="2995"/>
      <c r="O62" s="2995"/>
      <c r="P62" s="2995"/>
      <c r="Q62" s="2995"/>
      <c r="R62" s="2995"/>
      <c r="S62" s="2995"/>
      <c r="T62" s="2995"/>
      <c r="U62" s="2995"/>
      <c r="V62" s="2995"/>
      <c r="W62" s="2995"/>
      <c r="X62" s="2995"/>
      <c r="Y62" s="2995"/>
      <c r="Z62" s="2995"/>
      <c r="AA62" s="2995"/>
      <c r="AB62" s="2995"/>
      <c r="AC62" s="2995"/>
      <c r="AD62" s="2995"/>
      <c r="AE62" s="2995"/>
      <c r="AF62" s="2995"/>
      <c r="AG62" s="2995"/>
      <c r="AH62" s="2995"/>
      <c r="AI62" s="2995"/>
      <c r="AJ62" s="2995"/>
      <c r="AK62" s="2995"/>
      <c r="AL62" s="2995"/>
      <c r="AM62" s="2995"/>
      <c r="AN62" s="2995"/>
      <c r="AO62" s="2995"/>
      <c r="AP62" s="2995"/>
      <c r="AQ62" s="2995"/>
      <c r="AR62" s="2995"/>
      <c r="AS62" s="2995"/>
      <c r="AT62" s="2995"/>
      <c r="AU62" s="2995"/>
      <c r="AV62" s="2995"/>
      <c r="AW62" s="2995"/>
      <c r="AX62" s="2995"/>
      <c r="AY62" s="2995"/>
      <c r="AZ62" s="2995"/>
    </row>
    <row r="63" spans="1:52" ht="15" thickBot="1">
      <c r="A63" s="2691" t="s">
        <v>2615</v>
      </c>
      <c r="B63" s="249"/>
      <c r="C63" s="2998"/>
      <c r="D63" s="2999"/>
      <c r="E63" s="2998"/>
      <c r="F63" s="2998"/>
      <c r="G63" s="2998"/>
      <c r="H63" s="2998"/>
      <c r="I63" s="2998"/>
      <c r="J63" s="2998"/>
      <c r="K63" s="2997"/>
      <c r="L63" s="2997"/>
      <c r="M63" s="2995"/>
      <c r="N63" s="2995"/>
      <c r="O63" s="2995"/>
      <c r="P63" s="2995"/>
      <c r="Q63" s="2995"/>
      <c r="R63" s="2995"/>
      <c r="S63" s="2995"/>
      <c r="T63" s="2995"/>
      <c r="U63" s="2995"/>
      <c r="V63" s="2995"/>
      <c r="W63" s="2995"/>
      <c r="X63" s="2995"/>
      <c r="Y63" s="2995"/>
      <c r="Z63" s="2995"/>
      <c r="AA63" s="2995"/>
      <c r="AB63" s="2995"/>
      <c r="AC63" s="2995"/>
      <c r="AD63" s="2995"/>
      <c r="AE63" s="2995"/>
      <c r="AF63" s="2995"/>
      <c r="AG63" s="2995"/>
      <c r="AH63" s="2995"/>
      <c r="AI63" s="2995"/>
      <c r="AJ63" s="2995"/>
      <c r="AK63" s="2995"/>
      <c r="AL63" s="2995"/>
      <c r="AM63" s="2995"/>
      <c r="AN63" s="2995"/>
      <c r="AO63" s="2995"/>
      <c r="AP63" s="2995"/>
      <c r="AQ63" s="2995"/>
      <c r="AR63" s="2995"/>
      <c r="AS63" s="2995"/>
      <c r="AT63" s="2995"/>
      <c r="AU63" s="2995"/>
      <c r="AV63" s="2995"/>
      <c r="AW63" s="2995"/>
      <c r="AX63" s="2995"/>
      <c r="AY63" s="2995"/>
      <c r="AZ63" s="2995"/>
    </row>
    <row r="64" spans="1:52" s="1860" customFormat="1">
      <c r="A64" s="250"/>
      <c r="D64" s="1861"/>
      <c r="K64" s="57"/>
      <c r="L64" s="57"/>
    </row>
    <row r="65" spans="1:12" s="1860" customFormat="1">
      <c r="A65" s="250"/>
      <c r="D65" s="1861"/>
      <c r="K65" s="57"/>
      <c r="L65" s="57"/>
    </row>
    <row r="66" spans="1:12" s="1860" customFormat="1">
      <c r="A66" s="250"/>
      <c r="D66" s="1861"/>
      <c r="K66" s="57"/>
      <c r="L66" s="57"/>
    </row>
    <row r="67" spans="1:12" s="1860" customFormat="1">
      <c r="A67" s="250"/>
      <c r="D67" s="1861"/>
      <c r="K67" s="57"/>
      <c r="L67" s="57"/>
    </row>
    <row r="68" spans="1:12" s="1860" customFormat="1">
      <c r="A68" s="250"/>
      <c r="D68" s="1861"/>
      <c r="K68" s="57"/>
      <c r="L68" s="57"/>
    </row>
    <row r="69" spans="1:12" s="1860" customFormat="1">
      <c r="A69" s="250"/>
      <c r="D69" s="1861"/>
      <c r="K69" s="57"/>
      <c r="L69" s="57"/>
    </row>
    <row r="70" spans="1:12" s="1860" customFormat="1">
      <c r="A70" s="250"/>
      <c r="D70" s="1861"/>
      <c r="K70" s="57"/>
      <c r="L70" s="57"/>
    </row>
    <row r="71" spans="1:12" s="1860" customFormat="1">
      <c r="A71" s="250"/>
      <c r="D71" s="1861"/>
      <c r="K71" s="57"/>
      <c r="L71" s="57"/>
    </row>
    <row r="72" spans="1:12" s="1860" customFormat="1">
      <c r="A72" s="250"/>
      <c r="D72" s="1861"/>
      <c r="K72" s="57"/>
      <c r="L72" s="57"/>
    </row>
    <row r="73" spans="1:12" s="1860" customFormat="1">
      <c r="A73" s="250"/>
      <c r="D73" s="1861"/>
      <c r="K73" s="57"/>
      <c r="L73" s="57"/>
    </row>
    <row r="74" spans="1:12" s="1860" customFormat="1">
      <c r="A74" s="250"/>
      <c r="D74" s="1861"/>
      <c r="K74" s="57"/>
      <c r="L74" s="57"/>
    </row>
    <row r="75" spans="1:12" s="1860" customFormat="1">
      <c r="A75" s="250"/>
      <c r="D75" s="1861"/>
      <c r="K75" s="57"/>
      <c r="L75" s="57"/>
    </row>
    <row r="76" spans="1:12" s="1860" customFormat="1">
      <c r="A76" s="250"/>
      <c r="D76" s="1861"/>
      <c r="K76" s="57"/>
      <c r="L76" s="57"/>
    </row>
    <row r="77" spans="1:12" s="1860" customFormat="1">
      <c r="A77" s="250"/>
      <c r="D77" s="1861"/>
      <c r="K77" s="57"/>
      <c r="L77" s="57"/>
    </row>
    <row r="78" spans="1:12" s="1860" customFormat="1">
      <c r="A78" s="250"/>
      <c r="D78" s="1861"/>
      <c r="K78" s="57"/>
      <c r="L78" s="57"/>
    </row>
    <row r="79" spans="1:12" s="1860" customFormat="1">
      <c r="A79" s="250"/>
      <c r="D79" s="1861"/>
      <c r="K79" s="57"/>
      <c r="L79" s="57"/>
    </row>
    <row r="80" spans="1:12" s="1860" customFormat="1">
      <c r="A80" s="250"/>
      <c r="D80" s="1861"/>
      <c r="K80" s="57"/>
      <c r="L80" s="57"/>
    </row>
    <row r="81" spans="1:12" s="1860" customFormat="1">
      <c r="A81" s="250"/>
      <c r="D81" s="1861"/>
      <c r="K81" s="57"/>
      <c r="L81" s="57"/>
    </row>
    <row r="82" spans="1:12" s="1860" customFormat="1">
      <c r="A82" s="250"/>
      <c r="D82" s="1861"/>
      <c r="K82" s="57"/>
      <c r="L82" s="57"/>
    </row>
    <row r="83" spans="1:12" s="1860" customFormat="1">
      <c r="A83" s="250"/>
      <c r="D83" s="1861"/>
      <c r="K83" s="57"/>
      <c r="L83" s="57"/>
    </row>
    <row r="84" spans="1:12" s="1860" customFormat="1">
      <c r="A84" s="250"/>
      <c r="D84" s="1861"/>
      <c r="K84" s="57"/>
      <c r="L84" s="57"/>
    </row>
    <row r="85" spans="1:12" s="1860" customFormat="1">
      <c r="A85" s="250"/>
      <c r="D85" s="1861"/>
      <c r="K85" s="57"/>
      <c r="L85" s="57"/>
    </row>
    <row r="86" spans="1:12" s="1860" customFormat="1">
      <c r="A86" s="250"/>
      <c r="D86" s="1861"/>
      <c r="K86" s="57"/>
      <c r="L86" s="57"/>
    </row>
    <row r="87" spans="1:12" s="1860" customFormat="1">
      <c r="A87" s="250"/>
      <c r="D87" s="1861"/>
      <c r="K87" s="57"/>
      <c r="L87" s="57"/>
    </row>
    <row r="88" spans="1:12" s="1860" customFormat="1">
      <c r="A88" s="250"/>
      <c r="D88" s="1861"/>
      <c r="K88" s="57"/>
      <c r="L88" s="57"/>
    </row>
    <row r="89" spans="1:12" s="1860" customFormat="1">
      <c r="A89" s="250"/>
      <c r="D89" s="1861"/>
      <c r="K89" s="57"/>
      <c r="L89" s="57"/>
    </row>
    <row r="90" spans="1:12" s="1860" customFormat="1">
      <c r="A90" s="250"/>
      <c r="D90" s="1861"/>
      <c r="K90" s="57"/>
      <c r="L90" s="57"/>
    </row>
    <row r="91" spans="1:12" s="1860" customFormat="1">
      <c r="A91" s="250"/>
      <c r="D91" s="1861"/>
      <c r="K91" s="57"/>
      <c r="L91" s="57"/>
    </row>
    <row r="92" spans="1:12" s="1860" customFormat="1">
      <c r="A92" s="250"/>
      <c r="D92" s="1861"/>
      <c r="K92" s="57"/>
      <c r="L92" s="57"/>
    </row>
    <row r="93" spans="1:12" s="1860" customFormat="1">
      <c r="A93" s="250"/>
      <c r="D93" s="1861"/>
      <c r="K93" s="57"/>
      <c r="L93" s="57"/>
    </row>
    <row r="94" spans="1:12" s="1860" customFormat="1">
      <c r="A94" s="250"/>
      <c r="D94" s="1861"/>
      <c r="K94" s="57"/>
      <c r="L94" s="57"/>
    </row>
    <row r="95" spans="1:12" s="1860" customFormat="1">
      <c r="A95" s="250"/>
      <c r="D95" s="1861"/>
      <c r="K95" s="57"/>
      <c r="L95" s="57"/>
    </row>
    <row r="96" spans="1:12" s="1860" customFormat="1">
      <c r="A96" s="250"/>
      <c r="D96" s="1861"/>
      <c r="K96" s="57"/>
      <c r="L96" s="57"/>
    </row>
    <row r="97" spans="1:12" s="1860" customFormat="1">
      <c r="A97" s="250"/>
      <c r="D97" s="1861"/>
      <c r="K97" s="57"/>
      <c r="L97" s="57"/>
    </row>
    <row r="98" spans="1:12" s="1860" customFormat="1">
      <c r="A98" s="250"/>
      <c r="D98" s="1861"/>
      <c r="K98" s="57"/>
      <c r="L98" s="57"/>
    </row>
    <row r="99" spans="1:12" s="1860" customFormat="1">
      <c r="A99" s="250"/>
      <c r="D99" s="1861"/>
      <c r="K99" s="57"/>
      <c r="L99" s="57"/>
    </row>
    <row r="100" spans="1:12" s="1860" customFormat="1">
      <c r="A100" s="250"/>
      <c r="D100" s="1861"/>
      <c r="K100" s="57"/>
      <c r="L100" s="57"/>
    </row>
    <row r="101" spans="1:12" s="1860" customFormat="1">
      <c r="A101" s="250"/>
      <c r="D101" s="1861"/>
      <c r="K101" s="57"/>
      <c r="L101" s="57"/>
    </row>
    <row r="102" spans="1:12" s="1860" customFormat="1">
      <c r="A102" s="250"/>
      <c r="D102" s="1861"/>
      <c r="K102" s="57"/>
      <c r="L102" s="57"/>
    </row>
    <row r="103" spans="1:12" s="1860" customFormat="1">
      <c r="A103" s="250"/>
      <c r="D103" s="1861"/>
      <c r="K103" s="57"/>
      <c r="L103" s="57"/>
    </row>
    <row r="104" spans="1:12" s="1860" customFormat="1">
      <c r="A104" s="250"/>
      <c r="D104" s="1861"/>
      <c r="K104" s="57"/>
      <c r="L104" s="57"/>
    </row>
    <row r="105" spans="1:12" s="1860" customFormat="1">
      <c r="A105" s="250"/>
      <c r="D105" s="1861"/>
      <c r="K105" s="57"/>
      <c r="L105" s="57"/>
    </row>
    <row r="106" spans="1:12" s="1860" customFormat="1">
      <c r="A106" s="250"/>
      <c r="D106" s="1861"/>
      <c r="K106" s="57"/>
      <c r="L106" s="57"/>
    </row>
    <row r="107" spans="1:12" s="1860" customFormat="1">
      <c r="A107" s="250"/>
      <c r="D107" s="1861"/>
      <c r="K107" s="57"/>
      <c r="L107" s="57"/>
    </row>
    <row r="108" spans="1:12" s="1860" customFormat="1">
      <c r="A108" s="250"/>
      <c r="D108" s="1861"/>
      <c r="K108" s="57"/>
      <c r="L108" s="57"/>
    </row>
    <row r="109" spans="1:12" s="1860" customFormat="1">
      <c r="A109" s="250"/>
      <c r="D109" s="1861"/>
      <c r="K109" s="57"/>
      <c r="L109" s="57"/>
    </row>
    <row r="110" spans="1:12" s="1860" customFormat="1">
      <c r="A110" s="250"/>
      <c r="D110" s="1861"/>
      <c r="K110" s="57"/>
      <c r="L110" s="57"/>
    </row>
    <row r="111" spans="1:12" s="1860" customFormat="1">
      <c r="A111" s="250"/>
      <c r="D111" s="1861"/>
      <c r="K111" s="57"/>
      <c r="L111" s="57"/>
    </row>
    <row r="112" spans="1:12" s="1860" customFormat="1">
      <c r="A112" s="250"/>
      <c r="D112" s="1861"/>
      <c r="K112" s="57"/>
      <c r="L112" s="57"/>
    </row>
    <row r="113" spans="1:12" s="1860" customFormat="1">
      <c r="A113" s="250"/>
      <c r="D113" s="1861"/>
      <c r="K113" s="57"/>
      <c r="L113" s="57"/>
    </row>
    <row r="114" spans="1:12" s="1860" customFormat="1">
      <c r="A114" s="250"/>
      <c r="D114" s="1861"/>
      <c r="K114" s="57"/>
      <c r="L114" s="57"/>
    </row>
    <row r="115" spans="1:12" s="1860" customFormat="1">
      <c r="A115" s="250"/>
      <c r="D115" s="1861"/>
      <c r="K115" s="57"/>
      <c r="L115" s="57"/>
    </row>
    <row r="116" spans="1:12" s="1860" customFormat="1">
      <c r="A116" s="250"/>
      <c r="D116" s="1861"/>
      <c r="K116" s="57"/>
      <c r="L116" s="57"/>
    </row>
    <row r="117" spans="1:12" s="1860" customFormat="1">
      <c r="A117" s="250"/>
      <c r="D117" s="1861"/>
      <c r="K117" s="57"/>
      <c r="L117" s="57"/>
    </row>
    <row r="118" spans="1:12" s="1860" customFormat="1">
      <c r="A118" s="250"/>
      <c r="D118" s="1861"/>
      <c r="K118" s="57"/>
      <c r="L118" s="57"/>
    </row>
    <row r="119" spans="1:12" s="1860" customFormat="1">
      <c r="A119" s="250"/>
      <c r="D119" s="1861"/>
      <c r="K119" s="57"/>
      <c r="L119" s="57"/>
    </row>
    <row r="120" spans="1:12" s="1860" customFormat="1">
      <c r="A120" s="250"/>
      <c r="D120" s="1861"/>
      <c r="K120" s="57"/>
      <c r="L120" s="57"/>
    </row>
    <row r="121" spans="1:12" s="1860" customFormat="1">
      <c r="A121" s="250"/>
      <c r="D121" s="1861"/>
      <c r="K121" s="57"/>
      <c r="L121" s="57"/>
    </row>
    <row r="122" spans="1:12" s="1860" customFormat="1">
      <c r="A122" s="250"/>
      <c r="D122" s="1861"/>
      <c r="K122" s="57"/>
      <c r="L122" s="57"/>
    </row>
    <row r="123" spans="1:12" s="1860" customFormat="1">
      <c r="A123" s="250"/>
      <c r="D123" s="1861"/>
      <c r="K123" s="57"/>
      <c r="L123" s="57"/>
    </row>
    <row r="124" spans="1:12" s="1860" customFormat="1">
      <c r="A124" s="250"/>
      <c r="D124" s="1861"/>
      <c r="K124" s="57"/>
      <c r="L124" s="57"/>
    </row>
    <row r="125" spans="1:12" s="1860" customFormat="1">
      <c r="A125" s="250"/>
      <c r="D125" s="1861"/>
      <c r="K125" s="57"/>
      <c r="L125" s="57"/>
    </row>
    <row r="126" spans="1:12" s="1860" customFormat="1">
      <c r="A126" s="250"/>
      <c r="D126" s="1861"/>
      <c r="K126" s="57"/>
      <c r="L126" s="57"/>
    </row>
    <row r="127" spans="1:12" s="1860" customFormat="1">
      <c r="A127" s="250"/>
      <c r="D127" s="1861"/>
      <c r="K127" s="57"/>
      <c r="L127" s="57"/>
    </row>
    <row r="128" spans="1:12" s="1860" customFormat="1">
      <c r="A128" s="250"/>
      <c r="D128" s="1861"/>
      <c r="K128" s="57"/>
      <c r="L128" s="57"/>
    </row>
    <row r="129" spans="1:12" s="1860" customFormat="1">
      <c r="A129" s="250"/>
      <c r="D129" s="1861"/>
      <c r="K129" s="57"/>
      <c r="L129" s="57"/>
    </row>
    <row r="130" spans="1:12" s="1860" customFormat="1">
      <c r="A130" s="250"/>
      <c r="D130" s="1861"/>
      <c r="K130" s="57"/>
      <c r="L130" s="57"/>
    </row>
    <row r="131" spans="1:12" s="1860" customFormat="1">
      <c r="A131" s="250"/>
      <c r="D131" s="1861"/>
      <c r="K131" s="57"/>
      <c r="L131" s="57"/>
    </row>
    <row r="132" spans="1:12" s="1860" customFormat="1">
      <c r="A132" s="250"/>
      <c r="D132" s="1861"/>
      <c r="K132" s="57"/>
      <c r="L132" s="57"/>
    </row>
    <row r="133" spans="1:12" s="1860" customFormat="1">
      <c r="A133" s="250"/>
      <c r="D133" s="1861"/>
      <c r="K133" s="57"/>
      <c r="L133" s="57"/>
    </row>
    <row r="134" spans="1:12" s="1860" customFormat="1">
      <c r="A134" s="250"/>
      <c r="D134" s="1861"/>
      <c r="K134" s="57"/>
      <c r="L134" s="57"/>
    </row>
    <row r="135" spans="1:12" s="1860" customFormat="1">
      <c r="A135" s="250"/>
      <c r="D135" s="1861"/>
      <c r="K135" s="57"/>
      <c r="L135" s="57"/>
    </row>
    <row r="136" spans="1:12" s="1860" customFormat="1">
      <c r="A136" s="250"/>
      <c r="D136" s="1861"/>
      <c r="K136" s="57"/>
      <c r="L136" s="57"/>
    </row>
    <row r="137" spans="1:12" s="1860" customFormat="1">
      <c r="A137" s="250"/>
      <c r="D137" s="1861"/>
      <c r="K137" s="57"/>
      <c r="L137" s="57"/>
    </row>
    <row r="138" spans="1:12" s="1860" customFormat="1">
      <c r="A138" s="250"/>
      <c r="D138" s="1861"/>
      <c r="K138" s="57"/>
      <c r="L138" s="57"/>
    </row>
    <row r="139" spans="1:12" s="1860" customFormat="1">
      <c r="A139" s="250"/>
      <c r="D139" s="1861"/>
      <c r="K139" s="57"/>
      <c r="L139" s="57"/>
    </row>
    <row r="140" spans="1:12" s="1860" customFormat="1">
      <c r="A140" s="250"/>
      <c r="D140" s="1861"/>
      <c r="K140" s="57"/>
      <c r="L140" s="57"/>
    </row>
    <row r="141" spans="1:12" s="1860" customFormat="1">
      <c r="A141" s="250"/>
      <c r="D141" s="1861"/>
      <c r="K141" s="57"/>
      <c r="L141" s="57"/>
    </row>
    <row r="142" spans="1:12" s="1860" customFormat="1">
      <c r="A142" s="250"/>
      <c r="D142" s="1861"/>
      <c r="K142" s="57"/>
      <c r="L142" s="57"/>
    </row>
    <row r="143" spans="1:12" s="1860" customFormat="1">
      <c r="A143" s="250"/>
      <c r="D143" s="1861"/>
      <c r="K143" s="57"/>
      <c r="L143" s="57"/>
    </row>
    <row r="144" spans="1:12" s="1860" customFormat="1">
      <c r="A144" s="250"/>
      <c r="D144" s="1861"/>
      <c r="K144" s="57"/>
      <c r="L144" s="57"/>
    </row>
    <row r="145" spans="1:12" s="1860" customFormat="1">
      <c r="A145" s="250"/>
      <c r="D145" s="1861"/>
      <c r="K145" s="57"/>
      <c r="L145" s="57"/>
    </row>
    <row r="146" spans="1:12" s="1860" customFormat="1">
      <c r="A146" s="250"/>
      <c r="D146" s="1861"/>
      <c r="K146" s="57"/>
      <c r="L146" s="57"/>
    </row>
    <row r="147" spans="1:12" s="1860" customFormat="1">
      <c r="A147" s="250"/>
      <c r="D147" s="1861"/>
      <c r="K147" s="57"/>
      <c r="L147" s="57"/>
    </row>
    <row r="148" spans="1:12" s="1860" customFormat="1">
      <c r="A148" s="250"/>
      <c r="D148" s="1861"/>
      <c r="K148" s="57"/>
      <c r="L148" s="57"/>
    </row>
    <row r="149" spans="1:12" s="1860" customFormat="1">
      <c r="A149" s="250"/>
      <c r="D149" s="1861"/>
      <c r="K149" s="57"/>
      <c r="L149" s="57"/>
    </row>
    <row r="150" spans="1:12" s="1860" customFormat="1">
      <c r="A150" s="250"/>
      <c r="D150" s="1861"/>
      <c r="K150" s="57"/>
      <c r="L150" s="57"/>
    </row>
    <row r="151" spans="1:12" s="1860" customFormat="1">
      <c r="A151" s="250"/>
      <c r="D151" s="1861"/>
      <c r="K151" s="57"/>
      <c r="L151" s="57"/>
    </row>
    <row r="152" spans="1:12" s="1860" customFormat="1">
      <c r="A152" s="250"/>
      <c r="D152" s="1861"/>
      <c r="K152" s="57"/>
      <c r="L152" s="57"/>
    </row>
    <row r="153" spans="1:12" s="1860" customFormat="1">
      <c r="A153" s="250"/>
      <c r="D153" s="1861"/>
      <c r="K153" s="57"/>
      <c r="L153" s="57"/>
    </row>
    <row r="154" spans="1:12" s="1860" customFormat="1">
      <c r="A154" s="250"/>
      <c r="D154" s="1861"/>
      <c r="K154" s="57"/>
      <c r="L154" s="57"/>
    </row>
    <row r="155" spans="1:12" s="1860" customFormat="1">
      <c r="A155" s="250"/>
      <c r="D155" s="1861"/>
      <c r="K155" s="57"/>
      <c r="L155" s="57"/>
    </row>
    <row r="156" spans="1:12" s="1860" customFormat="1">
      <c r="A156" s="250"/>
      <c r="D156" s="1861"/>
      <c r="K156" s="57"/>
      <c r="L156" s="57"/>
    </row>
    <row r="157" spans="1:12" s="1860" customFormat="1">
      <c r="A157" s="250"/>
      <c r="D157" s="1861"/>
      <c r="K157" s="57"/>
      <c r="L157" s="57"/>
    </row>
    <row r="158" spans="1:12" s="1860" customFormat="1">
      <c r="A158" s="250"/>
      <c r="D158" s="1861"/>
      <c r="K158" s="57"/>
      <c r="L158" s="57"/>
    </row>
    <row r="159" spans="1:12" s="1860" customFormat="1">
      <c r="A159" s="250"/>
      <c r="D159" s="1861"/>
      <c r="K159" s="57"/>
      <c r="L159" s="57"/>
    </row>
    <row r="160" spans="1:12" s="1860" customFormat="1">
      <c r="A160" s="250"/>
      <c r="D160" s="1861"/>
      <c r="K160" s="57"/>
      <c r="L160" s="57"/>
    </row>
    <row r="161" spans="1:12" s="1860" customFormat="1">
      <c r="A161" s="250"/>
      <c r="D161" s="1861"/>
      <c r="K161" s="57"/>
      <c r="L161" s="57"/>
    </row>
    <row r="162" spans="1:12" s="1860" customFormat="1">
      <c r="A162" s="250"/>
      <c r="D162" s="1861"/>
      <c r="K162" s="57"/>
      <c r="L162" s="57"/>
    </row>
    <row r="163" spans="1:12" s="1860" customFormat="1">
      <c r="A163" s="250"/>
      <c r="D163" s="1861"/>
      <c r="K163" s="57"/>
      <c r="L163" s="57"/>
    </row>
    <row r="164" spans="1:12" s="1860" customFormat="1">
      <c r="A164" s="250"/>
      <c r="D164" s="1861"/>
      <c r="K164" s="57"/>
      <c r="L164" s="57"/>
    </row>
    <row r="165" spans="1:12" s="1860" customFormat="1">
      <c r="A165" s="250"/>
      <c r="D165" s="1861"/>
      <c r="K165" s="57"/>
      <c r="L165" s="57"/>
    </row>
    <row r="166" spans="1:12" s="1860" customFormat="1">
      <c r="A166" s="250"/>
      <c r="D166" s="1861"/>
      <c r="K166" s="57"/>
      <c r="L166" s="57"/>
    </row>
    <row r="167" spans="1:12" s="1860" customFormat="1">
      <c r="A167" s="250"/>
      <c r="D167" s="1861"/>
      <c r="K167" s="57"/>
      <c r="L167" s="57"/>
    </row>
    <row r="168" spans="1:12" s="1860" customFormat="1">
      <c r="A168" s="250"/>
      <c r="D168" s="1861"/>
      <c r="K168" s="57"/>
      <c r="L168" s="57"/>
    </row>
    <row r="169" spans="1:12" s="1860" customFormat="1">
      <c r="A169" s="250"/>
      <c r="D169" s="1861"/>
      <c r="K169" s="57"/>
      <c r="L169" s="57"/>
    </row>
    <row r="170" spans="1:12" s="1860" customFormat="1">
      <c r="A170" s="250"/>
      <c r="D170" s="1861"/>
      <c r="K170" s="57"/>
      <c r="L170" s="57"/>
    </row>
    <row r="171" spans="1:12" s="1860" customFormat="1">
      <c r="A171" s="250"/>
      <c r="D171" s="1861"/>
      <c r="K171" s="57"/>
      <c r="L171" s="57"/>
    </row>
    <row r="172" spans="1:12" s="1860" customFormat="1">
      <c r="A172" s="250"/>
      <c r="D172" s="1861"/>
      <c r="K172" s="57"/>
      <c r="L172" s="57"/>
    </row>
    <row r="173" spans="1:12" s="1860" customFormat="1">
      <c r="A173" s="250"/>
      <c r="D173" s="1861"/>
      <c r="K173" s="57"/>
      <c r="L173" s="57"/>
    </row>
    <row r="174" spans="1:12" s="1860" customFormat="1">
      <c r="A174" s="250"/>
      <c r="D174" s="1861"/>
      <c r="K174" s="57"/>
      <c r="L174" s="57"/>
    </row>
    <row r="175" spans="1:12" s="1860" customFormat="1">
      <c r="A175" s="250"/>
      <c r="D175" s="1861"/>
      <c r="K175" s="57"/>
      <c r="L175" s="57"/>
    </row>
    <row r="176" spans="1:12" s="1860" customFormat="1">
      <c r="A176" s="250"/>
      <c r="D176" s="1861"/>
      <c r="K176" s="57"/>
      <c r="L176" s="57"/>
    </row>
    <row r="177" spans="1:12" s="1860" customFormat="1">
      <c r="A177" s="250"/>
      <c r="D177" s="1861"/>
      <c r="K177" s="57"/>
      <c r="L177" s="57"/>
    </row>
    <row r="178" spans="1:12" s="1860" customFormat="1">
      <c r="A178" s="250"/>
      <c r="D178" s="1861"/>
      <c r="K178" s="57"/>
      <c r="L178" s="57"/>
    </row>
    <row r="179" spans="1:12" s="1860" customFormat="1">
      <c r="A179" s="250"/>
      <c r="D179" s="1861"/>
      <c r="K179" s="57"/>
      <c r="L179" s="57"/>
    </row>
    <row r="180" spans="1:12" s="1860" customFormat="1">
      <c r="A180" s="250"/>
      <c r="D180" s="1861"/>
      <c r="K180" s="57"/>
      <c r="L180" s="57"/>
    </row>
    <row r="181" spans="1:12" s="1860" customFormat="1">
      <c r="A181" s="250"/>
      <c r="D181" s="1861"/>
      <c r="K181" s="57"/>
      <c r="L181" s="57"/>
    </row>
    <row r="182" spans="1:12" s="1860" customFormat="1">
      <c r="A182" s="250"/>
      <c r="D182" s="1861"/>
      <c r="K182" s="57"/>
      <c r="L182" s="57"/>
    </row>
    <row r="183" spans="1:12" s="1860" customFormat="1">
      <c r="A183" s="250"/>
      <c r="D183" s="1861"/>
      <c r="K183" s="57"/>
      <c r="L183" s="57"/>
    </row>
    <row r="184" spans="1:12" s="1860" customFormat="1">
      <c r="A184" s="250"/>
      <c r="D184" s="1861"/>
      <c r="K184" s="57"/>
      <c r="L184" s="57"/>
    </row>
    <row r="185" spans="1:12" s="1860" customFormat="1">
      <c r="A185" s="250"/>
      <c r="D185" s="1861"/>
      <c r="K185" s="57"/>
      <c r="L185" s="57"/>
    </row>
    <row r="186" spans="1:12" s="1860" customFormat="1">
      <c r="A186" s="250"/>
      <c r="D186" s="1861"/>
      <c r="K186" s="57"/>
      <c r="L186" s="57"/>
    </row>
    <row r="187" spans="1:12" s="1860" customFormat="1">
      <c r="A187" s="250"/>
      <c r="D187" s="1861"/>
      <c r="K187" s="57"/>
      <c r="L187" s="57"/>
    </row>
    <row r="188" spans="1:12" s="1860" customFormat="1">
      <c r="A188" s="250"/>
      <c r="D188" s="1861"/>
      <c r="K188" s="57"/>
      <c r="L188" s="57"/>
    </row>
    <row r="189" spans="1:12" s="1860" customFormat="1">
      <c r="A189" s="250"/>
      <c r="D189" s="1861"/>
      <c r="K189" s="57"/>
      <c r="L189" s="57"/>
    </row>
    <row r="190" spans="1:12" s="1860" customFormat="1">
      <c r="A190" s="250"/>
      <c r="D190" s="1861"/>
      <c r="K190" s="57"/>
      <c r="L190" s="57"/>
    </row>
    <row r="191" spans="1:12" s="1860" customFormat="1">
      <c r="A191" s="250"/>
      <c r="D191" s="1861"/>
      <c r="K191" s="57"/>
      <c r="L191" s="57"/>
    </row>
    <row r="192" spans="1:12" s="1860" customFormat="1">
      <c r="A192" s="250"/>
      <c r="D192" s="186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ColWidth="9" defaultRowHeight="13.5"/>
  <cols>
    <col min="1" max="1" width="9.5" style="3029" customWidth="1"/>
    <col min="2" max="2" width="23.5" style="3064" customWidth="1"/>
    <col min="3" max="3" width="32.25" style="3066" customWidth="1"/>
    <col min="4" max="4" width="2.625" style="3066" customWidth="1"/>
    <col min="5" max="5" width="5.875" style="3066" customWidth="1"/>
    <col min="6" max="6" width="23.625" style="3064" customWidth="1"/>
    <col min="7" max="7" width="33.375" style="3065" customWidth="1"/>
    <col min="8" max="8" width="11.875" style="3064" customWidth="1"/>
    <col min="9" max="9" width="16.75" style="3065" customWidth="1"/>
    <col min="10" max="10" width="2.625" style="3066" customWidth="1"/>
    <col min="11" max="11" width="11.875" style="3064" customWidth="1"/>
    <col min="12" max="12" width="16.75" style="3065" customWidth="1"/>
    <col min="13" max="13" width="2.625" style="3066" customWidth="1"/>
    <col min="14" max="14" width="11.875" style="3064" customWidth="1"/>
    <col min="15" max="15" width="16.75" style="3065" customWidth="1"/>
    <col min="16" max="16" width="2.625" style="3066" customWidth="1"/>
    <col min="17" max="17" width="11.875" style="3064" customWidth="1"/>
    <col min="18" max="18" width="16.75" style="3067" customWidth="1"/>
    <col min="19" max="16384" width="9" style="3029"/>
  </cols>
  <sheetData>
    <row r="1" spans="1:18" s="3023" customFormat="1" ht="19.5" thickBot="1">
      <c r="A1" s="3557" t="s">
        <v>1463</v>
      </c>
      <c r="B1" s="3558"/>
      <c r="C1" s="3558"/>
      <c r="D1" s="3558"/>
      <c r="E1" s="3558"/>
      <c r="F1" s="3558"/>
      <c r="G1" s="3558"/>
      <c r="H1" s="3018"/>
      <c r="I1" s="3019"/>
      <c r="J1" s="3020"/>
      <c r="K1" s="3018"/>
      <c r="L1" s="3019"/>
      <c r="M1" s="3020"/>
      <c r="N1" s="3018"/>
      <c r="O1" s="3019"/>
      <c r="P1" s="3020"/>
      <c r="Q1" s="3021"/>
      <c r="R1" s="3022"/>
    </row>
    <row r="2" spans="1:18" ht="14.25" thickBot="1">
      <c r="A2" s="3024"/>
      <c r="B2" s="3025"/>
      <c r="C2" s="3026" t="s">
        <v>1464</v>
      </c>
      <c r="D2" s="3027"/>
      <c r="E2" s="3024"/>
      <c r="F2" s="3028"/>
      <c r="G2" s="3026" t="s">
        <v>1465</v>
      </c>
      <c r="H2" s="3029"/>
      <c r="I2" s="3029"/>
      <c r="J2" s="3029"/>
      <c r="K2" s="3029"/>
      <c r="L2" s="3029"/>
      <c r="M2" s="3029"/>
      <c r="N2" s="3029"/>
      <c r="O2" s="3029"/>
      <c r="P2" s="3029"/>
      <c r="Q2" s="3029"/>
      <c r="R2" s="3029"/>
    </row>
    <row r="3" spans="1:18" ht="28.5">
      <c r="A3" s="3030" t="s">
        <v>1466</v>
      </c>
      <c r="B3" s="3031" t="s">
        <v>1453</v>
      </c>
      <c r="C3" s="3032"/>
      <c r="D3" s="3033"/>
      <c r="E3" s="3034" t="s">
        <v>1466</v>
      </c>
      <c r="F3" s="3035" t="s">
        <v>1454</v>
      </c>
      <c r="G3" s="3036" t="s">
        <v>2620</v>
      </c>
      <c r="H3" s="3029"/>
      <c r="I3" s="3029"/>
      <c r="J3" s="3029"/>
      <c r="K3" s="3029"/>
      <c r="L3" s="3029"/>
      <c r="M3" s="3029"/>
      <c r="N3" s="3029"/>
      <c r="O3" s="3029"/>
      <c r="P3" s="3029"/>
      <c r="Q3" s="3029"/>
      <c r="R3" s="3029"/>
    </row>
    <row r="4" spans="1:18" ht="40.5">
      <c r="A4" s="3034"/>
      <c r="B4" s="3037" t="s">
        <v>1467</v>
      </c>
      <c r="C4" s="3038"/>
      <c r="D4" s="3033"/>
      <c r="E4" s="3039"/>
      <c r="F4" s="3040" t="s">
        <v>1468</v>
      </c>
      <c r="G4" s="3041" t="s">
        <v>2617</v>
      </c>
      <c r="H4" s="3029"/>
      <c r="I4" s="3029"/>
      <c r="J4" s="3029"/>
      <c r="K4" s="3029"/>
      <c r="L4" s="3029"/>
      <c r="M4" s="3029"/>
      <c r="N4" s="3029"/>
      <c r="O4" s="3029"/>
      <c r="P4" s="3029"/>
      <c r="Q4" s="3029"/>
      <c r="R4" s="3029"/>
    </row>
    <row r="5" spans="1:18" ht="27">
      <c r="A5" s="3034"/>
      <c r="B5" s="3037" t="s">
        <v>1469</v>
      </c>
      <c r="C5" s="3038"/>
      <c r="D5" s="3033"/>
      <c r="E5" s="3039"/>
      <c r="F5" s="3037" t="s">
        <v>2264</v>
      </c>
      <c r="G5" s="3041" t="s">
        <v>2618</v>
      </c>
      <c r="H5" s="3029"/>
      <c r="I5" s="3029"/>
      <c r="J5" s="3029"/>
      <c r="K5" s="3029"/>
      <c r="L5" s="3029"/>
      <c r="M5" s="3029"/>
      <c r="N5" s="3029"/>
      <c r="O5" s="3029"/>
      <c r="P5" s="3029"/>
      <c r="Q5" s="3029"/>
      <c r="R5" s="3029"/>
    </row>
    <row r="6" spans="1:18" ht="14.25">
      <c r="A6" s="3034"/>
      <c r="B6" s="3037" t="s">
        <v>1455</v>
      </c>
      <c r="C6" s="3041"/>
      <c r="D6" s="3033"/>
      <c r="E6" s="3039"/>
      <c r="F6" s="3037" t="s">
        <v>2265</v>
      </c>
      <c r="G6" s="3041" t="s">
        <v>2616</v>
      </c>
      <c r="H6" s="3029"/>
      <c r="I6" s="3029"/>
      <c r="J6" s="3029"/>
      <c r="K6" s="3029"/>
      <c r="L6" s="3029"/>
      <c r="M6" s="3029"/>
      <c r="N6" s="3029"/>
      <c r="O6" s="3029"/>
      <c r="P6" s="3029"/>
      <c r="Q6" s="3029"/>
      <c r="R6" s="3029"/>
    </row>
    <row r="7" spans="1:18" ht="27.75" thickBot="1">
      <c r="A7" s="3034"/>
      <c r="B7" s="3037" t="s">
        <v>2264</v>
      </c>
      <c r="C7" s="3041"/>
      <c r="D7" s="3042"/>
      <c r="E7" s="3043"/>
      <c r="F7" s="3044" t="s">
        <v>1470</v>
      </c>
      <c r="G7" s="3045" t="s">
        <v>2619</v>
      </c>
      <c r="H7" s="3029"/>
      <c r="I7" s="3029"/>
      <c r="J7" s="3029"/>
      <c r="K7" s="3029"/>
      <c r="L7" s="3029"/>
      <c r="M7" s="3029"/>
      <c r="N7" s="3029"/>
      <c r="O7" s="3029"/>
      <c r="P7" s="3029"/>
      <c r="Q7" s="3029"/>
      <c r="R7" s="3029"/>
    </row>
    <row r="8" spans="1:18" ht="14.25">
      <c r="A8" s="3034"/>
      <c r="B8" s="3037" t="s">
        <v>2265</v>
      </c>
      <c r="C8" s="3041"/>
      <c r="D8" s="3042"/>
      <c r="E8" s="3042"/>
      <c r="F8" s="3046"/>
      <c r="G8" s="3046"/>
      <c r="H8" s="3029"/>
      <c r="I8" s="3029"/>
      <c r="J8" s="3029"/>
      <c r="K8" s="3029"/>
      <c r="L8" s="3029"/>
      <c r="M8" s="3029"/>
      <c r="N8" s="3029"/>
      <c r="O8" s="3029"/>
      <c r="P8" s="3029"/>
      <c r="Q8" s="3029"/>
      <c r="R8" s="3029"/>
    </row>
    <row r="9" spans="1:18" ht="14.25">
      <c r="A9" s="3034"/>
      <c r="B9" s="3037" t="s">
        <v>1456</v>
      </c>
      <c r="C9" s="3038"/>
      <c r="D9" s="3033"/>
      <c r="E9" s="3042"/>
      <c r="F9" s="3046"/>
      <c r="G9" s="3046"/>
      <c r="H9" s="3029"/>
      <c r="I9" s="3029"/>
      <c r="J9" s="3029"/>
      <c r="K9" s="3029"/>
      <c r="L9" s="3029"/>
      <c r="M9" s="3029"/>
      <c r="N9" s="3029"/>
      <c r="O9" s="3029"/>
      <c r="P9" s="3029"/>
      <c r="Q9" s="3029"/>
      <c r="R9" s="3029"/>
    </row>
    <row r="10" spans="1:18" s="3053" customFormat="1" ht="15" thickBot="1">
      <c r="A10" s="3047"/>
      <c r="B10" s="3048" t="s">
        <v>1471</v>
      </c>
      <c r="C10" s="3049"/>
      <c r="D10" s="3033"/>
      <c r="E10" s="3033"/>
      <c r="F10" s="3046"/>
      <c r="G10" s="3046"/>
      <c r="H10" s="3050"/>
      <c r="I10" s="3051"/>
      <c r="J10" s="3052"/>
      <c r="K10" s="3050"/>
      <c r="L10" s="3051"/>
      <c r="M10" s="3052"/>
      <c r="N10" s="3050"/>
      <c r="O10" s="3051"/>
      <c r="P10" s="3052"/>
      <c r="Q10" s="3050"/>
      <c r="R10" s="3051"/>
    </row>
    <row r="11" spans="1:18" s="3053" customFormat="1">
      <c r="A11" s="3054"/>
      <c r="B11" s="3042"/>
      <c r="C11" s="3033"/>
      <c r="D11" s="3033"/>
      <c r="E11" s="3033"/>
      <c r="F11" s="3042"/>
      <c r="G11" s="3055"/>
      <c r="H11" s="3050"/>
      <c r="I11" s="3051"/>
      <c r="J11" s="3052"/>
      <c r="K11" s="3050"/>
      <c r="L11" s="3051"/>
      <c r="M11" s="3052"/>
      <c r="N11" s="3050"/>
      <c r="O11" s="3051"/>
      <c r="P11" s="3052"/>
      <c r="Q11" s="3050"/>
      <c r="R11" s="3051"/>
    </row>
    <row r="12" spans="1:18" s="3023" customFormat="1" ht="18.75">
      <c r="A12" s="3054"/>
      <c r="B12" s="3042"/>
      <c r="C12" s="3033"/>
      <c r="D12" s="3056"/>
      <c r="E12" s="3033"/>
      <c r="F12" s="3042"/>
      <c r="G12" s="3055"/>
      <c r="H12" s="3057"/>
      <c r="I12" s="3058"/>
      <c r="J12" s="3057"/>
      <c r="K12" s="3057"/>
      <c r="L12" s="3059"/>
      <c r="M12" s="3057"/>
      <c r="N12" s="3060"/>
      <c r="O12" s="3061"/>
      <c r="P12" s="3062"/>
      <c r="Q12" s="3060"/>
      <c r="R12" s="3022"/>
    </row>
    <row r="13" spans="1:18" ht="19.5" thickBot="1">
      <c r="A13" s="3063" t="s">
        <v>1472</v>
      </c>
      <c r="B13" s="3056"/>
      <c r="C13" s="3056"/>
      <c r="D13" s="3027"/>
      <c r="E13" s="3056"/>
      <c r="F13" s="3056"/>
      <c r="G13" s="3056"/>
    </row>
    <row r="14" spans="1:18" ht="14.25" thickBot="1">
      <c r="A14" s="3068"/>
      <c r="B14" s="3068"/>
      <c r="C14" s="3069" t="s">
        <v>1464</v>
      </c>
      <c r="D14" s="3033"/>
      <c r="E14" s="3070"/>
      <c r="F14" s="3070"/>
      <c r="G14" s="3026" t="s">
        <v>1465</v>
      </c>
    </row>
    <row r="15" spans="1:18" ht="27">
      <c r="A15" s="3071" t="s">
        <v>1457</v>
      </c>
      <c r="B15" s="3072" t="s">
        <v>1453</v>
      </c>
      <c r="C15" s="3073">
        <f>C3</f>
        <v>0</v>
      </c>
      <c r="D15" s="3033"/>
      <c r="E15" s="3074" t="s">
        <v>1458</v>
      </c>
      <c r="F15" s="3072" t="s">
        <v>1473</v>
      </c>
      <c r="G15" s="3075" t="str">
        <f>G3</f>
        <v>估价对象位于XX开发区，园区建设成熟度XX，产业集聚程度XX</v>
      </c>
    </row>
    <row r="16" spans="1:18" ht="40.5">
      <c r="A16" s="3076"/>
      <c r="B16" s="3077" t="s">
        <v>1467</v>
      </c>
      <c r="C16" s="3078">
        <f>C4</f>
        <v>0</v>
      </c>
      <c r="D16" s="3033"/>
      <c r="E16" s="3079"/>
      <c r="F16" s="3080" t="s">
        <v>1468</v>
      </c>
      <c r="G16" s="3081" t="str">
        <f>G4</f>
        <v>估价对象周边道路状况、公共交通通达情况、停车便捷程度，综合评价交通便捷度较好</v>
      </c>
    </row>
    <row r="17" spans="1:7" ht="14.25">
      <c r="A17" s="3076"/>
      <c r="B17" s="3077" t="s">
        <v>1469</v>
      </c>
      <c r="C17" s="3078">
        <f>C5</f>
        <v>0</v>
      </c>
      <c r="D17" s="3042"/>
      <c r="E17" s="3079"/>
      <c r="F17" s="3080" t="s">
        <v>1474</v>
      </c>
      <c r="G17" s="3082"/>
    </row>
    <row r="18" spans="1:7" ht="27">
      <c r="A18" s="3076"/>
      <c r="B18" s="3080" t="s">
        <v>1455</v>
      </c>
      <c r="C18" s="3081">
        <f>C6</f>
        <v>0</v>
      </c>
      <c r="D18" s="3042"/>
      <c r="E18" s="3079"/>
      <c r="F18" s="3080" t="s">
        <v>1470</v>
      </c>
      <c r="G18" s="3081" t="str">
        <f>G7</f>
        <v>该园区内是否有污染型企业，绿化情况，卫生条件，整体环境状况判断</v>
      </c>
    </row>
    <row r="19" spans="1:7" ht="27">
      <c r="A19" s="3076"/>
      <c r="B19" s="3080" t="s">
        <v>1459</v>
      </c>
      <c r="C19" s="3082"/>
      <c r="D19" s="3033"/>
      <c r="E19" s="3079"/>
      <c r="F19" s="3037" t="s">
        <v>2264</v>
      </c>
      <c r="G19" s="3081" t="str">
        <f>G5</f>
        <v>估价对象所在区域公共配套设施齐备情况</v>
      </c>
    </row>
    <row r="20" spans="1:7">
      <c r="A20" s="3076"/>
      <c r="B20" s="3080" t="s">
        <v>1460</v>
      </c>
      <c r="C20" s="3078">
        <f>C9</f>
        <v>0</v>
      </c>
      <c r="D20" s="3042"/>
      <c r="E20" s="3079"/>
      <c r="F20" s="3037" t="s">
        <v>2265</v>
      </c>
      <c r="G20" s="3081" t="str">
        <f>G6</f>
        <v>估价对象所在区域基础设施水平</v>
      </c>
    </row>
    <row r="21" spans="1:7" ht="14.25">
      <c r="A21" s="3076"/>
      <c r="B21" s="3037" t="s">
        <v>2264</v>
      </c>
      <c r="C21" s="3081">
        <f>C7</f>
        <v>0</v>
      </c>
      <c r="D21" s="3033"/>
      <c r="E21" s="3079"/>
      <c r="F21" s="3080" t="s">
        <v>1461</v>
      </c>
      <c r="G21" s="3083"/>
    </row>
    <row r="22" spans="1:7" ht="14.25">
      <c r="A22" s="3076"/>
      <c r="B22" s="3037" t="s">
        <v>2265</v>
      </c>
      <c r="C22" s="3081">
        <f>C8</f>
        <v>0</v>
      </c>
      <c r="D22" s="3033"/>
      <c r="E22" s="3079"/>
      <c r="F22" s="3080" t="s">
        <v>1471</v>
      </c>
      <c r="G22" s="3082"/>
    </row>
    <row r="23" spans="1:7" ht="15" thickBot="1">
      <c r="A23" s="3076"/>
      <c r="B23" s="3080" t="s">
        <v>1461</v>
      </c>
      <c r="C23" s="3083"/>
      <c r="E23" s="3084"/>
      <c r="F23" s="3085" t="s">
        <v>1475</v>
      </c>
      <c r="G23" s="3086"/>
    </row>
    <row r="24" spans="1:7" ht="14.25" thickBot="1">
      <c r="A24" s="3087"/>
      <c r="B24" s="3085" t="s">
        <v>1462</v>
      </c>
      <c r="C24" s="3088">
        <f>C10</f>
        <v>0</v>
      </c>
      <c r="E24" s="3089"/>
      <c r="F24" s="3089"/>
      <c r="G24" s="3090"/>
    </row>
    <row r="25" spans="1:7">
      <c r="E25" s="3029"/>
      <c r="F25" s="3029"/>
      <c r="G25" s="3029"/>
    </row>
    <row r="26" spans="1:7">
      <c r="E26" s="3029"/>
      <c r="F26" s="3029"/>
      <c r="G26" s="3029"/>
    </row>
    <row r="27" spans="1:7">
      <c r="E27" s="3029"/>
      <c r="F27" s="3029"/>
      <c r="G27" s="3029"/>
    </row>
    <row r="28" spans="1:7">
      <c r="E28" s="3029"/>
      <c r="F28" s="3029"/>
      <c r="G28" s="3029"/>
    </row>
    <row r="29" spans="1:7">
      <c r="E29" s="3029"/>
      <c r="F29" s="3029"/>
      <c r="G29" s="3029"/>
    </row>
    <row r="30" spans="1:7">
      <c r="E30" s="3029"/>
      <c r="F30" s="3029"/>
      <c r="G30" s="3029"/>
    </row>
    <row r="31" spans="1:7">
      <c r="E31" s="3029"/>
      <c r="F31" s="3029"/>
      <c r="G31" s="3029"/>
    </row>
    <row r="32" spans="1:7">
      <c r="E32" s="3029"/>
      <c r="F32" s="3029"/>
      <c r="G32" s="3029"/>
    </row>
    <row r="33" spans="5:7">
      <c r="E33" s="3029"/>
      <c r="F33" s="3029"/>
      <c r="G33" s="3029"/>
    </row>
    <row r="34" spans="5:7">
      <c r="E34" s="3029"/>
      <c r="F34" s="3029"/>
      <c r="G34" s="3029"/>
    </row>
    <row r="35" spans="5:7">
      <c r="E35" s="3029"/>
      <c r="F35" s="3029"/>
      <c r="G35" s="3029"/>
    </row>
    <row r="36" spans="5:7">
      <c r="E36" s="3029"/>
      <c r="F36" s="3029"/>
      <c r="G36" s="3029"/>
    </row>
    <row r="37" spans="5:7">
      <c r="E37" s="3029"/>
      <c r="F37" s="3029"/>
      <c r="G37" s="302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9" sqref="I19"/>
    </sheetView>
  </sheetViews>
  <sheetFormatPr defaultColWidth="14.625" defaultRowHeight="13.5"/>
  <cols>
    <col min="1" max="1" width="24.375" style="3092" customWidth="1"/>
    <col min="2" max="16384" width="14.625" style="3092"/>
  </cols>
  <sheetData>
    <row r="1" spans="1:10" ht="16.5">
      <c r="A1" s="3091" t="s">
        <v>2557</v>
      </c>
      <c r="B1" s="3091">
        <f>SUM(B14:B23)</f>
        <v>51575.14</v>
      </c>
      <c r="C1" s="3100"/>
      <c r="D1" s="3100"/>
      <c r="E1" s="3100"/>
      <c r="F1" s="3100"/>
      <c r="G1" s="3101"/>
      <c r="H1" s="3101"/>
      <c r="I1" s="3101"/>
      <c r="J1" s="3101"/>
    </row>
    <row r="2" spans="1:10" ht="16.5">
      <c r="A2" s="3091" t="s">
        <v>2558</v>
      </c>
      <c r="B2" s="3091">
        <f>SUM(C14:C23)</f>
        <v>97473.98</v>
      </c>
      <c r="C2" s="3100"/>
      <c r="D2" s="3100"/>
      <c r="E2" s="3100"/>
      <c r="F2" s="3100"/>
      <c r="G2" s="3101"/>
      <c r="H2" s="3101"/>
      <c r="I2" s="3101"/>
      <c r="J2" s="3101"/>
    </row>
    <row r="3" spans="1:10" ht="16.5">
      <c r="A3" s="3091" t="s">
        <v>2559</v>
      </c>
      <c r="B3" s="3093">
        <f>项目基本情况!D3</f>
        <v>44735</v>
      </c>
      <c r="C3" s="3100"/>
      <c r="D3" s="3100"/>
      <c r="E3" s="3100"/>
      <c r="F3" s="3100"/>
      <c r="G3" s="3101"/>
      <c r="H3" s="3101"/>
      <c r="I3" s="3101"/>
      <c r="J3" s="3101"/>
    </row>
    <row r="4" spans="1:10" ht="33">
      <c r="A4" s="3091" t="s">
        <v>2560</v>
      </c>
      <c r="B4" s="3091" t="s">
        <v>2561</v>
      </c>
      <c r="C4" s="3091" t="s">
        <v>2562</v>
      </c>
      <c r="D4" s="3091" t="s">
        <v>2563</v>
      </c>
      <c r="E4" s="3100"/>
      <c r="F4" s="3100"/>
      <c r="G4" s="3101"/>
      <c r="H4" s="3101"/>
      <c r="I4" s="3101"/>
      <c r="J4" s="3101"/>
    </row>
    <row r="5" spans="1:10" ht="16.5">
      <c r="A5" s="3091" t="s">
        <v>2564</v>
      </c>
      <c r="B5" s="3091">
        <f ca="1">SUM(D14:D23)</f>
        <v>45527</v>
      </c>
      <c r="C5" s="3091">
        <f ca="1">ROUND(B5*10000/$B$1,0)</f>
        <v>8827</v>
      </c>
      <c r="D5" s="3091">
        <f ca="1">ROUND(B5*10000/$B$2,0)</f>
        <v>4671</v>
      </c>
      <c r="E5" s="3100"/>
      <c r="F5" s="3100"/>
      <c r="G5" s="3101"/>
      <c r="H5" s="3101"/>
      <c r="I5" s="3101"/>
      <c r="J5" s="3101"/>
    </row>
    <row r="6" spans="1:10" ht="16.5">
      <c r="A6" s="3091" t="s">
        <v>2565</v>
      </c>
      <c r="B6" s="3091">
        <f ca="1">SUM(G14:G23)</f>
        <v>45527</v>
      </c>
      <c r="C6" s="3091">
        <f t="shared" ref="C6:C8" ca="1" si="0">ROUND(B6*10000/$B$1,0)</f>
        <v>8827</v>
      </c>
      <c r="D6" s="3091">
        <f t="shared" ref="D6:D8" ca="1" si="1">ROUND(B6*10000/$B$2,0)</f>
        <v>4671</v>
      </c>
      <c r="E6" s="3100"/>
      <c r="F6" s="3100"/>
      <c r="G6" s="3101"/>
      <c r="H6" s="3101"/>
      <c r="I6" s="3101"/>
      <c r="J6" s="3101"/>
    </row>
    <row r="7" spans="1:10" ht="16.5">
      <c r="A7" s="3091" t="s">
        <v>2566</v>
      </c>
      <c r="B7" s="3091">
        <f>SUM(H14:H23)</f>
        <v>0</v>
      </c>
      <c r="C7" s="3091">
        <f t="shared" si="0"/>
        <v>0</v>
      </c>
      <c r="D7" s="3091">
        <f t="shared" si="1"/>
        <v>0</v>
      </c>
      <c r="E7" s="3100"/>
      <c r="F7" s="3100"/>
      <c r="G7" s="3101"/>
      <c r="H7" s="3101"/>
      <c r="I7" s="3101"/>
      <c r="J7" s="3101"/>
    </row>
    <row r="8" spans="1:10" ht="16.5">
      <c r="A8" s="3091" t="s">
        <v>2567</v>
      </c>
      <c r="B8" s="3091">
        <f ca="1">SUM(I14:I23)</f>
        <v>41676</v>
      </c>
      <c r="C8" s="3091">
        <f t="shared" ca="1" si="0"/>
        <v>8081</v>
      </c>
      <c r="D8" s="3091">
        <f t="shared" ca="1" si="1"/>
        <v>4276</v>
      </c>
      <c r="E8" s="3100"/>
      <c r="F8" s="3100"/>
      <c r="G8" s="3101"/>
      <c r="H8" s="3101"/>
      <c r="I8" s="3101"/>
      <c r="J8" s="3101"/>
    </row>
    <row r="9" spans="1:10" ht="16.5">
      <c r="A9" s="3091" t="s">
        <v>2568</v>
      </c>
      <c r="B9" s="3099"/>
      <c r="C9" s="3100"/>
      <c r="D9" s="3100"/>
      <c r="E9" s="3100"/>
      <c r="F9" s="3100"/>
      <c r="G9" s="3101"/>
      <c r="H9" s="3101"/>
      <c r="I9" s="3101"/>
      <c r="J9" s="3101"/>
    </row>
    <row r="10" spans="1:10" ht="16.5">
      <c r="A10" s="3091" t="s">
        <v>2569</v>
      </c>
      <c r="B10" s="3099"/>
      <c r="C10" s="3100"/>
      <c r="D10" s="3100"/>
      <c r="E10" s="3100"/>
      <c r="F10" s="3100"/>
      <c r="G10" s="3101"/>
      <c r="H10" s="3101"/>
      <c r="I10" s="3101"/>
      <c r="J10" s="3101"/>
    </row>
    <row r="11" spans="1:10" ht="16.5">
      <c r="A11" s="3091" t="s">
        <v>2586</v>
      </c>
      <c r="B11" s="3099"/>
      <c r="C11" s="3100"/>
      <c r="D11" s="3100"/>
      <c r="E11" s="3100"/>
      <c r="F11" s="3100"/>
      <c r="G11" s="3101"/>
      <c r="H11" s="3101"/>
      <c r="I11" s="3101"/>
      <c r="J11" s="3101"/>
    </row>
    <row r="12" spans="1:10" ht="16.5">
      <c r="A12" s="3100"/>
      <c r="B12" s="3100"/>
      <c r="C12" s="3100"/>
      <c r="D12" s="3100"/>
      <c r="E12" s="3100"/>
      <c r="F12" s="3100"/>
      <c r="G12" s="3101"/>
      <c r="H12" s="3101"/>
      <c r="I12" s="3101"/>
      <c r="J12" s="3101"/>
    </row>
    <row r="13" spans="1:10" ht="33">
      <c r="A13" s="3094" t="s">
        <v>2585</v>
      </c>
      <c r="B13" s="3095" t="s">
        <v>2557</v>
      </c>
      <c r="C13" s="3095" t="s">
        <v>2558</v>
      </c>
      <c r="D13" s="3095" t="s">
        <v>2570</v>
      </c>
      <c r="E13" s="3091" t="s">
        <v>2584</v>
      </c>
      <c r="F13" s="3091" t="s">
        <v>2563</v>
      </c>
      <c r="G13" s="3095" t="s">
        <v>2571</v>
      </c>
      <c r="H13" s="3095" t="s">
        <v>2572</v>
      </c>
      <c r="I13" s="3095" t="s">
        <v>2573</v>
      </c>
      <c r="J13" s="3101"/>
    </row>
    <row r="14" spans="1:10" ht="16.5">
      <c r="A14" s="3096" t="s">
        <v>2583</v>
      </c>
      <c r="B14" s="3097">
        <f>结果表!L38</f>
        <v>51575.14</v>
      </c>
      <c r="C14" s="3097">
        <f>结果表!K38</f>
        <v>97473.98</v>
      </c>
      <c r="D14" s="3097">
        <f ca="1">结果表!C42</f>
        <v>45527</v>
      </c>
      <c r="E14" s="3097">
        <f ca="1">ROUND(D14*10000/B14,0)</f>
        <v>8827</v>
      </c>
      <c r="F14" s="3097">
        <f ca="1">ROUND(D14*10000/C14,0)</f>
        <v>4671</v>
      </c>
      <c r="G14" s="3097">
        <f ca="1">结果表!C44</f>
        <v>45527</v>
      </c>
      <c r="H14" s="3097" t="str">
        <f>结果表!C45</f>
        <v>——</v>
      </c>
      <c r="I14" s="3097">
        <f ca="1">结果表!O41</f>
        <v>41676</v>
      </c>
      <c r="J14" s="3101"/>
    </row>
    <row r="15" spans="1:10" ht="16.5">
      <c r="A15" s="3096" t="s">
        <v>2574</v>
      </c>
      <c r="B15" s="3098"/>
      <c r="C15" s="3098"/>
      <c r="D15" s="3098"/>
      <c r="E15" s="3097" t="e">
        <f t="shared" ref="E15:E23" si="2">ROUND(D15*10000/B15,0)</f>
        <v>#DIV/0!</v>
      </c>
      <c r="F15" s="3097" t="e">
        <f t="shared" ref="F15:F23" si="3">ROUND(D15*10000/C15,0)</f>
        <v>#DIV/0!</v>
      </c>
      <c r="G15" s="2673">
        <f>D15</f>
        <v>0</v>
      </c>
      <c r="H15" s="2673"/>
      <c r="I15" s="3098"/>
      <c r="J15" s="3101"/>
    </row>
    <row r="16" spans="1:10" ht="16.5">
      <c r="A16" s="3096" t="s">
        <v>2575</v>
      </c>
      <c r="B16" s="3098"/>
      <c r="C16" s="3098"/>
      <c r="D16" s="3098"/>
      <c r="E16" s="3097" t="e">
        <f t="shared" si="2"/>
        <v>#DIV/0!</v>
      </c>
      <c r="F16" s="3097" t="e">
        <f t="shared" si="3"/>
        <v>#DIV/0!</v>
      </c>
      <c r="G16" s="2673"/>
      <c r="H16" s="2673"/>
      <c r="I16" s="3098"/>
      <c r="J16" s="3101"/>
    </row>
    <row r="17" spans="1:10" ht="16.5">
      <c r="A17" s="3096" t="s">
        <v>2576</v>
      </c>
      <c r="B17" s="3098"/>
      <c r="C17" s="3098"/>
      <c r="D17" s="3098"/>
      <c r="E17" s="3097" t="e">
        <f t="shared" si="2"/>
        <v>#DIV/0!</v>
      </c>
      <c r="F17" s="3097" t="e">
        <f t="shared" si="3"/>
        <v>#DIV/0!</v>
      </c>
      <c r="G17" s="2673"/>
      <c r="H17" s="2673"/>
      <c r="I17" s="3098"/>
      <c r="J17" s="3101"/>
    </row>
    <row r="18" spans="1:10" ht="16.5">
      <c r="A18" s="3096" t="s">
        <v>2577</v>
      </c>
      <c r="B18" s="3098"/>
      <c r="C18" s="3098"/>
      <c r="D18" s="3098"/>
      <c r="E18" s="3097" t="e">
        <f t="shared" si="2"/>
        <v>#DIV/0!</v>
      </c>
      <c r="F18" s="3097" t="e">
        <f t="shared" si="3"/>
        <v>#DIV/0!</v>
      </c>
      <c r="G18" s="3098"/>
      <c r="H18" s="3098"/>
      <c r="I18" s="3098"/>
      <c r="J18" s="3101"/>
    </row>
    <row r="19" spans="1:10" ht="16.5">
      <c r="A19" s="3096" t="s">
        <v>2578</v>
      </c>
      <c r="B19" s="3098"/>
      <c r="C19" s="3098"/>
      <c r="D19" s="3098"/>
      <c r="E19" s="3097" t="e">
        <f t="shared" si="2"/>
        <v>#DIV/0!</v>
      </c>
      <c r="F19" s="3097" t="e">
        <f t="shared" si="3"/>
        <v>#DIV/0!</v>
      </c>
      <c r="G19" s="3098"/>
      <c r="H19" s="3098"/>
      <c r="I19" s="3098"/>
      <c r="J19" s="3101"/>
    </row>
    <row r="20" spans="1:10" ht="16.5">
      <c r="A20" s="3096" t="s">
        <v>2579</v>
      </c>
      <c r="B20" s="3098"/>
      <c r="C20" s="3098"/>
      <c r="D20" s="3098"/>
      <c r="E20" s="3097" t="e">
        <f t="shared" si="2"/>
        <v>#DIV/0!</v>
      </c>
      <c r="F20" s="3097" t="e">
        <f t="shared" si="3"/>
        <v>#DIV/0!</v>
      </c>
      <c r="G20" s="3098"/>
      <c r="H20" s="3098"/>
      <c r="I20" s="3098"/>
      <c r="J20" s="3101"/>
    </row>
    <row r="21" spans="1:10" ht="16.5">
      <c r="A21" s="3096" t="s">
        <v>2580</v>
      </c>
      <c r="B21" s="3098"/>
      <c r="C21" s="3098"/>
      <c r="D21" s="3098"/>
      <c r="E21" s="3097" t="e">
        <f t="shared" si="2"/>
        <v>#DIV/0!</v>
      </c>
      <c r="F21" s="3097" t="e">
        <f t="shared" si="3"/>
        <v>#DIV/0!</v>
      </c>
      <c r="G21" s="3098"/>
      <c r="H21" s="3098"/>
      <c r="I21" s="3098"/>
      <c r="J21" s="3101"/>
    </row>
    <row r="22" spans="1:10" ht="16.5">
      <c r="A22" s="3096" t="s">
        <v>2581</v>
      </c>
      <c r="B22" s="3098"/>
      <c r="C22" s="3098"/>
      <c r="D22" s="3098"/>
      <c r="E22" s="3097" t="e">
        <f t="shared" si="2"/>
        <v>#DIV/0!</v>
      </c>
      <c r="F22" s="3097" t="e">
        <f t="shared" si="3"/>
        <v>#DIV/0!</v>
      </c>
      <c r="G22" s="3098"/>
      <c r="H22" s="3098"/>
      <c r="I22" s="3098"/>
      <c r="J22" s="3101"/>
    </row>
    <row r="23" spans="1:10" ht="16.5">
      <c r="A23" s="3096" t="s">
        <v>2582</v>
      </c>
      <c r="B23" s="3098"/>
      <c r="C23" s="3098"/>
      <c r="D23" s="3098"/>
      <c r="E23" s="3099" t="e">
        <f t="shared" si="2"/>
        <v>#DIV/0!</v>
      </c>
      <c r="F23" s="3099" t="e">
        <f t="shared" si="3"/>
        <v>#DIV/0!</v>
      </c>
      <c r="G23" s="3098"/>
      <c r="H23" s="3098"/>
      <c r="I23" s="3098"/>
      <c r="J23" s="3101"/>
    </row>
    <row r="24" spans="1:10">
      <c r="A24" s="3101"/>
      <c r="B24" s="3101"/>
      <c r="C24" s="3101"/>
      <c r="D24" s="3101"/>
      <c r="E24" s="3101"/>
      <c r="F24" s="3101"/>
      <c r="G24" s="3101"/>
      <c r="H24" s="3101"/>
      <c r="I24" s="3101"/>
      <c r="J24" s="3101"/>
    </row>
    <row r="25" spans="1:10">
      <c r="A25" s="3101"/>
      <c r="B25" s="3101"/>
      <c r="C25" s="3101"/>
      <c r="D25" s="3101"/>
      <c r="E25" s="3101"/>
      <c r="F25" s="3101"/>
      <c r="G25" s="3101"/>
      <c r="H25" s="3101"/>
      <c r="I25" s="3101"/>
      <c r="J25" s="3101"/>
    </row>
    <row r="26" spans="1:10">
      <c r="A26" s="3101"/>
      <c r="B26" s="3101"/>
      <c r="C26" s="3101"/>
      <c r="D26" s="3101"/>
      <c r="E26" s="3101"/>
      <c r="F26" s="3101"/>
      <c r="G26" s="3101"/>
      <c r="H26" s="3101"/>
      <c r="I26" s="3101"/>
      <c r="J26" s="3101"/>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0" zoomScaleNormal="100" zoomScaleSheetLayoutView="100" zoomScalePageLayoutView="80" workbookViewId="0">
      <selection activeCell="N24" sqref="N24"/>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03" t="str">
        <f>项目基本情况!K2</f>
        <v>海南省海口市新埠岛出让国有建设用地使用权</v>
      </c>
      <c r="B2" s="3604"/>
      <c r="C2" s="3605"/>
      <c r="D2" s="3605"/>
      <c r="E2" s="3605"/>
      <c r="F2" s="3605"/>
      <c r="G2" s="3604"/>
      <c r="H2" s="3604"/>
      <c r="I2" s="3606"/>
      <c r="J2" s="1865"/>
      <c r="K2" s="1864"/>
      <c r="L2" s="1864"/>
      <c r="M2" s="1864"/>
      <c r="N2" s="1864"/>
      <c r="O2" s="1864"/>
      <c r="P2" s="1864"/>
      <c r="Q2" s="1864"/>
      <c r="R2" s="1864"/>
      <c r="S2" s="1864"/>
      <c r="T2" s="1864"/>
      <c r="U2" s="1864"/>
      <c r="V2" s="1864"/>
    </row>
    <row r="3" spans="1:22" ht="14.25">
      <c r="A3" s="3614" t="s">
        <v>298</v>
      </c>
      <c r="B3" s="3615"/>
      <c r="C3" s="3615"/>
      <c r="D3" s="3615"/>
      <c r="E3" s="3615"/>
      <c r="F3" s="3615"/>
      <c r="G3" s="3615"/>
      <c r="H3" s="3615"/>
      <c r="I3" s="3615"/>
      <c r="J3" s="1865"/>
      <c r="K3" s="1864"/>
      <c r="L3" s="1864"/>
      <c r="M3" s="1864"/>
      <c r="N3" s="1864"/>
      <c r="O3" s="1864"/>
      <c r="P3" s="1864"/>
      <c r="Q3" s="1864"/>
      <c r="R3" s="1864"/>
      <c r="S3" s="1864"/>
      <c r="T3" s="1864"/>
      <c r="U3" s="1864"/>
      <c r="V3" s="1864"/>
    </row>
    <row r="4" spans="1:22" ht="14.25">
      <c r="A4" s="255" t="s">
        <v>299</v>
      </c>
      <c r="B4" s="256" t="s">
        <v>300</v>
      </c>
      <c r="C4" s="257" t="s">
        <v>4197</v>
      </c>
      <c r="D4" s="257" t="s">
        <v>4198</v>
      </c>
      <c r="E4" s="3578" t="s">
        <v>301</v>
      </c>
      <c r="F4" s="3620"/>
      <c r="G4" s="3620"/>
      <c r="H4" s="3620"/>
      <c r="I4" s="3579"/>
      <c r="J4" s="1865"/>
      <c r="K4" s="1864"/>
      <c r="L4" s="3102"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07" t="s">
        <v>302</v>
      </c>
      <c r="B5" s="3608">
        <v>25</v>
      </c>
      <c r="C5" s="3616"/>
      <c r="D5" s="3619"/>
      <c r="E5" s="258" t="s">
        <v>303</v>
      </c>
      <c r="F5" s="259"/>
      <c r="G5" s="259"/>
      <c r="H5" s="259"/>
      <c r="I5" s="260"/>
      <c r="J5" s="1865"/>
      <c r="K5" s="1864"/>
      <c r="L5" s="1864"/>
      <c r="M5" s="1864"/>
      <c r="N5" s="1864"/>
      <c r="O5" s="1864"/>
      <c r="P5" s="1864"/>
      <c r="Q5" s="1864"/>
      <c r="R5" s="1864"/>
      <c r="S5" s="1864"/>
      <c r="T5" s="1864"/>
      <c r="U5" s="1864"/>
      <c r="V5" s="1864"/>
    </row>
    <row r="6" spans="1:22" ht="14.25">
      <c r="A6" s="3607"/>
      <c r="B6" s="3608"/>
      <c r="C6" s="3617"/>
      <c r="D6" s="3619"/>
      <c r="E6" s="258" t="s">
        <v>304</v>
      </c>
      <c r="F6" s="259"/>
      <c r="G6" s="259"/>
      <c r="H6" s="259"/>
      <c r="I6" s="260"/>
      <c r="J6" s="1865"/>
      <c r="K6" s="1864"/>
      <c r="L6" s="1864"/>
      <c r="M6" s="1864"/>
      <c r="N6" s="1864"/>
      <c r="O6" s="1864"/>
      <c r="P6" s="1864"/>
      <c r="Q6" s="1864"/>
      <c r="R6" s="1864"/>
      <c r="S6" s="1864"/>
      <c r="T6" s="1864"/>
      <c r="U6" s="1864"/>
      <c r="V6" s="1864"/>
    </row>
    <row r="7" spans="1:22" ht="14.25">
      <c r="A7" s="3607"/>
      <c r="B7" s="3608"/>
      <c r="C7" s="3618"/>
      <c r="D7" s="3619"/>
      <c r="E7" s="258" t="s">
        <v>305</v>
      </c>
      <c r="F7" s="259"/>
      <c r="G7" s="259"/>
      <c r="H7" s="259"/>
      <c r="I7" s="260"/>
      <c r="J7" s="1865"/>
      <c r="K7" s="1864"/>
      <c r="L7" s="1864"/>
      <c r="M7" s="1864"/>
      <c r="N7" s="1864"/>
      <c r="O7" s="1864"/>
      <c r="P7" s="1864"/>
      <c r="Q7" s="1864"/>
      <c r="R7" s="1864"/>
      <c r="S7" s="1864"/>
      <c r="T7" s="1864"/>
      <c r="U7" s="1864"/>
      <c r="V7" s="1864"/>
    </row>
    <row r="8" spans="1:22" ht="14.25">
      <c r="A8" s="3607" t="s">
        <v>306</v>
      </c>
      <c r="B8" s="3608">
        <v>15</v>
      </c>
      <c r="C8" s="3616"/>
      <c r="D8" s="3619"/>
      <c r="E8" s="258" t="s">
        <v>307</v>
      </c>
      <c r="F8" s="259"/>
      <c r="G8" s="259"/>
      <c r="H8" s="259"/>
      <c r="I8" s="260"/>
      <c r="J8" s="1865"/>
      <c r="K8" s="1864"/>
      <c r="L8" s="1864"/>
      <c r="M8" s="1864"/>
      <c r="N8" s="1864"/>
      <c r="O8" s="1864"/>
      <c r="P8" s="1864"/>
      <c r="Q8" s="1864"/>
      <c r="R8" s="1864"/>
      <c r="S8" s="1864"/>
      <c r="T8" s="1864"/>
      <c r="U8" s="1864"/>
      <c r="V8" s="1864"/>
    </row>
    <row r="9" spans="1:22" ht="14.25">
      <c r="A9" s="3607"/>
      <c r="B9" s="3608"/>
      <c r="C9" s="3618"/>
      <c r="D9" s="3619"/>
      <c r="E9" s="258" t="s">
        <v>308</v>
      </c>
      <c r="F9" s="259"/>
      <c r="G9" s="259"/>
      <c r="H9" s="259"/>
      <c r="I9" s="260"/>
      <c r="J9" s="1865"/>
      <c r="K9" s="1864"/>
      <c r="L9" s="1864"/>
      <c r="M9" s="1864"/>
      <c r="N9" s="1864"/>
      <c r="O9" s="1864"/>
      <c r="P9" s="1864"/>
      <c r="Q9" s="1864"/>
      <c r="R9" s="1864"/>
      <c r="S9" s="1864"/>
      <c r="T9" s="1864"/>
      <c r="U9" s="1864"/>
      <c r="V9" s="1864"/>
    </row>
    <row r="10" spans="1:22" ht="14.25">
      <c r="A10" s="3607" t="s">
        <v>309</v>
      </c>
      <c r="B10" s="3608">
        <v>15</v>
      </c>
      <c r="C10" s="3616"/>
      <c r="D10" s="3619"/>
      <c r="E10" s="258" t="s">
        <v>310</v>
      </c>
      <c r="F10" s="259"/>
      <c r="G10" s="259"/>
      <c r="H10" s="259"/>
      <c r="I10" s="260"/>
      <c r="J10" s="1865"/>
      <c r="K10" s="1864"/>
      <c r="L10" s="1864"/>
      <c r="M10" s="1864"/>
      <c r="N10" s="1864"/>
      <c r="O10" s="1864"/>
      <c r="P10" s="1864"/>
      <c r="Q10" s="1864"/>
      <c r="R10" s="1864"/>
      <c r="S10" s="1864"/>
      <c r="T10" s="1864"/>
      <c r="U10" s="1864"/>
      <c r="V10" s="1864"/>
    </row>
    <row r="11" spans="1:22" ht="14.25">
      <c r="A11" s="3607"/>
      <c r="B11" s="3608"/>
      <c r="C11" s="3618"/>
      <c r="D11" s="3619"/>
      <c r="E11" s="258" t="s">
        <v>311</v>
      </c>
      <c r="F11" s="259"/>
      <c r="G11" s="259"/>
      <c r="H11" s="259"/>
      <c r="I11" s="260"/>
      <c r="J11" s="1865"/>
      <c r="K11" s="1864"/>
      <c r="L11" s="1864"/>
      <c r="M11" s="1864"/>
      <c r="N11" s="1864"/>
      <c r="O11" s="1864"/>
      <c r="P11" s="1864"/>
      <c r="Q11" s="1864"/>
      <c r="R11" s="1864"/>
      <c r="S11" s="1864"/>
      <c r="T11" s="1864"/>
      <c r="U11" s="1864"/>
      <c r="V11" s="1864"/>
    </row>
    <row r="12" spans="1:22" ht="14.25">
      <c r="A12" s="3607" t="s">
        <v>312</v>
      </c>
      <c r="B12" s="3608">
        <v>15</v>
      </c>
      <c r="C12" s="3616"/>
      <c r="D12" s="3619"/>
      <c r="E12" s="258" t="s">
        <v>313</v>
      </c>
      <c r="F12" s="259"/>
      <c r="G12" s="259"/>
      <c r="H12" s="259"/>
      <c r="I12" s="260"/>
      <c r="J12" s="1865"/>
      <c r="K12" s="1864"/>
      <c r="L12" s="1864"/>
      <c r="M12" s="1864"/>
      <c r="N12" s="1864"/>
      <c r="O12" s="1864"/>
      <c r="P12" s="1864"/>
      <c r="Q12" s="1864"/>
      <c r="R12" s="1864"/>
      <c r="S12" s="1864"/>
      <c r="T12" s="1864"/>
      <c r="U12" s="1864"/>
      <c r="V12" s="1864"/>
    </row>
    <row r="13" spans="1:22" ht="14.25">
      <c r="A13" s="3607"/>
      <c r="B13" s="3608"/>
      <c r="C13" s="3618"/>
      <c r="D13" s="3619"/>
      <c r="E13" s="258" t="s">
        <v>314</v>
      </c>
      <c r="F13" s="259"/>
      <c r="G13" s="259"/>
      <c r="H13" s="259"/>
      <c r="I13" s="260"/>
      <c r="J13" s="1865"/>
      <c r="K13" s="1864"/>
      <c r="L13" s="1864"/>
      <c r="M13" s="1864"/>
      <c r="N13" s="1864"/>
      <c r="O13" s="1864"/>
      <c r="P13" s="1864"/>
      <c r="Q13" s="1864"/>
      <c r="R13" s="1864"/>
      <c r="S13" s="1864"/>
      <c r="T13" s="1864"/>
      <c r="U13" s="1864"/>
      <c r="V13" s="1864"/>
    </row>
    <row r="14" spans="1:22" ht="14.25">
      <c r="A14" s="3607" t="s">
        <v>315</v>
      </c>
      <c r="B14" s="3608">
        <v>30</v>
      </c>
      <c r="C14" s="3616">
        <v>5</v>
      </c>
      <c r="D14" s="3619">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607"/>
      <c r="B15" s="3608"/>
      <c r="C15" s="3617"/>
      <c r="D15" s="3619"/>
      <c r="E15" s="258" t="s">
        <v>317</v>
      </c>
      <c r="F15" s="259"/>
      <c r="G15" s="259"/>
      <c r="H15" s="259"/>
      <c r="I15" s="260"/>
      <c r="J15" s="1865"/>
      <c r="K15" s="1864"/>
      <c r="L15" s="1864"/>
      <c r="M15" s="1864"/>
      <c r="N15" s="1864"/>
      <c r="O15" s="1864"/>
      <c r="P15" s="1864"/>
      <c r="Q15" s="1864"/>
      <c r="R15" s="1864"/>
      <c r="S15" s="1864"/>
      <c r="T15" s="1864"/>
      <c r="U15" s="1864"/>
      <c r="V15" s="1864"/>
    </row>
    <row r="16" spans="1:22" ht="14.25">
      <c r="A16" s="3607"/>
      <c r="B16" s="3608"/>
      <c r="C16" s="3618"/>
      <c r="D16" s="3619"/>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2"/>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5"/>
      <c r="C18" s="264">
        <f>ROUND(C17/SUM(C17:D17),2)</f>
        <v>0.5</v>
      </c>
      <c r="D18" s="264">
        <f>1-C18</f>
        <v>0.5</v>
      </c>
      <c r="E18" s="3621" t="s">
        <v>2690</v>
      </c>
      <c r="F18" s="3622"/>
      <c r="G18" s="3622"/>
      <c r="H18" s="3622"/>
      <c r="I18" s="3622"/>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41902</v>
      </c>
      <c r="D19" s="268">
        <f ca="1">SUMIF(INDIRECT("'"&amp;D4&amp;"'"&amp;"!A:A"),结果表!B19,INDIRECT("'"&amp;D4&amp;"'"&amp;"!B:B"))</f>
        <v>49152</v>
      </c>
      <c r="E19" s="265" t="s">
        <v>323</v>
      </c>
      <c r="F19" s="266" t="s">
        <v>322</v>
      </c>
      <c r="G19" s="269">
        <f ca="1">ROUND(C19*$C$18+D19*$D$18,0)</f>
        <v>45527</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8124</v>
      </c>
      <c r="D20" s="274">
        <f ca="1">SUMIF(INDIRECT("'"&amp;D4&amp;"'"&amp;"!A:A"),结果表!B20,INDIRECT("'"&amp;D4&amp;"'"&amp;"!B:B"))</f>
        <v>9530</v>
      </c>
      <c r="E20" s="271"/>
      <c r="F20" s="272" t="s">
        <v>325</v>
      </c>
      <c r="G20" s="275">
        <f ca="1">ROUND(C20*$C$18+D20*$D$18,0)</f>
        <v>8827</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4299</v>
      </c>
      <c r="D21" s="149">
        <f ca="1">SUMIF(INDIRECT("'"&amp;D4&amp;"'"&amp;"!A:A"),结果表!B21,INDIRECT("'"&amp;D4&amp;"'"&amp;"!B:B"))</f>
        <v>5043</v>
      </c>
      <c r="E21" s="271"/>
      <c r="F21" s="277" t="s">
        <v>327</v>
      </c>
      <c r="G21" s="279">
        <f ca="1">ROUND(C21*$C$18+D21*$D$18,0)</f>
        <v>4671</v>
      </c>
      <c r="H21" s="1167" t="s">
        <v>326</v>
      </c>
      <c r="I21" s="308"/>
      <c r="J21" s="1864"/>
      <c r="K21" s="1864"/>
      <c r="L21" s="1864"/>
      <c r="M21" s="1864"/>
      <c r="N21" s="1864"/>
      <c r="O21" s="1864"/>
      <c r="P21" s="1864"/>
      <c r="Q21" s="1864"/>
      <c r="R21" s="1864"/>
      <c r="S21" s="1864"/>
      <c r="T21" s="1864"/>
      <c r="U21" s="1864"/>
      <c r="V21" s="1864"/>
    </row>
    <row r="22" spans="1:26" ht="15.75" thickBot="1">
      <c r="A22" s="126" t="s">
        <v>328</v>
      </c>
      <c r="B22" s="1168"/>
      <c r="C22" s="1169"/>
      <c r="D22" s="280">
        <f ca="1">IF(C19&lt;D19,D19/C19-1,C19/D19-1)</f>
        <v>0.17302276740967026</v>
      </c>
      <c r="E22" s="281"/>
      <c r="F22" s="282"/>
      <c r="G22" s="283">
        <f ca="1">ROUND(G19/('数据-汇总表'!D3/666.67),0)</f>
        <v>311</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580"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627"/>
      <c r="B25" s="1237" t="s">
        <v>331</v>
      </c>
      <c r="C25" s="287">
        <f>IF(B30=0,0,C30)</f>
        <v>0</v>
      </c>
      <c r="D25" s="288"/>
      <c r="E25" s="308"/>
      <c r="F25" s="308"/>
      <c r="G25" s="308"/>
      <c r="H25" s="308"/>
      <c r="I25" s="308"/>
      <c r="J25" s="1864"/>
      <c r="K25" s="1171" t="str">
        <f ca="1">项目基本情况!B16&amp;"国有建设用地使用权价格："&amp;O38&amp;"万元"</f>
        <v>出让国有建设用地使用权价格：45527万元</v>
      </c>
      <c r="L25" s="1172"/>
      <c r="M25" s="1172"/>
      <c r="N25" s="1172"/>
      <c r="O25" s="1173"/>
      <c r="P25" s="1864"/>
      <c r="Q25" s="1864"/>
      <c r="R25" s="1864"/>
      <c r="S25" s="1864"/>
      <c r="T25" s="1864"/>
      <c r="U25" s="1864"/>
      <c r="V25" s="1864"/>
    </row>
    <row r="26" spans="1:26" s="1170" customFormat="1" ht="18">
      <c r="A26" s="290" t="s">
        <v>332</v>
      </c>
      <c r="B26" s="291" t="s">
        <v>333</v>
      </c>
      <c r="C26" s="291" t="s">
        <v>334</v>
      </c>
      <c r="D26" s="292" t="s">
        <v>335</v>
      </c>
      <c r="E26" s="308"/>
      <c r="F26" s="308"/>
      <c r="G26" s="308"/>
      <c r="H26" s="308"/>
      <c r="I26" s="308"/>
      <c r="J26" s="1864"/>
      <c r="K26" s="1174" t="str">
        <f ca="1">"大写金额：人民币"&amp;NUMBERSTRING(INT(O38*10000),2)&amp;"元整"</f>
        <v>大写金额：人民币肆亿伍仟伍佰贰拾柒万元整</v>
      </c>
      <c r="L26" s="1168"/>
      <c r="M26" s="1168"/>
      <c r="N26" s="1168"/>
      <c r="O26" s="1167"/>
      <c r="P26" s="1864"/>
      <c r="Q26" s="1864"/>
      <c r="R26" s="1864"/>
      <c r="S26" s="1864"/>
      <c r="T26" s="1864"/>
      <c r="U26" s="1864"/>
      <c r="V26" s="1864"/>
      <c r="W26" s="289"/>
      <c r="X26" s="289"/>
      <c r="Y26" s="289"/>
      <c r="Z26" s="289"/>
    </row>
    <row r="27" spans="1:26" ht="18">
      <c r="A27" s="290"/>
      <c r="B27" s="291"/>
      <c r="C27" s="291"/>
      <c r="D27" s="292">
        <f ca="1">G19/'数据-汇总表'!F31*10000</f>
        <v>10382.594040732645</v>
      </c>
      <c r="E27" s="308"/>
      <c r="F27" s="308"/>
      <c r="G27" s="308"/>
      <c r="H27" s="308"/>
      <c r="I27" s="308"/>
      <c r="J27" s="1864"/>
      <c r="K27" s="1174" t="str">
        <f ca="1">"单位面积地价："&amp;M38&amp;"元/平方米"</f>
        <v>单位面积地价：4671元/平方米</v>
      </c>
      <c r="L27" s="1168"/>
      <c r="M27" s="1168"/>
      <c r="N27" s="1168"/>
      <c r="O27" s="1167"/>
      <c r="P27" s="1864"/>
      <c r="Q27" s="1864"/>
      <c r="R27" s="1864"/>
      <c r="S27" s="1864"/>
      <c r="T27" s="1864"/>
      <c r="U27" s="1864"/>
      <c r="V27" s="1864"/>
    </row>
    <row r="28" spans="1:26" ht="18.75" customHeight="1">
      <c r="A28" s="290"/>
      <c r="B28" s="291"/>
      <c r="C28" s="291"/>
      <c r="D28" s="292">
        <f ca="1">G19/'剩余法-待开发'!C6</f>
        <v>0.47053899023306289</v>
      </c>
      <c r="E28" s="308"/>
      <c r="F28" s="308"/>
      <c r="G28" s="308"/>
      <c r="H28" s="308"/>
      <c r="I28" s="308"/>
      <c r="J28" s="1864"/>
      <c r="K28" s="1174" t="str">
        <f ca="1">"楼面地价："&amp;N38&amp;"元/平方米"</f>
        <v>楼面地价：8827元/平方米</v>
      </c>
      <c r="L28" s="1168"/>
      <c r="M28" s="1168"/>
      <c r="N28" s="1168"/>
      <c r="O28" s="1167"/>
      <c r="P28" s="1864"/>
      <c r="V28" s="1864"/>
    </row>
    <row r="29" spans="1:26" ht="18">
      <c r="A29" s="290"/>
      <c r="B29" s="291"/>
      <c r="C29" s="291"/>
      <c r="D29" s="292"/>
      <c r="E29" s="308"/>
      <c r="F29" s="308"/>
      <c r="G29" s="308"/>
      <c r="H29" s="308"/>
      <c r="I29" s="308"/>
      <c r="J29" s="1864"/>
      <c r="K29" s="1174" t="str">
        <f ca="1">IF(OR(项目基本情况!E8="抵押价格",项目基本情况!E8="已注销及未注销"),"抵押价格："&amp;O39&amp;"万元","——")</f>
        <v>抵押价格：45527万元</v>
      </c>
      <c r="L29" s="1168"/>
      <c r="M29" s="1168"/>
      <c r="N29" s="1168"/>
      <c r="O29" s="1167"/>
      <c r="P29" s="1864"/>
      <c r="V29" s="1864"/>
    </row>
    <row r="30" spans="1:26" ht="18.75" thickBot="1">
      <c r="A30" s="2716" t="s">
        <v>336</v>
      </c>
      <c r="B30" s="306"/>
      <c r="C30" s="306"/>
      <c r="D30" s="307"/>
      <c r="E30" s="2909" t="s">
        <v>2691</v>
      </c>
      <c r="F30" s="308"/>
      <c r="G30" s="308"/>
      <c r="H30" s="308"/>
      <c r="I30" s="308"/>
      <c r="J30" s="1864"/>
      <c r="K30" s="1174" t="str">
        <f ca="1">IF(K29="——","——","大写金额：人民币"&amp;NUMBERSTRING(INT(O39*10000),2)&amp;"元整")</f>
        <v>大写金额：人民币肆亿伍仟伍佰贰拾柒万元整</v>
      </c>
      <c r="L30" s="1168"/>
      <c r="M30" s="1168"/>
      <c r="N30" s="1168"/>
      <c r="O30" s="1167"/>
      <c r="P30" s="1864"/>
      <c r="V30" s="1864"/>
    </row>
    <row r="31" spans="1:26" ht="24" customHeight="1" thickBot="1">
      <c r="A31" s="3623" t="s">
        <v>2692</v>
      </c>
      <c r="B31" s="3623"/>
      <c r="C31" s="3623"/>
      <c r="D31" s="3623"/>
      <c r="E31" s="3623"/>
      <c r="F31" s="3623"/>
      <c r="G31" s="3623"/>
      <c r="H31" s="3623"/>
      <c r="I31" s="3623"/>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10" t="s">
        <v>1488</v>
      </c>
      <c r="C32" s="263">
        <f ca="1">G19-C24</f>
        <v>45527</v>
      </c>
      <c r="D32" s="2911"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8827</v>
      </c>
      <c r="D33" s="1288" t="s">
        <v>1491</v>
      </c>
      <c r="E33" s="3580" t="s">
        <v>338</v>
      </c>
      <c r="F33" s="293" t="s">
        <v>339</v>
      </c>
      <c r="G33" s="294"/>
      <c r="H33" s="949"/>
      <c r="I33" s="1175"/>
      <c r="J33" s="1864"/>
      <c r="K33" s="1174" t="str">
        <f ca="1">IF(项目基本情况!E9="——","——","抵押净值："&amp;C46&amp;"万元")</f>
        <v>抵押净值：41676万元</v>
      </c>
      <c r="L33" s="1168"/>
      <c r="M33" s="1168"/>
      <c r="N33" s="1168"/>
      <c r="O33" s="1167"/>
      <c r="P33" s="1864"/>
      <c r="V33" s="1864"/>
    </row>
    <row r="34" spans="1:26" s="1170" customFormat="1" ht="18.75" thickBot="1">
      <c r="A34" s="297"/>
      <c r="B34" s="1289" t="s">
        <v>1492</v>
      </c>
      <c r="C34" s="261">
        <f ca="1">ROUND(C32*10000/'数据-汇总表'!D3,0)</f>
        <v>4671</v>
      </c>
      <c r="D34" s="1290" t="s">
        <v>1491</v>
      </c>
      <c r="E34" s="3581"/>
      <c r="F34" s="127" t="s">
        <v>341</v>
      </c>
      <c r="G34" s="296"/>
      <c r="H34" s="105"/>
      <c r="I34" s="308"/>
      <c r="J34" s="1864"/>
      <c r="K34" s="1177" t="str">
        <f ca="1">IF(K33="——","——","大写金额：人民币"&amp;NUMBERSTRING(INT(O41*10000),2)&amp;"元整")</f>
        <v>大写金额：人民币肆亿壹仟陆佰柒拾陆万元整</v>
      </c>
      <c r="L34" s="1178"/>
      <c r="M34" s="1178"/>
      <c r="N34" s="1178"/>
      <c r="O34" s="1179"/>
      <c r="P34" s="1864"/>
      <c r="Q34" s="289"/>
      <c r="R34" s="289"/>
      <c r="S34" s="289"/>
      <c r="T34" s="289"/>
      <c r="U34" s="289"/>
      <c r="V34" s="1864"/>
      <c r="W34" s="289"/>
      <c r="X34" s="289"/>
      <c r="Y34" s="289"/>
      <c r="Z34" s="289"/>
    </row>
    <row r="35" spans="1:26" ht="15.75" thickBot="1">
      <c r="A35" s="281"/>
      <c r="B35" s="1291"/>
      <c r="C35" s="1292">
        <f ca="1">ROUND(C32/('数据-汇总表'!D3/666.67),0)</f>
        <v>311</v>
      </c>
      <c r="D35" s="1293" t="s">
        <v>1493</v>
      </c>
      <c r="E35" s="3582"/>
      <c r="F35" s="298" t="s">
        <v>342</v>
      </c>
      <c r="G35" s="951"/>
      <c r="H35" s="950" t="s">
        <v>343</v>
      </c>
      <c r="I35" s="308"/>
      <c r="J35" s="1864"/>
      <c r="K35" s="3586" t="s">
        <v>350</v>
      </c>
      <c r="L35" s="3586" t="s">
        <v>351</v>
      </c>
      <c r="M35" s="1180" t="s">
        <v>352</v>
      </c>
      <c r="N35" s="3586" t="s">
        <v>353</v>
      </c>
      <c r="O35" s="3586" t="s">
        <v>354</v>
      </c>
      <c r="P35" s="1864"/>
      <c r="V35" s="1864"/>
    </row>
    <row r="36" spans="1:26" ht="16.5" customHeight="1">
      <c r="A36" s="300" t="s">
        <v>344</v>
      </c>
      <c r="B36" s="301" t="s">
        <v>333</v>
      </c>
      <c r="C36" s="302" t="s">
        <v>345</v>
      </c>
      <c r="D36" s="302" t="s">
        <v>346</v>
      </c>
      <c r="E36" s="303" t="s">
        <v>347</v>
      </c>
      <c r="F36" s="308"/>
      <c r="G36" s="308"/>
      <c r="H36" s="308"/>
      <c r="I36" s="308"/>
      <c r="J36" s="1866"/>
      <c r="K36" s="3587"/>
      <c r="L36" s="3587"/>
      <c r="M36" s="1182" t="s">
        <v>355</v>
      </c>
      <c r="N36" s="3587"/>
      <c r="O36" s="3587"/>
      <c r="P36" s="1864"/>
      <c r="V36" s="1864"/>
    </row>
    <row r="37" spans="1:26" ht="16.5" customHeight="1" thickBot="1">
      <c r="A37" s="1176" t="s">
        <v>348</v>
      </c>
      <c r="B37" s="304"/>
      <c r="C37" s="291"/>
      <c r="D37" s="291"/>
      <c r="E37" s="292"/>
      <c r="F37" s="308"/>
      <c r="G37" s="308"/>
      <c r="H37" s="308"/>
      <c r="I37" s="308"/>
      <c r="J37" s="1866"/>
      <c r="K37" s="3588"/>
      <c r="L37" s="3588"/>
      <c r="M37" s="1183"/>
      <c r="N37" s="3588"/>
      <c r="O37" s="3588"/>
      <c r="P37" s="1864"/>
      <c r="V37" s="1864"/>
    </row>
    <row r="38" spans="1:26" ht="16.5" customHeight="1" thickBot="1">
      <c r="A38" s="1176" t="s">
        <v>349</v>
      </c>
      <c r="B38" s="304"/>
      <c r="C38" s="291"/>
      <c r="D38" s="291"/>
      <c r="E38" s="292"/>
      <c r="F38" s="308"/>
      <c r="G38" s="308"/>
      <c r="H38" s="308"/>
      <c r="I38" s="308"/>
      <c r="J38" s="1866"/>
      <c r="K38" s="1184">
        <f>'数据-汇总表'!D3</f>
        <v>97473.98</v>
      </c>
      <c r="L38" s="1185">
        <f>'数据-汇总表'!E3</f>
        <v>51575.14</v>
      </c>
      <c r="M38" s="1185">
        <f ca="1">C34</f>
        <v>4671</v>
      </c>
      <c r="N38" s="1185">
        <f ca="1">C33</f>
        <v>8827</v>
      </c>
      <c r="O38" s="1186">
        <f ca="1">C32</f>
        <v>45527</v>
      </c>
      <c r="P38" s="1864"/>
      <c r="V38" s="1864"/>
    </row>
    <row r="39" spans="1:26" ht="16.5" customHeight="1" thickBot="1">
      <c r="A39" s="1181"/>
      <c r="B39" s="305"/>
      <c r="C39" s="306"/>
      <c r="D39" s="306"/>
      <c r="E39" s="307"/>
      <c r="F39" s="308"/>
      <c r="G39" s="308"/>
      <c r="H39" s="308"/>
      <c r="I39" s="308"/>
      <c r="J39" s="1866"/>
      <c r="K39" s="3599" t="str">
        <f>MID(A44,3,LEN(A44)-2)</f>
        <v>抵押价格</v>
      </c>
      <c r="L39" s="3600"/>
      <c r="M39" s="3600"/>
      <c r="N39" s="3601"/>
      <c r="O39" s="1295">
        <f ca="1">C44</f>
        <v>45527</v>
      </c>
      <c r="P39" s="1864"/>
      <c r="V39" s="1864"/>
    </row>
    <row r="40" spans="1:26" ht="19.5" thickBot="1">
      <c r="A40" s="104" t="s">
        <v>852</v>
      </c>
      <c r="B40" s="308"/>
      <c r="C40" s="308"/>
      <c r="D40" s="308"/>
      <c r="E40" s="308"/>
      <c r="F40" s="308"/>
      <c r="G40" s="308"/>
      <c r="H40" s="308"/>
      <c r="I40" s="308"/>
      <c r="J40" s="1866"/>
      <c r="K40" s="3599" t="str">
        <f t="shared" ref="K40:K41" si="0">MID(A45,3,LEN(A45)-2)</f>
        <v/>
      </c>
      <c r="L40" s="3600"/>
      <c r="M40" s="3600"/>
      <c r="N40" s="3601"/>
      <c r="O40" s="1295" t="str">
        <f>C45</f>
        <v>——</v>
      </c>
      <c r="P40" s="1864"/>
      <c r="V40" s="1864"/>
    </row>
    <row r="41" spans="1:26" ht="16.5" thickBot="1">
      <c r="A41" s="309" t="s">
        <v>356</v>
      </c>
      <c r="B41" s="310"/>
      <c r="C41" s="311" t="s">
        <v>357</v>
      </c>
      <c r="D41" s="312" t="s">
        <v>358</v>
      </c>
      <c r="E41" s="312" t="s">
        <v>359</v>
      </c>
      <c r="F41" s="313" t="s">
        <v>360</v>
      </c>
      <c r="G41" s="308"/>
      <c r="H41" s="308"/>
      <c r="I41" s="308"/>
      <c r="J41" s="1866"/>
      <c r="K41" s="3599" t="str">
        <f t="shared" si="0"/>
        <v>抵押净值</v>
      </c>
      <c r="L41" s="3600"/>
      <c r="M41" s="3600"/>
      <c r="N41" s="3601"/>
      <c r="O41" s="1295">
        <f ca="1">C46</f>
        <v>41676</v>
      </c>
      <c r="P41" s="1864">
        <f>Q41/0.6</f>
        <v>41666.666666666672</v>
      </c>
      <c r="Q41" s="254">
        <v>25000</v>
      </c>
      <c r="V41" s="1864"/>
    </row>
    <row r="42" spans="1:26" ht="29.25">
      <c r="A42" s="3628" t="s">
        <v>1859</v>
      </c>
      <c r="B42" s="3629"/>
      <c r="C42" s="261">
        <f ca="1">C32</f>
        <v>45527</v>
      </c>
      <c r="D42" s="314">
        <f ca="1">C33</f>
        <v>8827</v>
      </c>
      <c r="E42" s="314">
        <f ca="1">C34</f>
        <v>4671</v>
      </c>
      <c r="F42" s="315">
        <f ca="1">C35</f>
        <v>311</v>
      </c>
      <c r="G42" s="308"/>
      <c r="H42" s="308"/>
      <c r="I42" s="316"/>
      <c r="J42" s="1866"/>
      <c r="K42" s="1187" t="s">
        <v>361</v>
      </c>
      <c r="L42" s="1883" t="s">
        <v>362</v>
      </c>
      <c r="M42" s="1188" t="s">
        <v>363</v>
      </c>
      <c r="N42" s="1884" t="s">
        <v>364</v>
      </c>
      <c r="O42" s="1885" t="s">
        <v>365</v>
      </c>
      <c r="P42" s="1864"/>
      <c r="V42" s="1864"/>
    </row>
    <row r="43" spans="1:26" ht="30">
      <c r="A43" s="3638" t="s">
        <v>2447</v>
      </c>
      <c r="B43" s="3639"/>
      <c r="C43" s="261">
        <f>IF(H33="正常操作",G33+G34+G35,G34+G35)</f>
        <v>0</v>
      </c>
      <c r="D43" s="314" t="s">
        <v>43</v>
      </c>
      <c r="E43" s="314" t="s">
        <v>44</v>
      </c>
      <c r="F43" s="315" t="s">
        <v>44</v>
      </c>
      <c r="G43" s="2504" t="s">
        <v>931</v>
      </c>
      <c r="H43" s="308"/>
      <c r="I43" s="316"/>
      <c r="J43" s="1866"/>
      <c r="K43" s="1189" t="str">
        <f>C4</f>
        <v>比较法-住宅、综合</v>
      </c>
      <c r="L43" s="1190">
        <f ca="1">IF(L42="估价结果/万元",C19,C20)</f>
        <v>41902</v>
      </c>
      <c r="M43" s="1191">
        <f>C18</f>
        <v>0.5</v>
      </c>
      <c r="N43" s="1192">
        <f ca="1">IF(N42="测算结果/万元",G19,G20)</f>
        <v>45527</v>
      </c>
      <c r="O43" s="1193">
        <f ca="1">IF(O42="最终结果/万元",C32,C33)</f>
        <v>45527</v>
      </c>
      <c r="P43" s="1864"/>
      <c r="V43" s="1864"/>
    </row>
    <row r="44" spans="1:26" ht="30.75" thickBot="1">
      <c r="A44" s="3628" t="str">
        <f>IF(OR(项目基本情况!E8="抵押价格",项目基本情况!E8="已注销及未注销"),"3.抵押价格","——")</f>
        <v>3.抵押价格</v>
      </c>
      <c r="B44" s="3629"/>
      <c r="C44" s="261">
        <f ca="1">IF(A44="——","——",C42-C43)</f>
        <v>45527</v>
      </c>
      <c r="D44" s="314">
        <f ca="1">ROUND(C44*10000/'数据-汇总表'!E3,0)</f>
        <v>8827</v>
      </c>
      <c r="E44" s="314">
        <f ca="1">ROUND(C44*10000/'数据-汇总表'!D3,0)</f>
        <v>4671</v>
      </c>
      <c r="F44" s="315">
        <f ca="1">ROUND(C44/('数据-汇总表'!D3/666.67),0)</f>
        <v>311</v>
      </c>
      <c r="G44" s="308"/>
      <c r="H44" s="308"/>
      <c r="I44" s="316"/>
      <c r="J44" s="1866"/>
      <c r="K44" s="1194" t="str">
        <f>D4</f>
        <v>剩余法-待开发</v>
      </c>
      <c r="L44" s="1195">
        <f ca="1">IF(L42="估价结果/万元",D19,D20)</f>
        <v>49152</v>
      </c>
      <c r="M44" s="1196">
        <f>D18</f>
        <v>0.5</v>
      </c>
      <c r="N44" s="1197"/>
      <c r="O44" s="1198"/>
      <c r="P44" s="1864"/>
      <c r="V44" s="1864"/>
    </row>
    <row r="45" spans="1:26" ht="15">
      <c r="A45" s="3633" t="str">
        <f>IF(项目基本情况!E8="已注销及未注销","4.抵押担保权已注销时的抵押价格",IF(项目基本情况!E8="已注销","3.抵押担保权已注销时的抵押价格","——"))</f>
        <v>——</v>
      </c>
      <c r="B45" s="3634"/>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630" t="str">
        <f>IF(项目基本情况!E9="抵押净值",IF(A45="——","4.抵押净值","5.抵押净值"),"——")</f>
        <v>4.抵押净值</v>
      </c>
      <c r="B46" s="3631"/>
      <c r="C46" s="317">
        <f ca="1">IF(A46="——","——",O79)</f>
        <v>41676</v>
      </c>
      <c r="D46" s="314">
        <f ca="1">ROUND(C46*10000/'数据-汇总表'!E3,0)</f>
        <v>8081</v>
      </c>
      <c r="E46" s="314">
        <f ca="1">ROUND(C46*10000/'数据-汇总表'!D3,0)</f>
        <v>4276</v>
      </c>
      <c r="F46" s="315">
        <f ca="1">ROUND(C46/('数据-汇总表'!D3/666.67),0)</f>
        <v>285</v>
      </c>
      <c r="G46" s="308"/>
      <c r="H46" s="308"/>
      <c r="I46" s="316"/>
      <c r="J46" s="1866"/>
      <c r="K46" s="1864"/>
      <c r="L46" s="1864"/>
      <c r="M46" s="1864"/>
      <c r="N46" s="1864"/>
      <c r="O46" s="1864"/>
      <c r="P46" s="1864"/>
      <c r="Q46" s="1864"/>
      <c r="R46" s="1864"/>
      <c r="S46" s="1864"/>
      <c r="T46" s="1864"/>
      <c r="U46" s="1864"/>
      <c r="V46" s="1864"/>
    </row>
    <row r="47" spans="1:26" ht="15.75">
      <c r="A47" s="318" t="s">
        <v>366</v>
      </c>
      <c r="B47" s="1199"/>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3"/>
      <c r="E61" s="213"/>
      <c r="F61" s="250"/>
      <c r="G61" s="254"/>
      <c r="H61" s="254"/>
      <c r="I61" s="254"/>
      <c r="J61" s="1867"/>
      <c r="K61" s="1864"/>
      <c r="L61" s="1864"/>
      <c r="M61" s="1864"/>
      <c r="N61" s="1864"/>
      <c r="O61" s="1864"/>
      <c r="P61" s="1864"/>
      <c r="Q61" s="1864"/>
      <c r="R61" s="1864"/>
      <c r="S61" s="1864"/>
      <c r="T61" s="1864"/>
      <c r="U61" s="1864"/>
      <c r="V61" s="1864"/>
    </row>
    <row r="62" spans="1:22" ht="18.75">
      <c r="A62" s="1200" t="s">
        <v>373</v>
      </c>
      <c r="B62" s="1201"/>
      <c r="C62" s="1201"/>
      <c r="D62" s="1202"/>
      <c r="E62" s="1202"/>
      <c r="F62" s="1203"/>
      <c r="G62" s="1203"/>
      <c r="H62" s="1203"/>
      <c r="I62" s="1203"/>
      <c r="J62" s="1868"/>
      <c r="K62" s="1864"/>
      <c r="L62" s="1864"/>
      <c r="M62" s="1864"/>
      <c r="N62" s="1864"/>
      <c r="O62" s="1864"/>
      <c r="P62" s="1864"/>
      <c r="Q62" s="1864"/>
      <c r="R62" s="1864"/>
      <c r="S62" s="1864"/>
      <c r="T62" s="1864"/>
      <c r="U62" s="1864"/>
      <c r="V62" s="1864"/>
    </row>
    <row r="63" spans="1:22" ht="14.25" customHeight="1" thickBot="1">
      <c r="A63" s="3591" t="s">
        <v>374</v>
      </c>
      <c r="B63" s="3592"/>
      <c r="C63" s="3593"/>
      <c r="D63" s="338">
        <f ca="1">ROUND(C42*F63,0)</f>
        <v>25495</v>
      </c>
      <c r="E63" s="299" t="s">
        <v>375</v>
      </c>
      <c r="F63" s="339">
        <v>0.56000000000000005</v>
      </c>
      <c r="G63" s="340" t="s">
        <v>376</v>
      </c>
      <c r="H63" s="308"/>
      <c r="I63" s="308"/>
      <c r="J63" s="1864"/>
      <c r="K63" s="1864"/>
      <c r="L63" s="1864"/>
      <c r="M63" s="1864"/>
      <c r="N63" s="1864"/>
      <c r="O63" s="1864"/>
      <c r="P63" s="1864"/>
      <c r="Q63" s="1864"/>
      <c r="R63" s="1864"/>
      <c r="S63" s="1864"/>
      <c r="T63" s="1864"/>
      <c r="U63" s="1864"/>
      <c r="V63" s="1864"/>
    </row>
    <row r="64" spans="1:22" ht="14.25" customHeight="1">
      <c r="A64" s="3635" t="s">
        <v>378</v>
      </c>
      <c r="B64" s="3636"/>
      <c r="C64" s="3636"/>
      <c r="D64" s="3636"/>
      <c r="E64" s="3636"/>
      <c r="F64" s="3636"/>
      <c r="G64" s="3637"/>
      <c r="H64" s="1204"/>
      <c r="I64" s="918"/>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3" t="s">
        <v>382</v>
      </c>
      <c r="F65" s="345" t="s">
        <v>383</v>
      </c>
      <c r="G65" s="346" t="s">
        <v>384</v>
      </c>
      <c r="H65" s="1204"/>
      <c r="I65" s="918"/>
      <c r="J65" s="1855"/>
      <c r="K65" s="1205"/>
      <c r="L65" s="1206"/>
      <c r="M65" s="1206"/>
      <c r="N65" s="1238" t="s">
        <v>379</v>
      </c>
      <c r="O65" s="1239"/>
      <c r="P65" s="1240"/>
      <c r="Q65" s="1864"/>
      <c r="R65" s="1864"/>
      <c r="S65" s="1864"/>
      <c r="T65" s="1864"/>
      <c r="U65" s="1864"/>
      <c r="V65" s="1864"/>
    </row>
    <row r="66" spans="1:22" ht="25.5">
      <c r="A66" s="3632" t="s">
        <v>386</v>
      </c>
      <c r="B66" s="3598"/>
      <c r="C66" s="3598"/>
      <c r="D66" s="258">
        <f ca="1">IF(H66="情况1",0,IF(H66="情况2",D70,IF(H66="情况3",D71,IF(H66="情况4",D72))))</f>
        <v>1335</v>
      </c>
      <c r="E66" s="962" t="str">
        <f>IF(H66="情况4","(销售额-原购置价)×税（费）率","销售额×税（费）率")</f>
        <v>销售额×税（费）率</v>
      </c>
      <c r="F66" s="347">
        <f>IF(H66="情况1","免征",'数据-取费表'!B41)</f>
        <v>5.5000000000000007E-2</v>
      </c>
      <c r="G66" s="348" t="s">
        <v>387</v>
      </c>
      <c r="H66" s="189" t="s">
        <v>4209</v>
      </c>
      <c r="I66" s="1204"/>
      <c r="J66" s="1870"/>
      <c r="K66" s="1207">
        <v>1</v>
      </c>
      <c r="L66" s="3559" t="s">
        <v>385</v>
      </c>
      <c r="M66" s="3560"/>
      <c r="N66" s="2265"/>
      <c r="O66" s="2266"/>
      <c r="P66" s="2267"/>
      <c r="Q66" s="1864"/>
      <c r="R66" s="1864"/>
      <c r="S66" s="1864"/>
      <c r="T66" s="1864"/>
      <c r="U66" s="1864"/>
      <c r="V66" s="1864"/>
    </row>
    <row r="67" spans="1:22" ht="25.5" customHeight="1">
      <c r="A67" s="349" t="s">
        <v>389</v>
      </c>
      <c r="B67" s="3610" t="s">
        <v>390</v>
      </c>
      <c r="C67" s="3610"/>
      <c r="D67" s="350">
        <v>0</v>
      </c>
      <c r="E67" s="41" t="s">
        <v>391</v>
      </c>
      <c r="F67" s="62" t="s">
        <v>21</v>
      </c>
      <c r="G67" s="3594"/>
      <c r="H67" s="2912" t="s">
        <v>2693</v>
      </c>
      <c r="I67" s="2914"/>
      <c r="J67" s="1871"/>
      <c r="K67" s="1843">
        <v>2</v>
      </c>
      <c r="L67" s="3564" t="s">
        <v>388</v>
      </c>
      <c r="M67" s="3564"/>
      <c r="N67" s="1241">
        <f>'数据-取费表'!B2</f>
        <v>44735</v>
      </c>
      <c r="O67" s="1241"/>
      <c r="P67" s="1241"/>
      <c r="Q67" s="1864"/>
      <c r="R67" s="1864"/>
      <c r="S67" s="1864"/>
      <c r="T67" s="1864"/>
      <c r="U67" s="1864"/>
      <c r="V67" s="1864"/>
    </row>
    <row r="68" spans="1:22" ht="25.5" customHeight="1">
      <c r="A68" s="351"/>
      <c r="B68" s="3610" t="s">
        <v>393</v>
      </c>
      <c r="C68" s="3610"/>
      <c r="D68" s="352"/>
      <c r="E68" s="77"/>
      <c r="F68" s="353"/>
      <c r="G68" s="3595"/>
      <c r="H68" s="2913" t="s">
        <v>2694</v>
      </c>
      <c r="I68" s="2914"/>
      <c r="J68" s="1871"/>
      <c r="K68" s="1843">
        <v>3</v>
      </c>
      <c r="L68" s="3564" t="s">
        <v>392</v>
      </c>
      <c r="M68" s="3564"/>
      <c r="N68" s="1209">
        <f ca="1">C42</f>
        <v>45527</v>
      </c>
      <c r="O68" s="1209"/>
      <c r="P68" s="1209"/>
      <c r="Q68" s="1864"/>
      <c r="R68" s="1864"/>
      <c r="S68" s="1864"/>
      <c r="T68" s="1864"/>
      <c r="U68" s="1864"/>
      <c r="V68" s="1864"/>
    </row>
    <row r="69" spans="1:22" ht="23.45" customHeight="1">
      <c r="A69" s="354"/>
      <c r="B69" s="3610" t="s">
        <v>394</v>
      </c>
      <c r="C69" s="3610"/>
      <c r="D69" s="355"/>
      <c r="E69" s="73"/>
      <c r="F69" s="353"/>
      <c r="G69" s="3596"/>
      <c r="H69" s="2913" t="s">
        <v>2695</v>
      </c>
      <c r="I69" s="2914"/>
      <c r="J69" s="1871"/>
      <c r="K69" s="1210">
        <v>4</v>
      </c>
      <c r="L69" s="3565" t="s">
        <v>2596</v>
      </c>
      <c r="M69" s="3566"/>
      <c r="N69" s="1211">
        <f ca="1">C44</f>
        <v>45527</v>
      </c>
      <c r="O69" s="1211"/>
      <c r="P69" s="1211"/>
      <c r="Q69" s="1864"/>
      <c r="R69" s="1864"/>
      <c r="S69" s="1864"/>
      <c r="T69" s="1864"/>
      <c r="U69" s="1864"/>
      <c r="V69" s="1864"/>
    </row>
    <row r="70" spans="1:22" ht="24" customHeight="1">
      <c r="A70" s="356" t="s">
        <v>395</v>
      </c>
      <c r="B70" s="3610" t="s">
        <v>396</v>
      </c>
      <c r="C70" s="3610"/>
      <c r="D70" s="355">
        <f ca="1">ROUND(D63*'数据-取费表'!B41/(1+'数据-取费表'!C42),0)</f>
        <v>1335</v>
      </c>
      <c r="E70" s="17" t="s">
        <v>397</v>
      </c>
      <c r="F70" s="357">
        <f>'数据-取费表'!B41</f>
        <v>5.5000000000000007E-2</v>
      </c>
      <c r="G70" s="358"/>
      <c r="H70" s="308"/>
      <c r="I70" s="1208"/>
      <c r="J70" s="1871"/>
      <c r="K70" s="2681"/>
      <c r="L70" s="2682"/>
      <c r="M70" s="2682"/>
      <c r="N70" s="2683" t="s">
        <v>2600</v>
      </c>
      <c r="O70" s="2682"/>
      <c r="P70" s="2684"/>
      <c r="Q70" s="1864"/>
      <c r="R70" s="1864"/>
      <c r="S70" s="1864"/>
      <c r="T70" s="1864"/>
      <c r="U70" s="1864"/>
      <c r="V70" s="1864"/>
    </row>
    <row r="71" spans="1:22" ht="12" customHeight="1">
      <c r="A71" s="356" t="s">
        <v>403</v>
      </c>
      <c r="B71" s="3609" t="s">
        <v>2723</v>
      </c>
      <c r="C71" s="3626"/>
      <c r="D71" s="355">
        <f ca="1">ROUND(D63*'数据-取费表'!B41/(1+'数据-取费表'!C42),0)</f>
        <v>1335</v>
      </c>
      <c r="E71" s="17" t="s">
        <v>397</v>
      </c>
      <c r="F71" s="357">
        <f>'数据-取费表'!B41</f>
        <v>5.5000000000000007E-2</v>
      </c>
      <c r="G71" s="358"/>
      <c r="H71" s="308"/>
      <c r="I71" s="1208"/>
      <c r="J71" s="1871"/>
      <c r="K71" s="2680" t="s">
        <v>398</v>
      </c>
      <c r="L71" s="3567" t="s">
        <v>399</v>
      </c>
      <c r="M71" s="3567"/>
      <c r="N71" s="2680" t="s">
        <v>400</v>
      </c>
      <c r="O71" s="2680" t="s">
        <v>401</v>
      </c>
      <c r="P71" s="2680" t="s">
        <v>402</v>
      </c>
      <c r="Q71" s="1864"/>
      <c r="R71" s="1864"/>
      <c r="S71" s="1864"/>
      <c r="T71" s="1864"/>
      <c r="U71" s="1864"/>
      <c r="V71" s="1864"/>
    </row>
    <row r="72" spans="1:22" ht="12" customHeight="1">
      <c r="A72" s="356" t="s">
        <v>405</v>
      </c>
      <c r="B72" s="3609" t="s">
        <v>2724</v>
      </c>
      <c r="C72" s="3626"/>
      <c r="D72" s="355">
        <f ca="1">C86</f>
        <v>1335</v>
      </c>
      <c r="E72" s="73" t="s">
        <v>406</v>
      </c>
      <c r="F72" s="357">
        <f>'数据-取费表'!B41</f>
        <v>5.5000000000000007E-2</v>
      </c>
      <c r="G72" s="358"/>
      <c r="H72" s="1214"/>
      <c r="I72" s="1208"/>
      <c r="J72" s="1871"/>
      <c r="K72" s="1843">
        <v>1</v>
      </c>
      <c r="L72" s="3563" t="s">
        <v>404</v>
      </c>
      <c r="M72" s="3563"/>
      <c r="N72" s="1212">
        <f ca="1">D66</f>
        <v>1335</v>
      </c>
      <c r="O72" s="1727" t="str">
        <f>E66</f>
        <v>销售额×税（费）率</v>
      </c>
      <c r="P72" s="1213">
        <f>F66</f>
        <v>5.5000000000000007E-2</v>
      </c>
      <c r="Q72" s="1864"/>
      <c r="R72" s="1864"/>
      <c r="S72" s="1864"/>
      <c r="T72" s="1864"/>
      <c r="U72" s="1864"/>
      <c r="V72" s="1864"/>
    </row>
    <row r="73" spans="1:22" ht="24" customHeight="1">
      <c r="A73" s="3597" t="s">
        <v>408</v>
      </c>
      <c r="B73" s="3598"/>
      <c r="C73" s="3598"/>
      <c r="D73" s="359">
        <f ca="1">IF(H73="个人住宅",0,ROUND(D63*I73,0))</f>
        <v>13</v>
      </c>
      <c r="E73" s="17" t="s">
        <v>409</v>
      </c>
      <c r="F73" s="357">
        <f>IF(H73="正常",I73,"免征")</f>
        <v>5.0000000000000001E-4</v>
      </c>
      <c r="G73" s="358"/>
      <c r="H73" s="189" t="s">
        <v>3234</v>
      </c>
      <c r="I73" s="357">
        <f>'数据-取费表'!B49</f>
        <v>5.0000000000000001E-4</v>
      </c>
      <c r="J73" s="1871"/>
      <c r="K73" s="1843">
        <v>2</v>
      </c>
      <c r="L73" s="3563" t="s">
        <v>407</v>
      </c>
      <c r="M73" s="3563"/>
      <c r="N73" s="1212">
        <f t="shared" ref="N73:P74" ca="1" si="1">D73</f>
        <v>13</v>
      </c>
      <c r="O73" s="1727" t="str">
        <f t="shared" si="1"/>
        <v>销售额×税（费）率</v>
      </c>
      <c r="P73" s="1213">
        <f t="shared" si="1"/>
        <v>5.0000000000000001E-4</v>
      </c>
      <c r="Q73" s="1864"/>
      <c r="R73" s="1864"/>
      <c r="S73" s="1864"/>
      <c r="T73" s="1864"/>
      <c r="U73" s="1864"/>
      <c r="V73" s="1864"/>
    </row>
    <row r="74" spans="1:22" ht="24.75">
      <c r="A74" s="3597" t="s">
        <v>411</v>
      </c>
      <c r="B74" s="3598"/>
      <c r="C74" s="3598"/>
      <c r="D74" s="359">
        <f ca="1">IF(H74="个人住宅",D75,D76)</f>
        <v>2503</v>
      </c>
      <c r="E74" s="17" t="s">
        <v>412</v>
      </c>
      <c r="F74" s="357" t="str">
        <f>IF(H74="正常",F76,"免征")</f>
        <v>——</v>
      </c>
      <c r="G74" s="952" t="s">
        <v>413</v>
      </c>
      <c r="H74" s="360" t="s">
        <v>3234</v>
      </c>
      <c r="I74" s="42"/>
      <c r="J74" s="1871"/>
      <c r="K74" s="1843">
        <v>3</v>
      </c>
      <c r="L74" s="3563" t="s">
        <v>410</v>
      </c>
      <c r="M74" s="3563"/>
      <c r="N74" s="1212">
        <f t="shared" ca="1" si="1"/>
        <v>2503</v>
      </c>
      <c r="O74" s="1727" t="str">
        <f t="shared" si="1"/>
        <v>增值额×税（费）率</v>
      </c>
      <c r="P74" s="1215" t="str">
        <f t="shared" si="1"/>
        <v>——</v>
      </c>
      <c r="Q74" s="1864"/>
      <c r="R74" s="1864"/>
      <c r="S74" s="1864"/>
      <c r="T74" s="1864"/>
      <c r="U74" s="1864"/>
      <c r="V74" s="1864"/>
    </row>
    <row r="75" spans="1:22" ht="12.75">
      <c r="A75" s="356" t="s">
        <v>414</v>
      </c>
      <c r="B75" s="3578" t="s">
        <v>415</v>
      </c>
      <c r="C75" s="3579"/>
      <c r="D75" s="361">
        <v>0</v>
      </c>
      <c r="E75" s="41" t="s">
        <v>416</v>
      </c>
      <c r="F75" s="362"/>
      <c r="G75" s="358"/>
      <c r="H75" s="42"/>
      <c r="I75" s="42"/>
      <c r="J75" s="1871"/>
      <c r="K75" s="2674" t="str">
        <f>IF(H77="非个人房产","",4)</f>
        <v/>
      </c>
      <c r="L75" s="3563" t="str">
        <f>IF(H77="非个人房产","——","个人所得税")</f>
        <v>——</v>
      </c>
      <c r="M75" s="3563"/>
      <c r="N75" s="1216" t="str">
        <f>D77</f>
        <v>——</v>
      </c>
      <c r="O75" s="1740" t="str">
        <f>E77</f>
        <v>——</v>
      </c>
      <c r="P75" s="1217" t="str">
        <f>F77</f>
        <v>——</v>
      </c>
      <c r="Q75" s="1864"/>
      <c r="R75" s="1864"/>
      <c r="S75" s="1864"/>
      <c r="T75" s="1864"/>
      <c r="U75" s="1864"/>
      <c r="V75" s="1864"/>
    </row>
    <row r="76" spans="1:22" ht="24.75">
      <c r="A76" s="356" t="s">
        <v>395</v>
      </c>
      <c r="B76" s="3578" t="s">
        <v>418</v>
      </c>
      <c r="C76" s="3620"/>
      <c r="D76" s="359">
        <f ca="1">IF(H76="转让取得",C99,C115)</f>
        <v>2503</v>
      </c>
      <c r="E76" s="17" t="s">
        <v>419</v>
      </c>
      <c r="F76" s="53" t="s">
        <v>21</v>
      </c>
      <c r="G76" s="358"/>
      <c r="H76" s="360" t="s">
        <v>4210</v>
      </c>
      <c r="I76" s="42"/>
      <c r="J76" s="1871"/>
      <c r="K76" s="2674" t="str">
        <f>IF(项目基本情况!K6="上海银行",IF(K75="",4,K75+1),"")</f>
        <v/>
      </c>
      <c r="L76" s="3574" t="str">
        <f>IF(项目基本情况!K6="上海银行","其他处置费用","")</f>
        <v/>
      </c>
      <c r="M76" s="3575"/>
      <c r="N76" s="1212" t="str">
        <f>IF(项目基本情况!K6="上海银行",N89,"")</f>
        <v/>
      </c>
      <c r="O76" s="3576" t="str">
        <f>IF(项目基本情况!K6="上海银行","包含处置中涉及的律师、诉讼、拍卖、评估等费用","")</f>
        <v/>
      </c>
      <c r="P76" s="3577"/>
      <c r="Q76" s="1864"/>
      <c r="R76" s="1864"/>
      <c r="S76" s="1864"/>
      <c r="T76" s="1864"/>
      <c r="U76" s="1864"/>
      <c r="V76" s="1864"/>
    </row>
    <row r="77" spans="1:22" ht="24.75" thickBot="1">
      <c r="A77" s="3589" t="s">
        <v>421</v>
      </c>
      <c r="B77" s="3590"/>
      <c r="C77" s="3590"/>
      <c r="D77" s="2917" t="str">
        <f>IF(H77="非个人房产","——",IF(H77="个人住宅（满五唯一有凭证）",0,IF(H77="个人其他（无凭证）",ROUND(D63*F77,0),ROUND(C84*F77,0))))</f>
        <v>——</v>
      </c>
      <c r="E77" s="2918" t="str">
        <f>IF(H77="非个人房产","——",IF(H77="个人其他（无凭证）","销售额×税（费）率",IF(H77="个人住宅（满五唯一有凭证）","免征","差额计税")))</f>
        <v>——</v>
      </c>
      <c r="F77" s="2919" t="str">
        <f>IF(OR(H77="非个人房产",H77="个人住宅（满五唯一有凭证）"),"——",IF(H77="个人其他（有凭证）",20%,1%))</f>
        <v>——</v>
      </c>
      <c r="G77" s="953" t="s">
        <v>413</v>
      </c>
      <c r="H77" s="2916" t="s">
        <v>4211</v>
      </c>
      <c r="I77" s="2915" t="s">
        <v>2696</v>
      </c>
      <c r="J77" s="1871"/>
      <c r="K77" s="3585">
        <f>IF(AND(K75="",K76=""),4,IF(项目基本情况!K6="上海银行",K76+1,K75+1))</f>
        <v>4</v>
      </c>
      <c r="L77" s="3563" t="s">
        <v>2597</v>
      </c>
      <c r="M77" s="2679" t="s">
        <v>417</v>
      </c>
      <c r="N77" s="1218"/>
      <c r="O77" s="1219">
        <f ca="1">SUMIF(N72:N76,"&lt;9e307")</f>
        <v>3851</v>
      </c>
      <c r="P77" s="1220"/>
      <c r="Q77" s="2677">
        <f ca="1">O77/N69</f>
        <v>8.4587168054121725E-2</v>
      </c>
      <c r="R77" s="1864"/>
      <c r="S77" s="1864"/>
      <c r="T77" s="1864"/>
      <c r="U77" s="1864"/>
      <c r="V77" s="1864"/>
    </row>
    <row r="78" spans="1:22" ht="12" customHeight="1">
      <c r="A78" s="1221"/>
      <c r="B78" s="308"/>
      <c r="C78" s="308"/>
      <c r="D78" s="308"/>
      <c r="E78" s="42"/>
      <c r="F78" s="42"/>
      <c r="G78" s="42"/>
      <c r="H78" s="972"/>
      <c r="I78" s="308"/>
      <c r="J78" s="1871"/>
      <c r="K78" s="3585"/>
      <c r="L78" s="3563"/>
      <c r="M78" s="2679" t="s">
        <v>420</v>
      </c>
      <c r="N78" s="1218"/>
      <c r="O78" s="1219" t="str">
        <f ca="1">NUMBERSTRING(INT(O77*10000),2)&amp;"元整"</f>
        <v>叁仟捌佰伍拾壹万元整</v>
      </c>
      <c r="P78" s="1220"/>
      <c r="Q78" s="1864"/>
      <c r="R78" s="1864"/>
      <c r="S78" s="1864"/>
      <c r="T78" s="1864"/>
      <c r="U78" s="1864"/>
      <c r="V78" s="1864"/>
    </row>
    <row r="79" spans="1:22" ht="13.5" thickBot="1">
      <c r="A79" s="3640" t="s">
        <v>422</v>
      </c>
      <c r="B79" s="3640"/>
      <c r="C79" s="3640"/>
      <c r="D79" s="3640"/>
      <c r="E79" s="3640"/>
      <c r="F79" s="42"/>
      <c r="G79" s="42"/>
      <c r="H79" s="972"/>
      <c r="I79" s="308"/>
      <c r="J79" s="1871"/>
      <c r="K79" s="3561">
        <f>K77+1</f>
        <v>5</v>
      </c>
      <c r="L79" s="3563" t="s">
        <v>2598</v>
      </c>
      <c r="M79" s="2679" t="s">
        <v>417</v>
      </c>
      <c r="N79" s="1218"/>
      <c r="O79" s="1219">
        <f ca="1">N69-O77</f>
        <v>41676</v>
      </c>
      <c r="P79" s="1220"/>
      <c r="Q79" s="1864"/>
      <c r="R79" s="1864"/>
      <c r="S79" s="1864"/>
      <c r="T79" s="1864"/>
      <c r="U79" s="1864"/>
      <c r="V79" s="1864"/>
    </row>
    <row r="80" spans="1:22" ht="25.5">
      <c r="A80" s="3571" t="s">
        <v>423</v>
      </c>
      <c r="B80" s="3572"/>
      <c r="C80" s="963"/>
      <c r="D80" s="963" t="s">
        <v>424</v>
      </c>
      <c r="E80" s="363" t="s">
        <v>425</v>
      </c>
      <c r="F80" s="42"/>
      <c r="G80" s="42"/>
      <c r="H80" s="972"/>
      <c r="I80" s="308"/>
      <c r="J80" s="1864"/>
      <c r="K80" s="3562"/>
      <c r="L80" s="3563"/>
      <c r="M80" s="2679" t="s">
        <v>420</v>
      </c>
      <c r="N80" s="1218"/>
      <c r="O80" s="1219" t="str">
        <f ca="1">NUMBERSTRING(INT(O79*10000),2)&amp;"元整"</f>
        <v>肆亿壹仟陆佰柒拾陆万元整</v>
      </c>
      <c r="P80" s="1220"/>
      <c r="Q80" s="1864"/>
      <c r="R80" s="1864"/>
      <c r="S80" s="1864"/>
      <c r="T80" s="1864"/>
      <c r="U80" s="1864"/>
      <c r="V80" s="1864"/>
    </row>
    <row r="81" spans="1:26" ht="13.5" thickBot="1">
      <c r="A81" s="374" t="s">
        <v>1623</v>
      </c>
      <c r="B81" s="364" t="s">
        <v>426</v>
      </c>
      <c r="C81" s="365">
        <f ca="1">ROUND((C82+C83)/(1+'数据-取费表'!C42),0)</f>
        <v>24281</v>
      </c>
      <c r="D81" s="366"/>
      <c r="E81" s="367"/>
      <c r="F81" s="42"/>
      <c r="G81" s="42"/>
      <c r="H81" s="972"/>
      <c r="I81" s="308"/>
      <c r="J81" s="1864"/>
      <c r="K81" s="2674">
        <f>K79+1</f>
        <v>6</v>
      </c>
      <c r="L81" s="3583" t="s">
        <v>2599</v>
      </c>
      <c r="M81" s="3584"/>
      <c r="N81" s="1222"/>
      <c r="O81" s="1223">
        <f ca="1">ROUND(O79*10000/'数据-汇总表'!E3,0)</f>
        <v>8081</v>
      </c>
      <c r="P81" s="1224"/>
      <c r="Q81" s="1864"/>
      <c r="R81" s="1864"/>
      <c r="S81" s="1864"/>
      <c r="T81" s="1864"/>
      <c r="U81" s="1864"/>
      <c r="V81" s="1864"/>
    </row>
    <row r="82" spans="1:26" ht="13.5" thickTop="1">
      <c r="A82" s="368" t="s">
        <v>1624</v>
      </c>
      <c r="B82" s="369" t="s">
        <v>427</v>
      </c>
      <c r="C82" s="370">
        <f ca="1">D63</f>
        <v>25495</v>
      </c>
      <c r="D82" s="371" t="s">
        <v>19</v>
      </c>
      <c r="E82" s="372"/>
      <c r="F82" s="42"/>
      <c r="G82" s="42"/>
      <c r="H82" s="972"/>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2"/>
      <c r="G83" s="42"/>
      <c r="H83" s="972"/>
      <c r="I83" s="308"/>
      <c r="J83" s="1864"/>
      <c r="K83" s="3573" t="s">
        <v>2587</v>
      </c>
      <c r="L83" s="2685" t="s">
        <v>2588</v>
      </c>
      <c r="M83" s="2675">
        <f ca="1">IF(N69&gt;10000,N69*0.5%,IF(AND(N69&gt;1000,N69&lt;=10000),N69*1%,IF(AND(N69&gt;100,N69&lt;=1000),N69*3%,IF(AND(N69&gt;10,N69&lt;=100),N69*5%,N69*8%))))</f>
        <v>227.63499999999999</v>
      </c>
      <c r="N83" s="53">
        <f ca="1">ROUND(M83,1)</f>
        <v>227.6</v>
      </c>
      <c r="O83" s="2678"/>
      <c r="P83" s="1864"/>
      <c r="Q83" s="1864"/>
      <c r="R83" s="1864"/>
      <c r="S83" s="1864"/>
      <c r="T83" s="1864"/>
      <c r="U83" s="1864"/>
      <c r="V83" s="1864"/>
    </row>
    <row r="84" spans="1:26" ht="12.75">
      <c r="A84" s="374" t="s">
        <v>1626</v>
      </c>
      <c r="B84" s="375" t="s">
        <v>429</v>
      </c>
      <c r="C84" s="376"/>
      <c r="D84" s="377" t="s">
        <v>19</v>
      </c>
      <c r="E84" s="2703" t="s">
        <v>2637</v>
      </c>
      <c r="F84" s="42"/>
      <c r="G84" s="42"/>
      <c r="H84" s="972"/>
      <c r="I84" s="308"/>
      <c r="J84" s="1864"/>
      <c r="K84" s="3573"/>
      <c r="L84" s="2685" t="s">
        <v>2589</v>
      </c>
      <c r="M84" s="2675">
        <f ca="1">IF(N69&gt;2000,N69*0.5%,IF(AND(N69&gt;1000,N69&lt;=2000),N69*0.6%,IF(AND(N69&gt;500,N69&lt;=1000),N69*0.7%,IF(AND(N69&gt;200,N69&lt;=500),N69*0.8%,IF(AND(N69&gt;100,N69&lt;=200),N69*0.9%,IF(AND(N69&gt;50,N69&lt;=100),N69*1%,IF(AND(N69&gt;20,N69&lt;=50),N69*1.5%,IF(AND(N69&gt;10,N69&lt;=20),N69*2%,IF(AND(N69&gt;1,N69&lt;=10),N69*2.5%)))))))))</f>
        <v>227.63499999999999</v>
      </c>
      <c r="N84" s="53">
        <f t="shared" ref="N84:N85" ca="1" si="2">ROUND(M84,1)</f>
        <v>227.6</v>
      </c>
      <c r="O84" s="1864" t="s">
        <v>2590</v>
      </c>
      <c r="P84" s="1864"/>
      <c r="Q84" s="1864"/>
      <c r="R84" s="1864"/>
      <c r="S84" s="1864"/>
      <c r="T84" s="1864"/>
      <c r="U84" s="1864"/>
      <c r="V84" s="1864"/>
    </row>
    <row r="85" spans="1:26" ht="12.75">
      <c r="A85" s="374" t="s">
        <v>1627</v>
      </c>
      <c r="B85" s="375" t="s">
        <v>430</v>
      </c>
      <c r="C85" s="378">
        <f ca="1">C81-C84</f>
        <v>24281</v>
      </c>
      <c r="D85" s="371" t="s">
        <v>19</v>
      </c>
      <c r="E85" s="372"/>
      <c r="F85" s="42"/>
      <c r="G85" s="42"/>
      <c r="H85" s="972"/>
      <c r="I85" s="308"/>
      <c r="J85" s="1864"/>
      <c r="K85" s="3573"/>
      <c r="L85" s="2685" t="s">
        <v>2591</v>
      </c>
      <c r="M85" s="2675">
        <f ca="1">IF(N69&gt;1000,N69*0.1%,IF(AND(N69&gt;500,N69&lt;=1000),N69*0.5%,IF(AND(N69&gt;50,N69&lt;=500),N69*1%,IF(AND(N69&gt;1,N69&lt;=50),N69*1.5%))))</f>
        <v>45.527000000000001</v>
      </c>
      <c r="N85" s="53">
        <f t="shared" ca="1" si="2"/>
        <v>45.5</v>
      </c>
      <c r="O85" s="1864" t="s">
        <v>2590</v>
      </c>
      <c r="P85" s="1864"/>
      <c r="Q85" s="1864"/>
      <c r="R85" s="1864"/>
      <c r="S85" s="1864"/>
      <c r="T85" s="1864"/>
      <c r="U85" s="1864"/>
      <c r="V85" s="1864"/>
    </row>
    <row r="86" spans="1:26" ht="13.5" thickBot="1">
      <c r="A86" s="379" t="s">
        <v>1628</v>
      </c>
      <c r="B86" s="380" t="s">
        <v>431</v>
      </c>
      <c r="C86" s="381">
        <f ca="1">IF(C85&lt;=0,0,ROUND(C85*D86,0))</f>
        <v>1335</v>
      </c>
      <c r="D86" s="382">
        <f>'数据-取费表'!B41</f>
        <v>5.5000000000000007E-2</v>
      </c>
      <c r="E86" s="383"/>
      <c r="F86" s="42"/>
      <c r="G86" s="42"/>
      <c r="H86" s="972"/>
      <c r="I86" s="308"/>
      <c r="J86" s="1864"/>
      <c r="K86" s="3573"/>
      <c r="L86" s="2685" t="s">
        <v>2592</v>
      </c>
      <c r="M86" s="2675">
        <f ca="1">N69*0.5%</f>
        <v>227.63499999999999</v>
      </c>
      <c r="N86" s="53">
        <f ca="1">IF(M86&gt;0.5,0.5,ROUND(M86,0))</f>
        <v>0.5</v>
      </c>
      <c r="O86" s="1864" t="s">
        <v>2593</v>
      </c>
      <c r="P86" s="1864"/>
      <c r="Q86" s="1864"/>
      <c r="R86" s="1864"/>
      <c r="S86" s="1864"/>
      <c r="T86" s="1864"/>
      <c r="U86" s="1864"/>
      <c r="V86" s="1864"/>
    </row>
    <row r="87" spans="1:26" s="1170" customFormat="1" ht="14.25" customHeight="1">
      <c r="A87" s="1225"/>
      <c r="B87" s="1226"/>
      <c r="C87" s="1227"/>
      <c r="D87" s="1228"/>
      <c r="E87" s="1229"/>
      <c r="F87" s="42"/>
      <c r="G87" s="42"/>
      <c r="H87" s="972"/>
      <c r="I87" s="308"/>
      <c r="J87" s="1864"/>
      <c r="K87" s="3573"/>
      <c r="L87" s="2685" t="s">
        <v>2594</v>
      </c>
      <c r="M87" s="2675">
        <f ca="1">IF(N69&gt;=10000,(8.25+(N69-10000)*0.01%),IF(AND(N69&gt;=8000,N69&lt;10000),(7.85+(N69-8000)*0.02%),IF(AND(N69&gt;=5000,N69&lt;8000),(6.65+(N69-5000)*0.04%),IF(AND(N69&gt;=2000,N69&lt;5000),(4.25+(PN69-2000)*0.08%),IF(AND(N69&gt;=1000,N69&lt;2000),(2.75+(N69-1000)*0.15%),IF(AND(N69&gt;=100,N69&lt;1000),(0.5+(N69-100)*0.25%),IF(AND(N69&gt;0,N69&lt;100),N69*0.5%)))))))</f>
        <v>11.8027</v>
      </c>
      <c r="N87" s="53">
        <f ca="1">ROUND(M87*0.9,1)</f>
        <v>10.6</v>
      </c>
      <c r="O87" s="2678"/>
      <c r="P87" s="1864"/>
      <c r="Q87" s="1864"/>
      <c r="R87" s="1864"/>
      <c r="S87" s="1864"/>
      <c r="T87" s="1864"/>
      <c r="U87" s="1864"/>
      <c r="V87" s="1864"/>
      <c r="W87" s="289"/>
      <c r="X87" s="289"/>
      <c r="Y87" s="289"/>
      <c r="Z87" s="289"/>
    </row>
    <row r="88" spans="1:26" s="1230" customFormat="1" ht="15" thickBot="1">
      <c r="A88" s="3612" t="s">
        <v>432</v>
      </c>
      <c r="B88" s="3613"/>
      <c r="C88" s="3613"/>
      <c r="D88" s="3613"/>
      <c r="E88" s="3613"/>
      <c r="F88" s="3613"/>
      <c r="G88" s="3613"/>
      <c r="H88" s="3613"/>
      <c r="I88" s="1231"/>
      <c r="J88" s="1872"/>
      <c r="K88" s="3573"/>
      <c r="L88" s="2685" t="s">
        <v>2595</v>
      </c>
      <c r="M88" s="2675">
        <f ca="1">IF(N69&gt;10000,N69*0.5%,IF(AND(N69&gt;5000,N69&lt;=10000),N69*1%,IF(AND(N69&gt;1000,N69&lt;=5000),N69*2%,IF(AND(N69&gt;200,N69&lt;=1000),N69*3%,N69*5%))))</f>
        <v>227.63499999999999</v>
      </c>
      <c r="N88" s="53">
        <f ca="1">ROUND(M88,1)</f>
        <v>227.6</v>
      </c>
      <c r="O88" s="2678"/>
      <c r="P88" s="1869"/>
      <c r="Q88" s="1869"/>
      <c r="R88" s="1869"/>
      <c r="S88" s="1869"/>
      <c r="T88" s="1869"/>
      <c r="U88" s="1869"/>
      <c r="V88" s="1869"/>
      <c r="W88" s="1873"/>
      <c r="X88" s="1873"/>
      <c r="Y88" s="1873"/>
      <c r="Z88" s="1873"/>
    </row>
    <row r="89" spans="1:26" s="1230" customFormat="1" ht="14.25">
      <c r="A89" s="3571" t="s">
        <v>423</v>
      </c>
      <c r="B89" s="3572"/>
      <c r="C89" s="963"/>
      <c r="D89" s="963" t="s">
        <v>424</v>
      </c>
      <c r="E89" s="384" t="s">
        <v>433</v>
      </c>
      <c r="F89" s="385"/>
      <c r="G89" s="385"/>
      <c r="H89" s="386"/>
      <c r="I89" s="1232"/>
      <c r="J89" s="1874"/>
      <c r="K89" s="3573"/>
      <c r="L89" s="2685" t="s">
        <v>27</v>
      </c>
      <c r="M89" s="2676"/>
      <c r="N89" s="53">
        <f ca="1">ROUND(SUM(N83:N88),0)</f>
        <v>739</v>
      </c>
      <c r="O89" s="2686">
        <f ca="1">N89/N69</f>
        <v>1.6232125991170077E-2</v>
      </c>
      <c r="P89" s="1869"/>
      <c r="Q89" s="1869"/>
      <c r="R89" s="1869"/>
      <c r="S89" s="1869"/>
      <c r="T89" s="1869"/>
      <c r="U89" s="1869"/>
      <c r="V89" s="1869"/>
      <c r="W89" s="1873"/>
      <c r="X89" s="1873"/>
      <c r="Y89" s="1873"/>
      <c r="Z89" s="1873"/>
    </row>
    <row r="90" spans="1:26" s="1230" customFormat="1" ht="14.25">
      <c r="A90" s="374" t="s">
        <v>1623</v>
      </c>
      <c r="B90" s="375" t="s">
        <v>434</v>
      </c>
      <c r="C90" s="378">
        <f ca="1">ROUND(D63/(1+'数据-取费表'!C42),0)</f>
        <v>24281</v>
      </c>
      <c r="D90" s="371" t="s">
        <v>19</v>
      </c>
      <c r="E90" s="960"/>
      <c r="F90" s="959"/>
      <c r="G90" s="959"/>
      <c r="H90" s="387"/>
      <c r="I90" s="1232"/>
      <c r="J90" s="1874"/>
      <c r="K90" s="1869"/>
      <c r="L90" s="1869"/>
      <c r="M90" s="1869"/>
      <c r="N90" s="1869"/>
      <c r="O90" s="1869"/>
      <c r="P90" s="1869"/>
      <c r="Q90" s="1869"/>
      <c r="R90" s="1869"/>
      <c r="S90" s="1869"/>
      <c r="T90" s="1869"/>
      <c r="U90" s="1869"/>
      <c r="V90" s="1869"/>
      <c r="W90" s="1873"/>
      <c r="X90" s="1873"/>
      <c r="Y90" s="1873"/>
      <c r="Z90" s="1873"/>
    </row>
    <row r="91" spans="1:26" s="1230" customFormat="1" ht="14.25">
      <c r="A91" s="374" t="s">
        <v>1629</v>
      </c>
      <c r="B91" s="345" t="s">
        <v>435</v>
      </c>
      <c r="C91" s="378">
        <f ca="1">C92+C96</f>
        <v>121</v>
      </c>
      <c r="D91" s="371" t="s">
        <v>19</v>
      </c>
      <c r="E91" s="960"/>
      <c r="F91" s="959"/>
      <c r="G91" s="959"/>
      <c r="H91" s="387"/>
      <c r="I91" s="1232"/>
      <c r="J91" s="1874"/>
      <c r="K91" s="1869"/>
      <c r="L91" s="1869"/>
      <c r="M91" s="1869"/>
      <c r="N91" s="1869"/>
      <c r="O91" s="1869"/>
      <c r="P91" s="1869"/>
      <c r="Q91" s="1869"/>
      <c r="R91" s="1869"/>
      <c r="S91" s="1869"/>
      <c r="T91" s="1869"/>
      <c r="U91" s="1869"/>
      <c r="V91" s="1869"/>
      <c r="W91" s="1873"/>
      <c r="X91" s="1873"/>
      <c r="Y91" s="1873"/>
      <c r="Z91" s="1873"/>
    </row>
    <row r="92" spans="1:26" s="1230" customFormat="1" ht="24">
      <c r="A92" s="388" t="s">
        <v>1630</v>
      </c>
      <c r="B92" s="369" t="s">
        <v>436</v>
      </c>
      <c r="C92" s="371">
        <f>ROUND(IF(G95="2016年5月1日后购买",C93/(1+'数据-取费表'!C30)+C94+C95,C93+C94+C95),0)</f>
        <v>0</v>
      </c>
      <c r="D92" s="371" t="s">
        <v>19</v>
      </c>
      <c r="E92" s="960"/>
      <c r="F92" s="959"/>
      <c r="G92" s="959"/>
      <c r="H92" s="387"/>
      <c r="I92" s="1232"/>
      <c r="J92" s="1874"/>
      <c r="K92" s="1869"/>
      <c r="L92" s="1869"/>
      <c r="M92" s="1869"/>
      <c r="N92" s="1869"/>
      <c r="O92" s="1869"/>
      <c r="P92" s="1869"/>
      <c r="Q92" s="1869"/>
      <c r="R92" s="1869"/>
      <c r="S92" s="1869"/>
      <c r="T92" s="1869"/>
      <c r="U92" s="1869"/>
      <c r="V92" s="1869"/>
      <c r="W92" s="1873"/>
      <c r="X92" s="1873"/>
      <c r="Y92" s="1873"/>
      <c r="Z92" s="1873"/>
    </row>
    <row r="93" spans="1:26" s="1230"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0" customFormat="1" ht="24.75" customHeight="1">
      <c r="A94" s="388" t="s">
        <v>1632</v>
      </c>
      <c r="B94" s="393" t="s">
        <v>440</v>
      </c>
      <c r="C94" s="371">
        <f>IF(F93="购房发票",ROUND(C93*H93*5%,0),0)</f>
        <v>0</v>
      </c>
      <c r="D94" s="394">
        <v>0.05</v>
      </c>
      <c r="E94" s="3609" t="s">
        <v>441</v>
      </c>
      <c r="F94" s="3610"/>
      <c r="G94" s="3610"/>
      <c r="H94" s="3611"/>
      <c r="I94" s="1232"/>
      <c r="J94" s="1874"/>
      <c r="K94" s="1869"/>
      <c r="L94" s="1869"/>
      <c r="M94" s="1869"/>
      <c r="N94" s="1869"/>
      <c r="O94" s="1869"/>
      <c r="P94" s="1869"/>
      <c r="Q94" s="1869"/>
      <c r="R94" s="1869"/>
      <c r="S94" s="1869"/>
      <c r="T94" s="1869"/>
      <c r="U94" s="1869"/>
      <c r="V94" s="1869"/>
      <c r="W94" s="1873"/>
      <c r="X94" s="1873"/>
      <c r="Y94" s="1873"/>
      <c r="Z94" s="1873"/>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4"/>
      <c r="K95" s="1869"/>
      <c r="L95" s="1869"/>
      <c r="M95" s="1869"/>
      <c r="N95" s="1869"/>
      <c r="O95" s="1869"/>
      <c r="P95" s="1869"/>
      <c r="Q95" s="1869"/>
      <c r="R95" s="1869"/>
      <c r="S95" s="1869"/>
      <c r="T95" s="1869"/>
      <c r="U95" s="1869"/>
      <c r="V95" s="1869"/>
      <c r="W95" s="1873"/>
      <c r="X95" s="1873"/>
      <c r="Y95" s="1873"/>
      <c r="Z95" s="1873"/>
    </row>
    <row r="96" spans="1:26" s="1230" customFormat="1" ht="24.75" customHeight="1">
      <c r="A96" s="388" t="s">
        <v>1634</v>
      </c>
      <c r="B96" s="369" t="s">
        <v>444</v>
      </c>
      <c r="C96" s="398">
        <f ca="1">ROUND(D63*D96/(1+'数据-取费表'!C42),0)</f>
        <v>121</v>
      </c>
      <c r="D96" s="399">
        <f>'数据-取费表'!B43</f>
        <v>5.000000000000001E-3</v>
      </c>
      <c r="E96" s="3568" t="s">
        <v>2215</v>
      </c>
      <c r="F96" s="3569"/>
      <c r="G96" s="3569"/>
      <c r="H96" s="3570"/>
      <c r="I96" s="1233"/>
      <c r="J96" s="1875"/>
      <c r="K96" s="1869"/>
      <c r="L96" s="1869"/>
      <c r="M96" s="1869"/>
      <c r="N96" s="1869"/>
      <c r="O96" s="1869"/>
      <c r="P96" s="1869"/>
      <c r="Q96" s="1869"/>
      <c r="R96" s="1869"/>
      <c r="S96" s="1869"/>
      <c r="T96" s="1869"/>
      <c r="U96" s="1869"/>
      <c r="V96" s="1869"/>
      <c r="W96" s="1873"/>
      <c r="X96" s="1873"/>
      <c r="Y96" s="1873"/>
      <c r="Z96" s="1873"/>
    </row>
    <row r="97" spans="1:26" s="1230" customFormat="1" ht="14.25">
      <c r="A97" s="1500" t="s">
        <v>1635</v>
      </c>
      <c r="B97" s="375" t="s">
        <v>445</v>
      </c>
      <c r="C97" s="378">
        <f ca="1">C90-C91</f>
        <v>24160</v>
      </c>
      <c r="D97" s="371" t="s">
        <v>19</v>
      </c>
      <c r="E97" s="960"/>
      <c r="F97" s="959"/>
      <c r="G97" s="959"/>
      <c r="H97" s="387"/>
      <c r="I97" s="1232"/>
      <c r="J97" s="1874"/>
      <c r="K97" s="1869"/>
      <c r="L97" s="1869"/>
      <c r="M97" s="1869"/>
      <c r="N97" s="1869"/>
      <c r="O97" s="1869"/>
      <c r="P97" s="1869"/>
      <c r="Q97" s="1869"/>
      <c r="R97" s="1869"/>
      <c r="S97" s="1869"/>
      <c r="T97" s="1869"/>
      <c r="U97" s="1869"/>
      <c r="V97" s="1869"/>
      <c r="W97" s="1873"/>
      <c r="X97" s="1873"/>
      <c r="Y97" s="1873"/>
      <c r="Z97" s="1873"/>
    </row>
    <row r="98" spans="1:26" s="1230" customFormat="1" ht="24">
      <c r="A98" s="1500" t="s">
        <v>1636</v>
      </c>
      <c r="B98" s="375" t="s">
        <v>446</v>
      </c>
      <c r="C98" s="400">
        <f ca="1">IF(C97&lt;=0,0,C97/C91)</f>
        <v>199.6694214876033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4"/>
      <c r="K98" s="1869"/>
      <c r="L98" s="1869"/>
      <c r="M98" s="1869"/>
      <c r="N98" s="1869"/>
      <c r="O98" s="1869"/>
      <c r="P98" s="1869"/>
      <c r="Q98" s="1869"/>
      <c r="R98" s="1869"/>
      <c r="S98" s="1869"/>
      <c r="T98" s="1869"/>
      <c r="U98" s="1869"/>
      <c r="V98" s="1869"/>
      <c r="W98" s="1873"/>
      <c r="X98" s="1873"/>
      <c r="Y98" s="1873"/>
      <c r="Z98" s="1873"/>
    </row>
    <row r="99" spans="1:26" s="1230" customFormat="1" ht="24.75" thickBot="1">
      <c r="A99" s="1501" t="s">
        <v>1637</v>
      </c>
      <c r="B99" s="380" t="s">
        <v>447</v>
      </c>
      <c r="C99" s="401">
        <f ca="1">ROUND(IF(C97&lt;=0,0,IF(C98&gt;=200%,C97*60%-C91*35%,IF(C98&gt;=100%,C97*50%-C91*15%,IF(C98&gt;=50%,C97*40%-C91*5%,IF(C98&lt;50%,C97*30%,0))))),0)</f>
        <v>14454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4"/>
      <c r="K99" s="1869"/>
      <c r="L99" s="1869"/>
      <c r="M99" s="1869"/>
      <c r="N99" s="1869"/>
      <c r="O99" s="1869"/>
      <c r="P99" s="1869"/>
      <c r="Q99" s="1869"/>
      <c r="R99" s="1869"/>
      <c r="S99" s="1869"/>
      <c r="T99" s="1869"/>
      <c r="U99" s="1869"/>
      <c r="V99" s="1869"/>
      <c r="W99" s="1873"/>
      <c r="X99" s="1873"/>
      <c r="Y99" s="1873"/>
      <c r="Z99" s="1873"/>
    </row>
    <row r="100" spans="1:26" s="1230" customFormat="1" ht="7.5" customHeight="1">
      <c r="A100" s="1234"/>
      <c r="B100" s="1235"/>
      <c r="C100" s="11"/>
      <c r="D100" s="11"/>
      <c r="E100" s="1235"/>
      <c r="F100" s="1235"/>
      <c r="G100" s="1235"/>
      <c r="H100" s="1236"/>
      <c r="I100" s="1233"/>
      <c r="J100" s="1875"/>
      <c r="K100" s="1869"/>
      <c r="L100" s="1869"/>
      <c r="M100" s="1869"/>
      <c r="N100" s="1869"/>
      <c r="O100" s="1869"/>
      <c r="P100" s="1869"/>
      <c r="Q100" s="1869"/>
      <c r="R100" s="1869"/>
      <c r="S100" s="1869"/>
      <c r="T100" s="1869"/>
      <c r="U100" s="1869"/>
      <c r="V100" s="1869"/>
      <c r="W100" s="1873"/>
      <c r="X100" s="1873"/>
      <c r="Y100" s="1873"/>
      <c r="Z100" s="1873"/>
    </row>
    <row r="101" spans="1:26" s="1230" customFormat="1" ht="15" thickBot="1">
      <c r="A101" s="3612" t="s">
        <v>448</v>
      </c>
      <c r="B101" s="3613"/>
      <c r="C101" s="3613"/>
      <c r="D101" s="3613"/>
      <c r="E101" s="3613"/>
      <c r="F101" s="3613"/>
      <c r="G101" s="3613"/>
      <c r="H101" s="3613"/>
      <c r="I101" s="11"/>
      <c r="J101" s="1869"/>
      <c r="K101" s="1869"/>
      <c r="L101" s="1869"/>
      <c r="M101" s="1869"/>
      <c r="N101" s="1869"/>
      <c r="O101" s="1869"/>
      <c r="P101" s="1869"/>
      <c r="Q101" s="1869"/>
      <c r="R101" s="1869"/>
      <c r="S101" s="1869"/>
      <c r="T101" s="1869"/>
      <c r="U101" s="1869"/>
      <c r="V101" s="1869"/>
      <c r="W101" s="1873"/>
      <c r="X101" s="1873"/>
      <c r="Y101" s="1873"/>
      <c r="Z101" s="1873"/>
    </row>
    <row r="102" spans="1:26" s="1230" customFormat="1" ht="14.25">
      <c r="A102" s="3571" t="s">
        <v>423</v>
      </c>
      <c r="B102" s="3572"/>
      <c r="C102" s="963"/>
      <c r="D102" s="963"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0" customFormat="1" ht="14.25">
      <c r="A103" s="374" t="s">
        <v>1623</v>
      </c>
      <c r="B103" s="375" t="s">
        <v>434</v>
      </c>
      <c r="C103" s="378">
        <f ca="1">ROUND(D63/(1+'数据-取费表'!C42),0)</f>
        <v>24281</v>
      </c>
      <c r="D103" s="371" t="s">
        <v>19</v>
      </c>
      <c r="E103" s="960"/>
      <c r="F103" s="959"/>
      <c r="G103" s="959"/>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0" customFormat="1" ht="14.25">
      <c r="A104" s="374" t="s">
        <v>1629</v>
      </c>
      <c r="B104" s="345" t="s">
        <v>435</v>
      </c>
      <c r="C104" s="378">
        <f ca="1">IF(H106="仅含出让金",C105+C108+C109+C110+C111+C112,C105+C109+C110+C111+C112)</f>
        <v>16021.227926825699</v>
      </c>
      <c r="D104" s="408"/>
      <c r="E104" s="960"/>
      <c r="F104" s="959"/>
      <c r="G104" s="959"/>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0" customFormat="1" ht="14.25">
      <c r="A105" s="388" t="s">
        <v>1630</v>
      </c>
      <c r="B105" s="369" t="s">
        <v>449</v>
      </c>
      <c r="C105" s="398">
        <f>C106+C107</f>
        <v>15900.227926825699</v>
      </c>
      <c r="D105" s="399"/>
      <c r="E105" s="954"/>
      <c r="F105" s="955"/>
      <c r="G105" s="955"/>
      <c r="H105" s="956"/>
      <c r="I105" s="11"/>
      <c r="J105" s="1869"/>
      <c r="K105" s="1869"/>
      <c r="L105" s="1869"/>
      <c r="M105" s="1869"/>
      <c r="N105" s="1869"/>
      <c r="O105" s="1869"/>
      <c r="P105" s="1869"/>
      <c r="Q105" s="1869"/>
      <c r="R105" s="1869"/>
      <c r="S105" s="1869"/>
      <c r="T105" s="1869"/>
      <c r="U105" s="1869"/>
      <c r="V105" s="1869"/>
      <c r="W105" s="1873"/>
      <c r="X105" s="1873"/>
      <c r="Y105" s="1873"/>
      <c r="Z105" s="1873"/>
    </row>
    <row r="106" spans="1:26" s="1230" customFormat="1" ht="14.25">
      <c r="A106" s="388" t="s">
        <v>1631</v>
      </c>
      <c r="B106" s="369" t="s">
        <v>450</v>
      </c>
      <c r="C106" s="409">
        <f>面积表!K2</f>
        <v>15429.227926825699</v>
      </c>
      <c r="D106" s="399"/>
      <c r="E106" s="410" t="s">
        <v>451</v>
      </c>
      <c r="F106" s="955"/>
      <c r="G106" s="411" t="s">
        <v>452</v>
      </c>
      <c r="H106" s="412" t="s">
        <v>4212</v>
      </c>
      <c r="I106" s="11"/>
      <c r="J106" s="1869"/>
      <c r="K106" s="3150" t="s">
        <v>2716</v>
      </c>
      <c r="L106" s="1869"/>
      <c r="M106" s="1869"/>
      <c r="N106" s="1869"/>
      <c r="O106" s="1869"/>
      <c r="P106" s="1869"/>
      <c r="Q106" s="1869"/>
      <c r="R106" s="1869"/>
      <c r="S106" s="1869"/>
      <c r="T106" s="1869"/>
      <c r="U106" s="1869"/>
      <c r="V106" s="1869"/>
      <c r="W106" s="1873"/>
      <c r="X106" s="1873"/>
      <c r="Y106" s="1873"/>
      <c r="Z106" s="1873"/>
    </row>
    <row r="107" spans="1:26" s="1230" customFormat="1" ht="14.25">
      <c r="A107" s="388" t="s">
        <v>1632</v>
      </c>
      <c r="B107" s="369" t="s">
        <v>442</v>
      </c>
      <c r="C107" s="398">
        <f>ROUND(C106*D107,0)</f>
        <v>471</v>
      </c>
      <c r="D107" s="399">
        <f>'数据-取费表'!B48+'数据-取费表'!B49</f>
        <v>3.0499999999999999E-2</v>
      </c>
      <c r="E107" s="410" t="s">
        <v>453</v>
      </c>
      <c r="F107" s="955"/>
      <c r="G107" s="955"/>
      <c r="H107" s="956"/>
      <c r="I107" s="11"/>
      <c r="J107" s="1869"/>
      <c r="K107" s="1869"/>
      <c r="L107" s="1869"/>
      <c r="M107" s="1869"/>
      <c r="N107" s="1869"/>
      <c r="O107" s="1869"/>
      <c r="P107" s="1869"/>
      <c r="Q107" s="1869"/>
      <c r="R107" s="1869"/>
      <c r="S107" s="1869"/>
      <c r="T107" s="1869"/>
      <c r="U107" s="1869"/>
      <c r="V107" s="1869"/>
      <c r="W107" s="1873"/>
      <c r="X107" s="1873"/>
      <c r="Y107" s="1873"/>
      <c r="Z107" s="1873"/>
    </row>
    <row r="108" spans="1:26" s="1230" customFormat="1" ht="14.25">
      <c r="A108" s="388" t="s">
        <v>1634</v>
      </c>
      <c r="B108" s="369" t="s">
        <v>454</v>
      </c>
      <c r="C108" s="409"/>
      <c r="D108" s="399"/>
      <c r="E108" s="410" t="str">
        <f>IF(H106="-","土地取得成本中已包含该笔费用"," ")</f>
        <v xml:space="preserve"> </v>
      </c>
      <c r="F108" s="955"/>
      <c r="G108" s="3624" t="s">
        <v>2688</v>
      </c>
      <c r="H108" s="3625"/>
      <c r="I108" s="2775"/>
      <c r="J108" s="1869"/>
      <c r="K108" s="3150" t="s">
        <v>2717</v>
      </c>
      <c r="L108" s="1869"/>
      <c r="M108" s="1869"/>
      <c r="N108" s="1869"/>
      <c r="O108" s="1869"/>
      <c r="P108" s="1869"/>
      <c r="Q108" s="1869"/>
      <c r="R108" s="1869"/>
      <c r="S108" s="1869"/>
      <c r="T108" s="1869"/>
      <c r="U108" s="1869"/>
      <c r="V108" s="1869"/>
      <c r="W108" s="1873"/>
      <c r="X108" s="1873"/>
      <c r="Y108" s="1873"/>
      <c r="Z108" s="1873"/>
    </row>
    <row r="109" spans="1:26" s="1230" customFormat="1" ht="24" customHeight="1">
      <c r="A109" s="1502" t="s">
        <v>1638</v>
      </c>
      <c r="B109" s="369" t="s">
        <v>455</v>
      </c>
      <c r="C109" s="398">
        <f>IF(H109="——",IF(F1="现房",'剩余法-现房'!C18,0),I109)</f>
        <v>0</v>
      </c>
      <c r="D109" s="399"/>
      <c r="E109" s="3602" t="s">
        <v>456</v>
      </c>
      <c r="F109" s="3569"/>
      <c r="G109" s="3569"/>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0" customFormat="1" ht="25.5" customHeight="1">
      <c r="A110" s="1502" t="s">
        <v>1639</v>
      </c>
      <c r="B110" s="369" t="s">
        <v>457</v>
      </c>
      <c r="C110" s="398">
        <f>ROUND((C105+C108+C109)*D110,0)</f>
        <v>0</v>
      </c>
      <c r="D110" s="3181">
        <v>0</v>
      </c>
      <c r="E110" s="3602" t="s">
        <v>458</v>
      </c>
      <c r="F110" s="3569"/>
      <c r="G110" s="3569"/>
      <c r="H110" s="3570"/>
      <c r="I110" s="11"/>
      <c r="J110" s="1869"/>
      <c r="K110" s="3151" t="s">
        <v>2718</v>
      </c>
      <c r="L110" s="1869"/>
      <c r="M110" s="1869"/>
      <c r="N110" s="1869"/>
      <c r="O110" s="1869"/>
      <c r="P110" s="1869"/>
      <c r="Q110" s="1869"/>
      <c r="R110" s="1869"/>
      <c r="S110" s="1869"/>
      <c r="T110" s="1869"/>
      <c r="U110" s="1869"/>
      <c r="V110" s="1869"/>
      <c r="W110" s="1873"/>
      <c r="X110" s="1873"/>
      <c r="Y110" s="1873"/>
      <c r="Z110" s="1873"/>
    </row>
    <row r="111" spans="1:26" s="1230" customFormat="1" ht="25.5" customHeight="1">
      <c r="A111" s="1502" t="s">
        <v>1640</v>
      </c>
      <c r="B111" s="369" t="s">
        <v>444</v>
      </c>
      <c r="C111" s="398">
        <f ca="1">ROUND(D63*D111/(1+'数据-取费表'!C42),0)</f>
        <v>121</v>
      </c>
      <c r="D111" s="399">
        <f>'数据-取费表'!B43</f>
        <v>5.000000000000001E-3</v>
      </c>
      <c r="E111" s="3568" t="s">
        <v>2215</v>
      </c>
      <c r="F111" s="3569"/>
      <c r="G111" s="3569"/>
      <c r="H111" s="3570"/>
      <c r="I111" s="11"/>
      <c r="J111" s="1869"/>
      <c r="K111" s="1869"/>
      <c r="L111" s="1869"/>
      <c r="M111" s="1869"/>
      <c r="N111" s="1869"/>
      <c r="O111" s="1869"/>
      <c r="P111" s="1869"/>
      <c r="Q111" s="1869"/>
      <c r="R111" s="1869"/>
      <c r="S111" s="1869"/>
      <c r="T111" s="1869"/>
      <c r="U111" s="1869"/>
      <c r="V111" s="1869"/>
      <c r="W111" s="1873"/>
      <c r="X111" s="1873"/>
      <c r="Y111" s="1873"/>
      <c r="Z111" s="1873"/>
    </row>
    <row r="112" spans="1:26" s="1230" customFormat="1" ht="25.5" customHeight="1">
      <c r="A112" s="1502" t="s">
        <v>1641</v>
      </c>
      <c r="B112" s="369" t="s">
        <v>459</v>
      </c>
      <c r="C112" s="398">
        <f>ROUND(C108*D112,0)</f>
        <v>0</v>
      </c>
      <c r="D112" s="399">
        <v>0.2</v>
      </c>
      <c r="E112" s="3602" t="s">
        <v>2234</v>
      </c>
      <c r="F112" s="3569"/>
      <c r="G112" s="3569"/>
      <c r="H112" s="3570"/>
      <c r="I112" s="11"/>
      <c r="J112" s="1869"/>
      <c r="K112" s="1869"/>
      <c r="L112" s="1869"/>
      <c r="M112" s="1869"/>
      <c r="N112" s="1869"/>
      <c r="O112" s="1869"/>
      <c r="P112" s="1869"/>
      <c r="Q112" s="1869"/>
      <c r="R112" s="1869"/>
      <c r="S112" s="1869"/>
      <c r="T112" s="1869"/>
      <c r="U112" s="1869"/>
      <c r="V112" s="1869"/>
      <c r="W112" s="1873"/>
      <c r="X112" s="1873"/>
      <c r="Y112" s="1873"/>
      <c r="Z112" s="1873"/>
    </row>
    <row r="113" spans="1:26" s="1230" customFormat="1" ht="14.25">
      <c r="A113" s="1500" t="s">
        <v>1635</v>
      </c>
      <c r="B113" s="375" t="s">
        <v>445</v>
      </c>
      <c r="C113" s="378">
        <f ca="1">ROUND(C103-C104,0)</f>
        <v>8260</v>
      </c>
      <c r="D113" s="371" t="s">
        <v>19</v>
      </c>
      <c r="E113" s="960"/>
      <c r="F113" s="959"/>
      <c r="G113" s="959"/>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0" customFormat="1" ht="24">
      <c r="A114" s="1500" t="s">
        <v>1636</v>
      </c>
      <c r="B114" s="375" t="s">
        <v>446</v>
      </c>
      <c r="C114" s="400">
        <f ca="1">IF(C113&lt;=0,0,C113/C104)</f>
        <v>0.51556597520028924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59"/>
      <c r="G114" s="959"/>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0" customFormat="1" ht="24.75" thickBot="1">
      <c r="A115" s="1501" t="s">
        <v>1637</v>
      </c>
      <c r="B115" s="380" t="s">
        <v>447</v>
      </c>
      <c r="C115" s="401">
        <f ca="1">ROUND(IF(C113&lt;=0,0,IF(C114&gt;=200%,C113*60%-C104*35%,IF(C114&gt;=100%,C113*50%-C104*15%,IF(C114&gt;=50%,C113*40%-C104*5%,IF(C114&lt;50%,C113*30%,0))))),0)</f>
        <v>2503</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53" sqref="G53"/>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8</v>
      </c>
      <c r="L1" s="289"/>
      <c r="M1" s="289"/>
      <c r="N1" s="289"/>
      <c r="O1" s="289"/>
      <c r="P1" s="289"/>
      <c r="Q1" s="289"/>
      <c r="R1" s="289"/>
      <c r="S1" s="289"/>
      <c r="T1" s="289"/>
      <c r="U1" s="289"/>
      <c r="V1" s="289"/>
      <c r="W1" s="289"/>
      <c r="X1" s="289"/>
      <c r="Y1" s="289"/>
      <c r="Z1" s="289"/>
    </row>
    <row r="2" spans="1:31" s="1877" customFormat="1" ht="18" customHeight="1">
      <c r="A2" s="1936" t="s">
        <v>461</v>
      </c>
      <c r="B2" s="1940">
        <f ca="1">C36</f>
        <v>49152</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9530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5043</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336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SUM(C10:K10)</f>
        <v>96755</v>
      </c>
      <c r="D6" s="2467"/>
      <c r="E6" s="2467"/>
      <c r="F6" s="2467"/>
      <c r="G6" s="2467"/>
      <c r="H6" s="2467"/>
      <c r="I6" s="2467"/>
      <c r="J6" s="2467"/>
      <c r="K6" s="2469"/>
      <c r="L6" s="3103"/>
      <c r="M6" s="3103"/>
      <c r="N6" s="3103"/>
      <c r="O6" s="3103"/>
      <c r="P6" s="3103"/>
      <c r="Q6" s="3103"/>
      <c r="R6" s="3103"/>
      <c r="S6" s="3103"/>
      <c r="T6" s="3103"/>
      <c r="U6" s="3103"/>
      <c r="V6" s="3103"/>
      <c r="W6" s="3103"/>
      <c r="X6" s="3103"/>
      <c r="Y6" s="3103"/>
      <c r="Z6" s="3103"/>
    </row>
    <row r="7" spans="1:31" s="1948" customFormat="1" ht="15">
      <c r="A7" s="2470" t="s">
        <v>464</v>
      </c>
      <c r="B7" s="2471" t="s">
        <v>465</v>
      </c>
      <c r="C7" s="429" t="s">
        <v>3217</v>
      </c>
      <c r="D7" s="429" t="s">
        <v>35</v>
      </c>
      <c r="E7" s="429"/>
      <c r="F7" s="429"/>
      <c r="G7" s="429"/>
      <c r="H7" s="429"/>
      <c r="I7" s="429"/>
      <c r="J7" s="429"/>
      <c r="K7" s="430"/>
      <c r="AA7" s="1947"/>
      <c r="AB7" s="1947"/>
      <c r="AC7" s="1947"/>
      <c r="AD7" s="1947"/>
      <c r="AE7" s="1947"/>
    </row>
    <row r="8" spans="1:31" s="1950" customFormat="1" ht="13.5" customHeight="1">
      <c r="A8" s="775" t="s">
        <v>1645</v>
      </c>
      <c r="B8" s="258" t="s">
        <v>466</v>
      </c>
      <c r="C8" s="2472">
        <f>'[2]剩余法-待开发'!$C$8</f>
        <v>21374</v>
      </c>
      <c r="D8" s="2472">
        <f>'不动产比较法-车位'!B3</f>
        <v>4858</v>
      </c>
      <c r="E8" s="2472"/>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43511.83</v>
      </c>
      <c r="D9" s="434">
        <f>SUMIF('数据-汇总表'!$C19:$C33,'剩余法-待开发'!D7,'数据-汇总表'!$E19:$E33)</f>
        <v>7725.79</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1">
        <f>ROUND(C8*C9/10000,0)</f>
        <v>93002</v>
      </c>
      <c r="D10" s="2661">
        <f>'不动产比较法-车位'!B2</f>
        <v>3753</v>
      </c>
      <c r="E10" s="2661"/>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3"/>
      <c r="M11" s="3103"/>
      <c r="N11" s="3103"/>
      <c r="O11" s="3103"/>
      <c r="P11" s="3103"/>
      <c r="Q11" s="3103"/>
      <c r="R11" s="3103"/>
      <c r="S11" s="3103"/>
      <c r="T11" s="3103"/>
      <c r="U11" s="3103"/>
      <c r="V11" s="3103"/>
      <c r="W11" s="3103"/>
      <c r="X11" s="3103"/>
      <c r="Y11" s="3103"/>
      <c r="Z11" s="3103"/>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4"/>
      <c r="M12" s="3104"/>
      <c r="N12" s="3104"/>
      <c r="O12" s="3104"/>
      <c r="P12" s="3104"/>
      <c r="Q12" s="3104"/>
      <c r="R12" s="3104"/>
      <c r="S12" s="3104"/>
      <c r="T12" s="3104"/>
      <c r="U12" s="3104"/>
      <c r="V12" s="3104"/>
      <c r="W12" s="3104"/>
      <c r="X12" s="3104"/>
      <c r="Y12" s="3104"/>
      <c r="Z12" s="3104"/>
    </row>
    <row r="13" spans="1:31" s="1951" customFormat="1" ht="13.5" customHeight="1">
      <c r="A13" s="2480" t="s">
        <v>1648</v>
      </c>
      <c r="B13" s="2481" t="s">
        <v>473</v>
      </c>
      <c r="C13" s="442">
        <f ca="1">IF(B1="",'数据-取费表'!P16,INDIRECT("'数据-取费表'!p"&amp;$K$1)+INDIRECT("'数据-取费表'!t"&amp;$K$1))</f>
        <v>18040</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3">
        <f ca="1">ROUND(C13*F14,0)</f>
        <v>541</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805</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3">
        <f ca="1">ROUND(D16*E16/10000,0)</f>
        <v>1032</v>
      </c>
      <c r="D16" s="2482">
        <f ca="1">IF(B1="",'数据-汇总表'!E3,INDIRECT("'数据-取费表'!K"&amp;$K$1)+INDIRECT("'数据-取费表'!S"&amp;$K$1))</f>
        <v>51575.14</v>
      </c>
      <c r="E16" s="53">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271</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20689</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361</v>
      </c>
      <c r="D19" s="2492">
        <f ca="1">D16</f>
        <v>51575.14</v>
      </c>
      <c r="E19" s="2446">
        <f>'数据-取费表'!B32</f>
        <v>70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2446">
        <f ca="1">C21+C22-IF(B1="",'数据-取费表'!B29,IF(G20="已全部缴纳",C21+C22,H20))</f>
        <v>1134</v>
      </c>
      <c r="D20" s="2492"/>
      <c r="E20" s="2446"/>
      <c r="F20" s="2493"/>
      <c r="G20" s="2692" t="s">
        <v>4207</v>
      </c>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957</v>
      </c>
      <c r="D21" s="2482">
        <f ca="1">IF(B1="",'数据-汇总表'!E5,IF(INDIRECT("'数据-取费表'!c"&amp;$K$1)="住宅",INDIRECT("'数据-取费表'!k"&amp;$K$1),0))</f>
        <v>43511.83</v>
      </c>
      <c r="E21" s="53">
        <f>'数据-取费表'!B27</f>
        <v>220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177</v>
      </c>
      <c r="D22" s="2482">
        <f ca="1">IF(B1="",'数据-汇总表'!E6,IF(INDIRECT("'数据-取费表'!c"&amp;$K$1)="住宅",INDIRECT("'数据-取费表'!s"&amp;$K$1),INDIRECT("'数据-取费表'!k"&amp;$K$1)+INDIRECT("'数据-取费表'!s"&amp;$K$1)))</f>
        <v>8063.3099999999977</v>
      </c>
      <c r="E22" s="53">
        <f>'数据-取费表'!B28</f>
        <v>220</v>
      </c>
      <c r="F22" s="2485"/>
      <c r="G22" s="26"/>
      <c r="H22" s="51"/>
      <c r="I22" s="51"/>
      <c r="J22" s="51"/>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5" t="s">
        <v>2548</v>
      </c>
      <c r="C23" s="2490">
        <f ca="1">ROUND((C18+C19+C20)*F23,0)</f>
        <v>444</v>
      </c>
      <c r="D23" s="460"/>
      <c r="E23" s="460"/>
      <c r="F23" s="2494">
        <f>'数据-取费表'!B37</f>
        <v>0.02</v>
      </c>
      <c r="G23" s="2450" t="s">
        <v>2217</v>
      </c>
      <c r="H23" s="2451"/>
      <c r="I23" s="2451"/>
      <c r="J23" s="2451"/>
      <c r="K23" s="2452"/>
      <c r="L23" s="3105"/>
      <c r="M23" s="3105"/>
      <c r="N23" s="3105"/>
      <c r="O23" s="1952"/>
      <c r="P23" s="1952"/>
      <c r="Q23" s="1952"/>
      <c r="R23" s="1952"/>
      <c r="S23" s="1952"/>
      <c r="T23" s="1952"/>
      <c r="U23" s="1952"/>
      <c r="V23" s="1952"/>
      <c r="W23" s="1952"/>
      <c r="X23" s="1952"/>
      <c r="Y23" s="1952"/>
      <c r="Z23" s="1952"/>
    </row>
    <row r="24" spans="1:26" s="1951" customFormat="1" ht="13.5" customHeight="1">
      <c r="A24" s="2488" t="s">
        <v>1659</v>
      </c>
      <c r="B24" s="2665" t="s">
        <v>2551</v>
      </c>
      <c r="C24" s="2490">
        <f>ROUND(C6*F24,0)</f>
        <v>1935</v>
      </c>
      <c r="D24" s="467"/>
      <c r="E24" s="465"/>
      <c r="F24" s="2494">
        <f>'数据-取费表'!B38</f>
        <v>0.02</v>
      </c>
      <c r="G24" s="2459" t="s">
        <v>493</v>
      </c>
      <c r="H24" s="2453"/>
      <c r="I24" s="2453"/>
      <c r="J24" s="2453"/>
      <c r="K24" s="276"/>
      <c r="L24" s="3105"/>
      <c r="M24" s="3105"/>
      <c r="N24" s="3105"/>
      <c r="O24" s="1952"/>
      <c r="P24" s="1952"/>
      <c r="Q24" s="1952"/>
      <c r="R24" s="1952"/>
      <c r="S24" s="1952"/>
      <c r="T24" s="1952"/>
      <c r="U24" s="1952"/>
      <c r="V24" s="1952"/>
      <c r="W24" s="1952"/>
      <c r="X24" s="1952"/>
      <c r="Y24" s="1952"/>
      <c r="Z24" s="1952"/>
    </row>
    <row r="25" spans="1:26" s="1954" customFormat="1" ht="13.5" customHeight="1">
      <c r="A25" s="2488" t="s">
        <v>1660</v>
      </c>
      <c r="B25" s="2665"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6"/>
      <c r="M25" s="3106"/>
      <c r="N25" s="3106"/>
      <c r="O25" s="3106"/>
      <c r="P25" s="3106"/>
      <c r="Q25" s="3106"/>
      <c r="R25" s="3106"/>
      <c r="S25" s="3106"/>
      <c r="T25" s="3106"/>
      <c r="U25" s="3106"/>
      <c r="V25" s="3106"/>
      <c r="W25" s="3106"/>
      <c r="X25" s="3106"/>
      <c r="Y25" s="3106"/>
      <c r="Z25" s="3106"/>
    </row>
    <row r="26" spans="1:26" s="1953" customFormat="1" ht="13.5" customHeight="1">
      <c r="A26" s="2488" t="s">
        <v>1661</v>
      </c>
      <c r="B26" s="2666" t="s">
        <v>2550</v>
      </c>
      <c r="C26" s="2495">
        <f ca="1">C28</f>
        <v>1296</v>
      </c>
      <c r="D26" s="459">
        <f ca="1">C27</f>
        <v>0.1115</v>
      </c>
      <c r="E26" s="461" t="s">
        <v>489</v>
      </c>
      <c r="F26" s="463">
        <f ca="1">'数据-取费表'!B40</f>
        <v>4.2000000000000003E-2</v>
      </c>
      <c r="G26" s="2345" t="str">
        <f>IF('数据-取费表'!B22&lt;=1,"单利计息。","复利计息。")&amp;"后续开发成本、管理费用及销售费用产生的利息。"</f>
        <v>复利计息。后续开发成本、管理费用及销售费用产生的利息。</v>
      </c>
      <c r="H26" s="2455"/>
      <c r="I26" s="2455"/>
      <c r="J26" s="2455"/>
      <c r="K26" s="2456"/>
      <c r="L26" s="3105"/>
      <c r="M26" s="3105"/>
      <c r="N26" s="3105"/>
      <c r="O26" s="3105"/>
      <c r="P26" s="3105"/>
      <c r="Q26" s="3105"/>
      <c r="R26" s="3105"/>
      <c r="S26" s="3105"/>
      <c r="T26" s="3105"/>
      <c r="U26" s="3105"/>
      <c r="V26" s="3105"/>
      <c r="W26" s="3105"/>
      <c r="X26" s="3105"/>
      <c r="Y26" s="3105"/>
      <c r="Z26" s="3105"/>
    </row>
    <row r="27" spans="1:26" s="1955" customFormat="1" ht="13.5" customHeight="1">
      <c r="A27" s="775" t="s">
        <v>1656</v>
      </c>
      <c r="B27" s="2496" t="s">
        <v>490</v>
      </c>
      <c r="C27" s="2497">
        <f ca="1">ROUND(IF('数据-取费表'!B22&lt;=1,(1+C25)*F26*'数据-取费表'!B24,(1+C25)*(POWER((1+F26),'数据-取费表'!B24)-1)),4)</f>
        <v>0.1115</v>
      </c>
      <c r="D27" s="464"/>
      <c r="E27" s="465"/>
      <c r="F27" s="466"/>
      <c r="G27" s="2345" t="str">
        <f>IF('数据-取费表'!B22&lt;=1,"（1+取得税费率/(1+5%)）×年利率×建设期","（1+取得税费率）/(1+5%)×((1+年利率)^建设期-1)")</f>
        <v>（1+取得税费率）/(1+5%)×((1+年利率)^建设期-1)</v>
      </c>
      <c r="H27" s="2453"/>
      <c r="I27" s="2453"/>
      <c r="J27" s="2453"/>
      <c r="K27" s="276"/>
      <c r="L27" s="3107"/>
      <c r="M27" s="3107"/>
      <c r="N27" s="3107"/>
      <c r="O27" s="3107"/>
      <c r="P27" s="3107"/>
      <c r="Q27" s="3107"/>
      <c r="R27" s="3107"/>
      <c r="S27" s="3107"/>
      <c r="T27" s="3107"/>
      <c r="U27" s="3107"/>
      <c r="V27" s="3107"/>
      <c r="W27" s="3107"/>
      <c r="X27" s="3107"/>
      <c r="Y27" s="3107"/>
      <c r="Z27" s="3107"/>
    </row>
    <row r="28" spans="1:26" s="1955" customFormat="1" ht="13.5" customHeight="1">
      <c r="A28" s="775" t="s">
        <v>1657</v>
      </c>
      <c r="B28" s="2496" t="s">
        <v>2552</v>
      </c>
      <c r="C28" s="2498">
        <f ca="1">ROUND(IF('数据-取费表'!B22&lt;=1,(C18+C19+C20+C23+C24)*F26*'数据-取费表'!B24/2,(C18+C19+C20+C23+C24)*(POWER((1+F26),'数据-取费表'!B24/2)-1)),0)</f>
        <v>1296</v>
      </c>
      <c r="D28" s="464"/>
      <c r="E28" s="465"/>
      <c r="F28" s="466"/>
      <c r="G28" s="2345" t="str">
        <f>IF('数据-取费表'!B22&lt;=1,"（1）-（4）项×年利率×建设期÷2","（1）-（4）项×((1+年利率)^(建设期÷2)-1)")</f>
        <v>（1）-（4）项×((1+年利率)^(建设期÷2)-1)</v>
      </c>
      <c r="H28" s="2453"/>
      <c r="I28" s="2453"/>
      <c r="J28" s="2453"/>
      <c r="K28" s="276"/>
      <c r="L28" s="3107"/>
      <c r="M28" s="3107"/>
      <c r="N28" s="3107"/>
      <c r="O28" s="3107"/>
      <c r="P28" s="3107"/>
      <c r="Q28" s="3107"/>
      <c r="R28" s="3107"/>
      <c r="S28" s="3107"/>
      <c r="T28" s="3107"/>
      <c r="U28" s="3107"/>
      <c r="V28" s="3107"/>
      <c r="W28" s="3107"/>
      <c r="X28" s="3107"/>
      <c r="Y28" s="3107"/>
      <c r="Z28" s="3107"/>
    </row>
    <row r="29" spans="1:26" s="1955" customFormat="1" ht="13.5" customHeight="1">
      <c r="A29" s="2499" t="s">
        <v>1662</v>
      </c>
      <c r="B29" s="2489" t="s">
        <v>491</v>
      </c>
      <c r="C29" s="2490">
        <f>ROUND(C6*F29/(1+'数据-取费表'!C42),0)</f>
        <v>5068</v>
      </c>
      <c r="D29" s="460"/>
      <c r="E29" s="460"/>
      <c r="F29" s="2667">
        <f>'数据-取费表'!B41</f>
        <v>5.5000000000000007E-2</v>
      </c>
      <c r="G29" s="2459" t="s">
        <v>492</v>
      </c>
      <c r="H29" s="2451"/>
      <c r="I29" s="2451"/>
      <c r="J29" s="2451"/>
      <c r="K29" s="2452"/>
      <c r="L29" s="3107"/>
      <c r="M29" s="3107"/>
      <c r="N29" s="3107"/>
      <c r="O29" s="3107"/>
      <c r="P29" s="3107"/>
      <c r="Q29" s="3107"/>
      <c r="R29" s="3107"/>
      <c r="S29" s="3107"/>
      <c r="T29" s="3107"/>
      <c r="U29" s="3107"/>
      <c r="V29" s="3107"/>
      <c r="W29" s="3107"/>
      <c r="X29" s="3107"/>
      <c r="Y29" s="3107"/>
      <c r="Z29" s="3107"/>
    </row>
    <row r="30" spans="1:26" s="1956" customFormat="1" ht="13.5" customHeight="1">
      <c r="A30" s="1518" t="s">
        <v>1663</v>
      </c>
      <c r="B30" s="2500" t="s">
        <v>494</v>
      </c>
      <c r="C30" s="2495">
        <f ca="1">C31</f>
        <v>30927</v>
      </c>
      <c r="D30" s="469">
        <f ca="1">C32</f>
        <v>0.14050000000000001</v>
      </c>
      <c r="E30" s="461" t="s">
        <v>489</v>
      </c>
      <c r="F30" s="463"/>
      <c r="G30" s="2458" t="s">
        <v>2664</v>
      </c>
      <c r="H30" s="2451"/>
      <c r="I30" s="2451"/>
      <c r="J30" s="2451"/>
      <c r="K30" s="2452"/>
      <c r="L30" s="3108"/>
      <c r="M30" s="3108"/>
      <c r="N30" s="3108"/>
      <c r="O30" s="3108"/>
      <c r="P30" s="3108"/>
      <c r="Q30" s="3108"/>
      <c r="R30" s="3108"/>
      <c r="S30" s="3108"/>
      <c r="T30" s="3108"/>
      <c r="U30" s="3108"/>
      <c r="V30" s="3108"/>
      <c r="W30" s="3108"/>
      <c r="X30" s="3108"/>
      <c r="Y30" s="3108"/>
      <c r="Z30" s="3108"/>
    </row>
    <row r="31" spans="1:26" s="1955" customFormat="1" ht="13.5" customHeight="1">
      <c r="A31" s="775" t="s">
        <v>1656</v>
      </c>
      <c r="B31" s="2496"/>
      <c r="C31" s="442">
        <f ca="1">C18+C19+C20+C23+C24+C26+C29</f>
        <v>30927</v>
      </c>
      <c r="D31" s="464"/>
      <c r="E31" s="465"/>
      <c r="F31" s="466"/>
      <c r="G31" s="258"/>
      <c r="H31" s="2453"/>
      <c r="I31" s="2453"/>
      <c r="J31" s="2453"/>
      <c r="K31" s="276"/>
      <c r="L31" s="3107"/>
      <c r="M31" s="3107"/>
      <c r="N31" s="3107"/>
      <c r="O31" s="3107"/>
      <c r="P31" s="3107"/>
      <c r="Q31" s="3107"/>
      <c r="R31" s="3107"/>
      <c r="S31" s="3107"/>
      <c r="T31" s="3107"/>
      <c r="U31" s="3107"/>
      <c r="V31" s="3107"/>
      <c r="W31" s="3107"/>
      <c r="X31" s="3107"/>
      <c r="Y31" s="3107"/>
      <c r="Z31" s="3107"/>
    </row>
    <row r="32" spans="1:26" s="1955" customFormat="1" ht="13.5" customHeight="1">
      <c r="A32" s="775" t="s">
        <v>1657</v>
      </c>
      <c r="B32" s="2496"/>
      <c r="C32" s="53">
        <f ca="1">ROUND(C25+D26,4)</f>
        <v>0.14050000000000001</v>
      </c>
      <c r="D32" s="464"/>
      <c r="E32" s="465"/>
      <c r="F32" s="466"/>
      <c r="G32" s="258"/>
      <c r="H32" s="2453"/>
      <c r="I32" s="2453"/>
      <c r="J32" s="2453"/>
      <c r="K32" s="276"/>
      <c r="L32" s="3107"/>
      <c r="M32" s="3107"/>
      <c r="N32" s="3107"/>
      <c r="O32" s="3107"/>
      <c r="P32" s="3107"/>
      <c r="Q32" s="3107"/>
      <c r="R32" s="3107"/>
      <c r="S32" s="3107"/>
      <c r="T32" s="3107"/>
      <c r="U32" s="3107"/>
      <c r="V32" s="3107"/>
      <c r="W32" s="3107"/>
      <c r="X32" s="3107"/>
      <c r="Y32" s="3107"/>
      <c r="Z32" s="3107"/>
    </row>
    <row r="33" spans="1:26" s="1957" customFormat="1" ht="13.5" customHeight="1">
      <c r="A33" s="2664" t="s">
        <v>2547</v>
      </c>
      <c r="B33" s="2662" t="s">
        <v>2545</v>
      </c>
      <c r="C33" s="470">
        <f ca="1">C35</f>
        <v>3193</v>
      </c>
      <c r="D33" s="459">
        <f ca="1">C34</f>
        <v>0.1338</v>
      </c>
      <c r="E33" s="461" t="s">
        <v>489</v>
      </c>
      <c r="F33" s="471">
        <f ca="1">IF(B1="",'数据-取费表'!Q16,INDIRECT("'数据-取费表'!q"&amp;$K$1))</f>
        <v>0.13</v>
      </c>
      <c r="G33" s="2454"/>
      <c r="H33" s="2455"/>
      <c r="I33" s="2455"/>
      <c r="J33" s="2455"/>
      <c r="K33" s="2456"/>
      <c r="L33" s="3109"/>
      <c r="M33" s="3109"/>
      <c r="N33" s="3109"/>
      <c r="O33" s="3109"/>
      <c r="P33" s="3109"/>
      <c r="Q33" s="3109"/>
      <c r="R33" s="3109"/>
      <c r="S33" s="3109"/>
      <c r="T33" s="3109"/>
      <c r="U33" s="3109"/>
      <c r="V33" s="3109"/>
      <c r="W33" s="3109"/>
      <c r="X33" s="3109"/>
      <c r="Y33" s="3109"/>
      <c r="Z33" s="3109"/>
    </row>
    <row r="34" spans="1:26" s="1958" customFormat="1" ht="13.5" customHeight="1">
      <c r="A34" s="368" t="s">
        <v>1656</v>
      </c>
      <c r="B34" s="2501" t="s">
        <v>495</v>
      </c>
      <c r="C34" s="464">
        <f ca="1">ROUND((1+C25)*F33,4)</f>
        <v>0.1338</v>
      </c>
      <c r="D34" s="464"/>
      <c r="E34" s="465"/>
      <c r="F34" s="472"/>
      <c r="G34" s="258" t="s">
        <v>2081</v>
      </c>
      <c r="H34" s="2453"/>
      <c r="I34" s="2453"/>
      <c r="J34" s="2453"/>
      <c r="K34" s="276"/>
      <c r="L34" s="3110"/>
      <c r="M34" s="3110"/>
      <c r="N34" s="3110"/>
      <c r="O34" s="3110"/>
      <c r="P34" s="3110"/>
      <c r="Q34" s="3110"/>
      <c r="R34" s="3110"/>
      <c r="S34" s="3110"/>
      <c r="T34" s="3110"/>
      <c r="U34" s="3110"/>
      <c r="V34" s="3110"/>
      <c r="W34" s="3110"/>
      <c r="X34" s="3110"/>
      <c r="Y34" s="3110"/>
      <c r="Z34" s="3110"/>
    </row>
    <row r="35" spans="1:26" s="1958" customFormat="1" ht="13.5" customHeight="1" thickBot="1">
      <c r="A35" s="1519" t="s">
        <v>1657</v>
      </c>
      <c r="B35" s="2663" t="s">
        <v>2553</v>
      </c>
      <c r="C35" s="1511">
        <f ca="1">ROUND((C18+C19+C20+C23+C24)*F33,0)</f>
        <v>3193</v>
      </c>
      <c r="D35" s="1512"/>
      <c r="E35" s="2502"/>
      <c r="F35" s="1513"/>
      <c r="G35" s="2460"/>
      <c r="H35" s="2461"/>
      <c r="I35" s="2461"/>
      <c r="J35" s="2461"/>
      <c r="K35" s="2462"/>
      <c r="L35" s="3110"/>
      <c r="M35" s="3110"/>
      <c r="N35" s="3110"/>
      <c r="O35" s="3110"/>
      <c r="P35" s="3110"/>
      <c r="Q35" s="3110"/>
      <c r="R35" s="3110"/>
      <c r="S35" s="3110"/>
      <c r="T35" s="3110"/>
      <c r="U35" s="3110"/>
      <c r="V35" s="3110"/>
      <c r="W35" s="3110"/>
      <c r="X35" s="3110"/>
      <c r="Y35" s="3110"/>
      <c r="Z35" s="3110"/>
    </row>
    <row r="36" spans="1:26" s="1920" customFormat="1" ht="13.5" customHeight="1" thickBot="1">
      <c r="A36" s="281" t="s">
        <v>1644</v>
      </c>
      <c r="B36" s="2464"/>
      <c r="C36" s="2503">
        <f ca="1">ROUND((C6-C30-C33)/(1+D30+D33),0)</f>
        <v>49152</v>
      </c>
      <c r="D36" s="2464"/>
      <c r="E36" s="2464"/>
      <c r="F36" s="2464"/>
      <c r="G36" s="2463" t="s">
        <v>2554</v>
      </c>
      <c r="H36" s="2464"/>
      <c r="I36" s="2464"/>
      <c r="J36" s="2464"/>
      <c r="K36" s="2465"/>
      <c r="L36" s="3104"/>
      <c r="M36" s="3104"/>
      <c r="N36" s="3104"/>
      <c r="O36" s="3104"/>
      <c r="P36" s="3104"/>
      <c r="Q36" s="3104"/>
      <c r="R36" s="3104"/>
      <c r="S36" s="3104"/>
      <c r="T36" s="3104"/>
      <c r="U36" s="3104"/>
      <c r="V36" s="3104"/>
      <c r="W36" s="3104"/>
      <c r="X36" s="3104"/>
      <c r="Y36" s="3104"/>
      <c r="Z36" s="3104"/>
    </row>
    <row r="37" spans="1:26" s="1950" customFormat="1">
      <c r="A37" s="3111"/>
      <c r="C37" s="3112"/>
      <c r="E37" s="3111"/>
    </row>
    <row r="38" spans="1:26" s="1950" customFormat="1" ht="12.75" customHeight="1">
      <c r="A38" s="3111"/>
      <c r="C38" s="3112"/>
      <c r="E38" s="3111"/>
    </row>
    <row r="39" spans="1:26" s="1950" customFormat="1">
      <c r="A39" s="3111"/>
      <c r="C39" s="3112"/>
      <c r="E39" s="3111"/>
    </row>
    <row r="40" spans="1:26" s="1950" customFormat="1">
      <c r="A40" s="3111"/>
      <c r="C40" s="3112"/>
      <c r="E40" s="3111"/>
    </row>
    <row r="41" spans="1:26" s="1950" customFormat="1">
      <c r="A41" s="3111"/>
      <c r="C41" s="3112"/>
      <c r="E41" s="3111"/>
    </row>
    <row r="42" spans="1:26" s="1950" customFormat="1">
      <c r="A42" s="3111"/>
      <c r="C42" s="3112"/>
      <c r="E42" s="3111"/>
    </row>
    <row r="43" spans="1:26" s="1950" customFormat="1">
      <c r="A43" s="3111"/>
      <c r="C43" s="3112"/>
      <c r="E43" s="3111"/>
    </row>
    <row r="44" spans="1:26" s="1950" customFormat="1">
      <c r="A44" s="3111"/>
      <c r="C44" s="3112"/>
      <c r="E44" s="3111"/>
    </row>
    <row r="45" spans="1:26" s="1950" customFormat="1">
      <c r="A45" s="3111"/>
      <c r="C45" s="3112"/>
      <c r="E45" s="3111"/>
    </row>
    <row r="46" spans="1:26" s="1950" customFormat="1">
      <c r="A46" s="3111"/>
      <c r="C46" s="3112"/>
      <c r="E46" s="3111"/>
    </row>
    <row r="47" spans="1:26" s="1950" customFormat="1">
      <c r="A47" s="3111"/>
      <c r="C47" s="3112"/>
      <c r="E47" s="3111"/>
    </row>
    <row r="48" spans="1:26" s="1950" customFormat="1">
      <c r="A48" s="3111"/>
      <c r="C48" s="3112"/>
      <c r="E48" s="3111"/>
    </row>
    <row r="49" spans="1:5" s="1950" customFormat="1">
      <c r="A49" s="3111"/>
      <c r="C49" s="3112"/>
      <c r="E49" s="3111"/>
    </row>
    <row r="50" spans="1:5" s="1950" customFormat="1">
      <c r="A50" s="3111"/>
      <c r="C50" s="3112"/>
      <c r="E50" s="3111"/>
    </row>
    <row r="51" spans="1:5" s="1950" customFormat="1">
      <c r="A51" s="3111"/>
      <c r="C51" s="3112"/>
      <c r="E51" s="3111"/>
    </row>
    <row r="52" spans="1:5" s="1950" customFormat="1">
      <c r="A52" s="3111"/>
      <c r="C52" s="3112"/>
      <c r="E52" s="3111"/>
    </row>
    <row r="53" spans="1:5" s="1950" customFormat="1">
      <c r="A53" s="3111"/>
      <c r="C53" s="3112"/>
      <c r="E53" s="3111"/>
    </row>
    <row r="54" spans="1:5" s="1950" customFormat="1">
      <c r="A54" s="3111"/>
      <c r="C54" s="3112"/>
      <c r="E54" s="3111"/>
    </row>
    <row r="55" spans="1:5" s="1950" customFormat="1">
      <c r="A55" s="3111"/>
      <c r="C55" s="3112"/>
      <c r="E55" s="3111"/>
    </row>
    <row r="56" spans="1:5" s="1950" customFormat="1">
      <c r="A56" s="3111"/>
      <c r="C56" s="3112"/>
      <c r="E56" s="3111"/>
    </row>
    <row r="57" spans="1:5" s="1950" customFormat="1">
      <c r="A57" s="3111"/>
      <c r="C57" s="3112"/>
      <c r="E57" s="3111"/>
    </row>
    <row r="58" spans="1:5" s="1950" customFormat="1">
      <c r="A58" s="3111"/>
      <c r="C58" s="3112"/>
      <c r="E58" s="3111"/>
    </row>
    <row r="59" spans="1:5" s="1950" customFormat="1">
      <c r="A59" s="3111"/>
      <c r="C59" s="3112"/>
      <c r="E59" s="3111"/>
    </row>
    <row r="60" spans="1:5" s="1950" customFormat="1">
      <c r="A60" s="3111"/>
      <c r="C60" s="3112"/>
      <c r="E60" s="3111"/>
    </row>
    <row r="61" spans="1:5" s="1950" customFormat="1">
      <c r="A61" s="3111"/>
      <c r="C61" s="3112"/>
      <c r="E61" s="3111"/>
    </row>
    <row r="62" spans="1:5" s="1950" customFormat="1">
      <c r="A62" s="3111"/>
      <c r="C62" s="3112"/>
      <c r="E62" s="3111"/>
    </row>
    <row r="63" spans="1:5" s="1950" customFormat="1">
      <c r="A63" s="3111"/>
      <c r="C63" s="3112"/>
      <c r="E63" s="3111"/>
    </row>
    <row r="64" spans="1:5" s="1950" customFormat="1">
      <c r="A64" s="3111"/>
      <c r="C64" s="3112"/>
      <c r="E64" s="3111"/>
    </row>
    <row r="65" spans="1:5" s="1950" customFormat="1">
      <c r="A65" s="3111"/>
      <c r="C65" s="3112"/>
      <c r="E65" s="3111"/>
    </row>
    <row r="66" spans="1:5" s="1950" customFormat="1">
      <c r="A66" s="3111"/>
      <c r="C66" s="3112"/>
      <c r="E66" s="3111"/>
    </row>
    <row r="67" spans="1:5" s="1950" customFormat="1">
      <c r="A67" s="3111"/>
      <c r="C67" s="3112"/>
      <c r="E67" s="3111"/>
    </row>
    <row r="68" spans="1:5" s="1950" customFormat="1">
      <c r="A68" s="3111"/>
      <c r="C68" s="3112"/>
      <c r="E68" s="3111"/>
    </row>
    <row r="69" spans="1:5" s="1950" customFormat="1">
      <c r="A69" s="3111"/>
      <c r="C69" s="3112"/>
      <c r="E69" s="3111"/>
    </row>
    <row r="70" spans="1:5" s="1950" customFormat="1">
      <c r="A70" s="3111"/>
      <c r="C70" s="3112"/>
      <c r="E70" s="3111"/>
    </row>
    <row r="71" spans="1:5" s="1950" customFormat="1">
      <c r="A71" s="3111"/>
      <c r="C71" s="3112"/>
      <c r="E71" s="3111"/>
    </row>
    <row r="72" spans="1:5" s="1950" customFormat="1">
      <c r="A72" s="3111"/>
      <c r="C72" s="3112"/>
      <c r="E72" s="3111"/>
    </row>
    <row r="73" spans="1:5" s="1950" customFormat="1">
      <c r="A73" s="3111"/>
      <c r="C73" s="3112"/>
      <c r="E73" s="3111"/>
    </row>
    <row r="74" spans="1:5" s="1950" customFormat="1">
      <c r="A74" s="3111"/>
      <c r="C74" s="3112"/>
      <c r="E74" s="3111"/>
    </row>
    <row r="75" spans="1:5" s="1950" customFormat="1">
      <c r="A75" s="3111"/>
      <c r="C75" s="3112"/>
      <c r="E75" s="3111"/>
    </row>
    <row r="76" spans="1:5" s="1950" customFormat="1">
      <c r="A76" s="3111"/>
      <c r="C76" s="3112"/>
      <c r="E76" s="3111"/>
    </row>
    <row r="77" spans="1:5" s="1950" customFormat="1">
      <c r="A77" s="3111"/>
      <c r="C77" s="3112"/>
      <c r="E77" s="3111"/>
    </row>
    <row r="78" spans="1:5" s="1950" customFormat="1">
      <c r="A78" s="3111"/>
      <c r="C78" s="3112"/>
      <c r="E78" s="3111"/>
    </row>
    <row r="79" spans="1:5" s="1950" customFormat="1">
      <c r="A79" s="3111"/>
      <c r="C79" s="3112"/>
      <c r="E79" s="3111"/>
    </row>
    <row r="80" spans="1:5" s="1950" customFormat="1">
      <c r="A80" s="3111"/>
      <c r="C80" s="3112"/>
      <c r="E80" s="3111"/>
    </row>
    <row r="81" spans="1:5" s="1950" customFormat="1">
      <c r="A81" s="3111"/>
      <c r="C81" s="3112"/>
      <c r="E81" s="3111"/>
    </row>
    <row r="82" spans="1:5" s="1950" customFormat="1">
      <c r="A82" s="3111"/>
      <c r="C82" s="3112"/>
      <c r="E82" s="3111"/>
    </row>
    <row r="83" spans="1:5" s="1950" customFormat="1">
      <c r="A83" s="3111"/>
      <c r="C83" s="3112"/>
      <c r="E83" s="3111"/>
    </row>
    <row r="84" spans="1:5" s="1950" customFormat="1">
      <c r="A84" s="3111"/>
      <c r="C84" s="3112"/>
      <c r="E84" s="3111"/>
    </row>
    <row r="85" spans="1:5" s="1950" customFormat="1">
      <c r="A85" s="3111"/>
      <c r="C85" s="3112"/>
      <c r="E85" s="3111"/>
    </row>
    <row r="86" spans="1:5" s="1950" customFormat="1">
      <c r="A86" s="3111"/>
      <c r="C86" s="3112"/>
      <c r="E86" s="3111"/>
    </row>
    <row r="87" spans="1:5" s="1950" customFormat="1">
      <c r="A87" s="3111"/>
      <c r="C87" s="3112"/>
      <c r="E87" s="3111"/>
    </row>
    <row r="88" spans="1:5" s="1950" customFormat="1">
      <c r="A88" s="3111"/>
      <c r="C88" s="3112"/>
      <c r="E88" s="3111"/>
    </row>
    <row r="89" spans="1:5" s="1950" customFormat="1">
      <c r="A89" s="3111"/>
      <c r="C89" s="3112"/>
      <c r="E89" s="3111"/>
    </row>
    <row r="90" spans="1:5" s="1950" customFormat="1">
      <c r="A90" s="3111"/>
      <c r="C90" s="3112"/>
      <c r="E90" s="3111"/>
    </row>
    <row r="91" spans="1:5" s="1950" customFormat="1">
      <c r="A91" s="3111"/>
      <c r="C91" s="3112"/>
      <c r="E91" s="3111"/>
    </row>
    <row r="92" spans="1:5" s="1950" customFormat="1">
      <c r="A92" s="3111"/>
      <c r="C92" s="3112"/>
      <c r="E92" s="3111"/>
    </row>
    <row r="93" spans="1:5" s="1950" customFormat="1">
      <c r="A93" s="3111"/>
      <c r="C93" s="3112"/>
      <c r="E93" s="3111"/>
    </row>
    <row r="94" spans="1:5" s="1950" customFormat="1">
      <c r="A94" s="3111"/>
      <c r="C94" s="3112"/>
      <c r="E94" s="3111"/>
    </row>
    <row r="95" spans="1:5" s="1950" customFormat="1">
      <c r="A95" s="3111"/>
      <c r="C95" s="3112"/>
      <c r="E95" s="3111"/>
    </row>
    <row r="96" spans="1:5" s="1950" customFormat="1">
      <c r="A96" s="3111"/>
      <c r="C96" s="3112"/>
      <c r="E96" s="3111"/>
    </row>
    <row r="97" spans="1:5" s="1950" customFormat="1">
      <c r="A97" s="3111"/>
      <c r="C97" s="3112"/>
      <c r="E97" s="3111"/>
    </row>
    <row r="98" spans="1:5" s="1950" customFormat="1">
      <c r="A98" s="3111"/>
      <c r="C98" s="3112"/>
      <c r="E98" s="3111"/>
    </row>
    <row r="99" spans="1:5" s="1950" customFormat="1">
      <c r="A99" s="3111"/>
      <c r="C99" s="3112"/>
      <c r="E99" s="3111"/>
    </row>
    <row r="100" spans="1:5" s="1950" customFormat="1">
      <c r="A100" s="3111"/>
      <c r="C100" s="3112"/>
      <c r="E100" s="3111"/>
    </row>
    <row r="101" spans="1:5" s="1950" customFormat="1">
      <c r="A101" s="3111"/>
      <c r="C101" s="3112"/>
      <c r="E101" s="3111"/>
    </row>
    <row r="102" spans="1:5" s="1950" customFormat="1">
      <c r="A102" s="3111"/>
      <c r="C102" s="3112"/>
      <c r="E102" s="3111"/>
    </row>
    <row r="103" spans="1:5" s="1950" customFormat="1">
      <c r="A103" s="3111"/>
      <c r="C103" s="3112"/>
      <c r="E103" s="3111"/>
    </row>
    <row r="104" spans="1:5" s="1950" customFormat="1">
      <c r="A104" s="3111"/>
      <c r="C104" s="3112"/>
      <c r="E104" s="3111"/>
    </row>
    <row r="105" spans="1:5" s="1950" customFormat="1">
      <c r="A105" s="3111"/>
      <c r="C105" s="3112"/>
      <c r="E105" s="3111"/>
    </row>
    <row r="106" spans="1:5" s="1950" customFormat="1">
      <c r="A106" s="3111"/>
      <c r="C106" s="3112"/>
      <c r="E106" s="3111"/>
    </row>
    <row r="107" spans="1:5" s="1950" customFormat="1">
      <c r="A107" s="3111"/>
      <c r="C107" s="3112"/>
      <c r="E107" s="3111"/>
    </row>
    <row r="108" spans="1:5" s="1950" customFormat="1">
      <c r="A108" s="3111"/>
      <c r="C108" s="3112"/>
      <c r="E108" s="3111"/>
    </row>
    <row r="109" spans="1:5" s="1950" customFormat="1">
      <c r="A109" s="3111"/>
      <c r="C109" s="3112"/>
      <c r="E109" s="3111"/>
    </row>
    <row r="110" spans="1:5" s="1950" customFormat="1">
      <c r="A110" s="3111"/>
      <c r="C110" s="3112"/>
      <c r="E110" s="3111"/>
    </row>
    <row r="111" spans="1:5" s="1950" customFormat="1">
      <c r="A111" s="3111"/>
      <c r="C111" s="3112"/>
      <c r="E111" s="3111"/>
    </row>
    <row r="112" spans="1:5" s="1950" customFormat="1">
      <c r="A112" s="3111"/>
      <c r="C112" s="3112"/>
      <c r="E112" s="3111"/>
    </row>
    <row r="113" spans="1:5" s="1950" customFormat="1">
      <c r="A113" s="3111"/>
      <c r="C113" s="3112"/>
      <c r="E113" s="3111"/>
    </row>
    <row r="114" spans="1:5" s="1950" customFormat="1">
      <c r="A114" s="3111"/>
      <c r="C114" s="3112"/>
      <c r="E114" s="3111"/>
    </row>
    <row r="115" spans="1:5" s="1950" customFormat="1">
      <c r="A115" s="3111"/>
      <c r="C115" s="3112"/>
      <c r="E115" s="3111"/>
    </row>
    <row r="116" spans="1:5" s="1950" customFormat="1">
      <c r="A116" s="3111"/>
      <c r="C116" s="3112"/>
      <c r="E116" s="3111"/>
    </row>
    <row r="117" spans="1:5" s="1950" customFormat="1">
      <c r="A117" s="3111"/>
      <c r="C117" s="3112"/>
      <c r="E117" s="3111"/>
    </row>
    <row r="118" spans="1:5" s="1950" customFormat="1">
      <c r="A118" s="3111"/>
      <c r="C118" s="3112"/>
      <c r="E118" s="3111"/>
    </row>
    <row r="119" spans="1:5" s="1950" customFormat="1">
      <c r="A119" s="3111"/>
      <c r="C119" s="3112"/>
      <c r="E119" s="3111"/>
    </row>
    <row r="120" spans="1:5" s="1950" customFormat="1">
      <c r="A120" s="3111"/>
      <c r="C120" s="3112"/>
      <c r="E120" s="3111"/>
    </row>
    <row r="121" spans="1:5" s="1950" customFormat="1">
      <c r="A121" s="3111"/>
      <c r="C121" s="3112"/>
      <c r="E121" s="3111"/>
    </row>
    <row r="122" spans="1:5" s="1950" customFormat="1">
      <c r="A122" s="3111"/>
      <c r="C122" s="3112"/>
      <c r="E122" s="3111"/>
    </row>
    <row r="123" spans="1:5" s="1950" customFormat="1">
      <c r="A123" s="3111"/>
      <c r="C123" s="3112"/>
      <c r="E123" s="3111"/>
    </row>
    <row r="124" spans="1:5" s="1950" customFormat="1">
      <c r="A124" s="3111"/>
      <c r="C124" s="3112"/>
      <c r="E124" s="3111"/>
    </row>
    <row r="125" spans="1:5" s="1950" customFormat="1">
      <c r="A125" s="3111"/>
      <c r="C125" s="3112"/>
      <c r="E125" s="3111"/>
    </row>
    <row r="126" spans="1:5" s="1950" customFormat="1">
      <c r="A126" s="3111"/>
      <c r="C126" s="3112"/>
      <c r="E126" s="3111"/>
    </row>
    <row r="127" spans="1:5" s="1950" customFormat="1">
      <c r="A127" s="3111"/>
      <c r="C127" s="3112"/>
      <c r="E127" s="3111"/>
    </row>
    <row r="128" spans="1:5" s="1950" customFormat="1">
      <c r="A128" s="3111"/>
      <c r="C128" s="3112"/>
      <c r="E128" s="3111"/>
    </row>
    <row r="129" spans="1:5" s="1950" customFormat="1">
      <c r="A129" s="3111"/>
      <c r="C129" s="3112"/>
      <c r="E129" s="3111"/>
    </row>
    <row r="130" spans="1:5" s="1950" customFormat="1">
      <c r="A130" s="3111"/>
      <c r="C130" s="3112"/>
      <c r="E130" s="3111"/>
    </row>
    <row r="131" spans="1:5" s="1950" customFormat="1">
      <c r="A131" s="3111"/>
      <c r="C131" s="3112"/>
      <c r="E131" s="3111"/>
    </row>
    <row r="132" spans="1:5" s="1950" customFormat="1">
      <c r="A132" s="3111"/>
      <c r="C132" s="3112"/>
      <c r="E132" s="3111"/>
    </row>
    <row r="133" spans="1:5" s="1950" customFormat="1">
      <c r="A133" s="3111"/>
      <c r="C133" s="3112"/>
      <c r="E133" s="3111"/>
    </row>
    <row r="134" spans="1:5" s="1950" customFormat="1">
      <c r="A134" s="3111"/>
      <c r="C134" s="3112"/>
      <c r="E134" s="3111"/>
    </row>
    <row r="135" spans="1:5" s="1950" customFormat="1">
      <c r="A135" s="3111"/>
      <c r="C135" s="3112"/>
      <c r="E135" s="3111"/>
    </row>
    <row r="136" spans="1:5" s="1950" customFormat="1">
      <c r="A136" s="3111"/>
      <c r="C136" s="3112"/>
      <c r="E136" s="3111"/>
    </row>
    <row r="137" spans="1:5" s="1950" customFormat="1">
      <c r="A137" s="3111"/>
      <c r="C137" s="3112"/>
      <c r="E137" s="3111"/>
    </row>
    <row r="138" spans="1:5" s="1950" customFormat="1">
      <c r="A138" s="3111"/>
      <c r="C138" s="3112"/>
      <c r="E138" s="3111"/>
    </row>
    <row r="139" spans="1:5" s="1950" customFormat="1">
      <c r="A139" s="3111"/>
      <c r="C139" s="3112"/>
      <c r="E139" s="3111"/>
    </row>
    <row r="140" spans="1:5" s="1950" customFormat="1">
      <c r="A140" s="3111"/>
      <c r="C140" s="3112"/>
      <c r="E140" s="3111"/>
    </row>
    <row r="141" spans="1:5" s="1950" customFormat="1">
      <c r="A141" s="3111"/>
      <c r="C141" s="3112"/>
      <c r="E141" s="3111"/>
    </row>
    <row r="142" spans="1:5" s="1950" customFormat="1">
      <c r="A142" s="3111"/>
      <c r="C142" s="3112"/>
      <c r="E142" s="3111"/>
    </row>
    <row r="143" spans="1:5" s="1950" customFormat="1">
      <c r="A143" s="3111"/>
      <c r="C143" s="3112"/>
      <c r="E143" s="3111"/>
    </row>
    <row r="144" spans="1:5" s="1950" customFormat="1">
      <c r="A144" s="3111"/>
      <c r="C144" s="3112"/>
      <c r="E144" s="3111"/>
    </row>
    <row r="145" spans="1:5" s="1950" customFormat="1">
      <c r="A145" s="3111"/>
      <c r="C145" s="3112"/>
      <c r="E145" s="3111"/>
    </row>
    <row r="146" spans="1:5" s="1950" customFormat="1">
      <c r="A146" s="3111"/>
      <c r="C146" s="3112"/>
      <c r="E146" s="3111"/>
    </row>
    <row r="147" spans="1:5" s="1950" customFormat="1">
      <c r="A147" s="3111"/>
      <c r="C147" s="3112"/>
      <c r="E147" s="3111"/>
    </row>
    <row r="148" spans="1:5" s="1950" customFormat="1">
      <c r="A148" s="3111"/>
      <c r="C148" s="3112"/>
      <c r="E148" s="3111"/>
    </row>
    <row r="149" spans="1:5" s="1950" customFormat="1">
      <c r="A149" s="3111"/>
      <c r="C149" s="3112"/>
      <c r="E149" s="3111"/>
    </row>
    <row r="150" spans="1:5" s="1950" customFormat="1">
      <c r="A150" s="3111"/>
      <c r="C150" s="3112"/>
      <c r="E150" s="3111"/>
    </row>
    <row r="151" spans="1:5" s="1950" customFormat="1">
      <c r="A151" s="3111"/>
      <c r="C151" s="3112"/>
      <c r="E151" s="3111"/>
    </row>
    <row r="152" spans="1:5" s="1950" customFormat="1">
      <c r="A152" s="3111"/>
      <c r="C152" s="3112"/>
      <c r="E152" s="3111"/>
    </row>
    <row r="153" spans="1:5" s="1950" customFormat="1">
      <c r="A153" s="3111"/>
      <c r="C153" s="3112"/>
      <c r="E153" s="3111"/>
    </row>
    <row r="154" spans="1:5" s="1950" customFormat="1">
      <c r="A154" s="3111"/>
      <c r="C154" s="3112"/>
      <c r="E154" s="3111"/>
    </row>
    <row r="155" spans="1:5" s="1950" customFormat="1">
      <c r="A155" s="3111"/>
      <c r="C155" s="3112"/>
      <c r="E155" s="3111"/>
    </row>
    <row r="156" spans="1:5" s="1950" customFormat="1">
      <c r="A156" s="3111"/>
      <c r="C156" s="3112"/>
      <c r="E156" s="3111"/>
    </row>
    <row r="157" spans="1:5" s="1950" customFormat="1">
      <c r="A157" s="3111"/>
      <c r="C157" s="3112"/>
      <c r="E157" s="3111"/>
    </row>
    <row r="158" spans="1:5" s="1950" customFormat="1">
      <c r="A158" s="3111"/>
      <c r="C158" s="3112"/>
      <c r="E158" s="3111"/>
    </row>
    <row r="159" spans="1:5" s="1950" customFormat="1">
      <c r="A159" s="3111"/>
      <c r="C159" s="3112"/>
      <c r="E159" s="3111"/>
    </row>
    <row r="160" spans="1:5" s="1950" customFormat="1">
      <c r="A160" s="3111"/>
      <c r="C160" s="3112"/>
      <c r="E160" s="3111"/>
    </row>
    <row r="161" spans="1:5" s="1950" customFormat="1">
      <c r="A161" s="3111"/>
      <c r="C161" s="3112"/>
      <c r="E161" s="3111"/>
    </row>
    <row r="162" spans="1:5" s="1950" customFormat="1">
      <c r="A162" s="3111"/>
      <c r="C162" s="3112"/>
      <c r="E162" s="3111"/>
    </row>
    <row r="163" spans="1:5" s="1950" customFormat="1">
      <c r="A163" s="3111"/>
      <c r="C163" s="3112"/>
      <c r="E163" s="3111"/>
    </row>
    <row r="164" spans="1:5" s="1950" customFormat="1">
      <c r="A164" s="3111"/>
      <c r="C164" s="3112"/>
      <c r="E164" s="3111"/>
    </row>
    <row r="165" spans="1:5" s="1950" customFormat="1">
      <c r="A165" s="3111"/>
      <c r="C165" s="3112"/>
      <c r="E165" s="3111"/>
    </row>
    <row r="166" spans="1:5" s="1950" customFormat="1">
      <c r="A166" s="3111"/>
      <c r="C166" s="3112"/>
      <c r="E166" s="3111"/>
    </row>
    <row r="167" spans="1:5" s="1950" customFormat="1">
      <c r="A167" s="3111"/>
      <c r="C167" s="3112"/>
      <c r="E167" s="3111"/>
    </row>
    <row r="168" spans="1:5" s="1950" customFormat="1">
      <c r="A168" s="3111"/>
      <c r="C168" s="3112"/>
      <c r="E168" s="3111"/>
    </row>
    <row r="169" spans="1:5" s="1950" customFormat="1">
      <c r="A169" s="3111"/>
      <c r="C169" s="3112"/>
      <c r="E169" s="3111"/>
    </row>
    <row r="170" spans="1:5" s="1950" customFormat="1">
      <c r="A170" s="3111"/>
      <c r="C170" s="3112"/>
      <c r="E170" s="3111"/>
    </row>
    <row r="171" spans="1:5" s="1950" customFormat="1">
      <c r="A171" s="3111"/>
      <c r="C171" s="3112"/>
      <c r="E171" s="3111"/>
    </row>
    <row r="172" spans="1:5" s="1950" customFormat="1">
      <c r="A172" s="3111"/>
      <c r="C172" s="3112"/>
      <c r="E172" s="3111"/>
    </row>
    <row r="173" spans="1:5" s="1950" customFormat="1">
      <c r="A173" s="3111"/>
      <c r="C173" s="3112"/>
      <c r="E173" s="3111"/>
    </row>
    <row r="174" spans="1:5" s="1950" customFormat="1">
      <c r="A174" s="3111"/>
      <c r="C174" s="3112"/>
      <c r="E174" s="3111"/>
    </row>
    <row r="175" spans="1:5" s="1950" customFormat="1">
      <c r="A175" s="3111"/>
      <c r="C175" s="3112"/>
      <c r="E175" s="3111"/>
    </row>
    <row r="176" spans="1:5" s="1950" customFormat="1">
      <c r="A176" s="3111"/>
      <c r="C176" s="3112"/>
      <c r="E176" s="3111"/>
    </row>
    <row r="177" spans="1:5" s="1950" customFormat="1">
      <c r="A177" s="3111"/>
      <c r="C177" s="3112"/>
      <c r="E177" s="3111"/>
    </row>
    <row r="178" spans="1:5" s="1950" customFormat="1">
      <c r="A178" s="3111"/>
      <c r="C178" s="3112"/>
      <c r="E178" s="3111"/>
    </row>
    <row r="179" spans="1:5" s="1950" customFormat="1">
      <c r="A179" s="3111"/>
      <c r="C179" s="3112"/>
      <c r="E179" s="3111"/>
    </row>
    <row r="180" spans="1:5" s="1950" customFormat="1">
      <c r="A180" s="3111"/>
      <c r="C180" s="3112"/>
      <c r="E180" s="3111"/>
    </row>
    <row r="181" spans="1:5" s="1950" customFormat="1">
      <c r="A181" s="3111"/>
      <c r="C181" s="3112"/>
      <c r="E181" s="3111"/>
    </row>
    <row r="182" spans="1:5" s="1950" customFormat="1">
      <c r="A182" s="3111"/>
      <c r="C182" s="3112"/>
      <c r="E182" s="3111"/>
    </row>
    <row r="183" spans="1:5" s="1950" customFormat="1">
      <c r="A183" s="3111"/>
      <c r="C183" s="3112"/>
      <c r="E183" s="3111"/>
    </row>
    <row r="184" spans="1:5" s="1950" customFormat="1">
      <c r="A184" s="3111"/>
      <c r="C184" s="3112"/>
      <c r="E184" s="3111"/>
    </row>
    <row r="185" spans="1:5" s="1950" customFormat="1">
      <c r="A185" s="3111"/>
      <c r="C185" s="3112"/>
      <c r="E185" s="3111"/>
    </row>
    <row r="186" spans="1:5" s="1950" customFormat="1">
      <c r="A186" s="3111"/>
      <c r="C186" s="3112"/>
      <c r="E186" s="3111"/>
    </row>
    <row r="187" spans="1:5" s="1950" customFormat="1">
      <c r="A187" s="3111"/>
      <c r="C187" s="3112"/>
      <c r="E187" s="3111"/>
    </row>
    <row r="188" spans="1:5" s="1950" customFormat="1">
      <c r="A188" s="3111"/>
      <c r="C188" s="3112"/>
      <c r="E188" s="3111"/>
    </row>
    <row r="189" spans="1:5" s="1950" customFormat="1">
      <c r="A189" s="3111"/>
      <c r="C189" s="3112"/>
      <c r="E189" s="3111"/>
    </row>
    <row r="190" spans="1:5" s="1950" customFormat="1">
      <c r="A190" s="3111"/>
      <c r="C190" s="3112"/>
      <c r="E190" s="3111"/>
    </row>
    <row r="191" spans="1:5" s="1950" customFormat="1">
      <c r="A191" s="3111"/>
      <c r="C191" s="3112"/>
      <c r="E191" s="3111"/>
    </row>
    <row r="192" spans="1:5" s="1950" customFormat="1">
      <c r="A192" s="3111"/>
      <c r="C192" s="3112"/>
      <c r="E192" s="3111"/>
    </row>
    <row r="193" spans="1:5" s="1950" customFormat="1">
      <c r="A193" s="3111"/>
      <c r="C193" s="3112"/>
      <c r="E193" s="3111"/>
    </row>
    <row r="194" spans="1:5" s="1950" customFormat="1">
      <c r="A194" s="3111"/>
      <c r="C194" s="3112"/>
      <c r="E194" s="3111"/>
    </row>
    <row r="195" spans="1:5" s="1950" customFormat="1">
      <c r="A195" s="3111"/>
      <c r="C195" s="3112"/>
      <c r="E195" s="3111"/>
    </row>
    <row r="196" spans="1:5" s="1950" customFormat="1">
      <c r="A196" s="3111"/>
      <c r="C196" s="3112"/>
      <c r="E196" s="3111"/>
    </row>
    <row r="197" spans="1:5" s="1950" customFormat="1">
      <c r="A197" s="3111"/>
      <c r="C197" s="3112"/>
      <c r="E197" s="3111"/>
    </row>
    <row r="198" spans="1:5" s="1950" customFormat="1">
      <c r="A198" s="3111"/>
      <c r="C198" s="3112"/>
      <c r="E198" s="3111"/>
    </row>
    <row r="199" spans="1:5" s="1950" customFormat="1">
      <c r="A199" s="3111"/>
      <c r="C199" s="3112"/>
      <c r="E199" s="3111"/>
    </row>
    <row r="200" spans="1:5" s="1950" customFormat="1">
      <c r="A200" s="3111"/>
      <c r="C200" s="3112"/>
      <c r="E200" s="3111"/>
    </row>
    <row r="201" spans="1:5" s="1950" customFormat="1">
      <c r="A201" s="3111"/>
      <c r="C201" s="3112"/>
      <c r="E201" s="3111"/>
    </row>
    <row r="202" spans="1:5" s="1950" customFormat="1">
      <c r="A202" s="3111"/>
      <c r="C202" s="3112"/>
      <c r="E202" s="3111"/>
    </row>
    <row r="203" spans="1:5" s="1950" customFormat="1">
      <c r="A203" s="3111"/>
      <c r="C203" s="3112"/>
      <c r="E203" s="3111"/>
    </row>
    <row r="204" spans="1:5" s="1950" customFormat="1">
      <c r="A204" s="3111"/>
      <c r="C204" s="3112"/>
      <c r="E204" s="3111"/>
    </row>
    <row r="205" spans="1:5" s="1950" customFormat="1">
      <c r="A205" s="3111"/>
      <c r="C205" s="3112"/>
      <c r="E205" s="3111"/>
    </row>
    <row r="206" spans="1:5" s="1950" customFormat="1">
      <c r="A206" s="3111"/>
      <c r="C206" s="3112"/>
      <c r="E206" s="3111"/>
    </row>
    <row r="207" spans="1:5" s="1950" customFormat="1">
      <c r="A207" s="3111"/>
      <c r="C207" s="3112"/>
      <c r="E207" s="3111"/>
    </row>
    <row r="208" spans="1:5" s="1950" customFormat="1">
      <c r="A208" s="3111"/>
      <c r="C208" s="3112"/>
      <c r="E208" s="3111"/>
    </row>
    <row r="209" spans="1:5" s="1950" customFormat="1">
      <c r="A209" s="3111"/>
      <c r="C209" s="3112"/>
      <c r="E209" s="3111"/>
    </row>
    <row r="210" spans="1:5" s="1950" customFormat="1">
      <c r="A210" s="3111"/>
      <c r="C210" s="3112"/>
      <c r="E210" s="3111"/>
    </row>
    <row r="211" spans="1:5" s="1950" customFormat="1">
      <c r="A211" s="3111"/>
      <c r="C211" s="3112"/>
      <c r="E211" s="3111"/>
    </row>
    <row r="212" spans="1:5" s="1950" customFormat="1">
      <c r="A212" s="3111"/>
      <c r="C212" s="3112"/>
      <c r="E212" s="3111"/>
    </row>
    <row r="213" spans="1:5" s="1950" customFormat="1">
      <c r="A213" s="3111"/>
      <c r="C213" s="3112"/>
      <c r="E213" s="3111"/>
    </row>
    <row r="214" spans="1:5" s="1950" customFormat="1">
      <c r="A214" s="3111"/>
      <c r="C214" s="3112"/>
      <c r="E214" s="3111"/>
    </row>
    <row r="215" spans="1:5" s="1950" customFormat="1">
      <c r="A215" s="3111"/>
      <c r="C215" s="3112"/>
      <c r="E215" s="3111"/>
    </row>
    <row r="216" spans="1:5" s="1950" customFormat="1">
      <c r="A216" s="3111"/>
      <c r="C216" s="3112"/>
      <c r="E216" s="3111"/>
    </row>
    <row r="217" spans="1:5" s="1950" customFormat="1">
      <c r="A217" s="3111"/>
      <c r="C217" s="3112"/>
      <c r="E217" s="3111"/>
    </row>
    <row r="218" spans="1:5" s="1950" customFormat="1">
      <c r="A218" s="3111"/>
      <c r="C218" s="3112"/>
      <c r="E218" s="3111"/>
    </row>
    <row r="219" spans="1:5" s="1950" customFormat="1">
      <c r="A219" s="3111"/>
      <c r="C219" s="3112"/>
      <c r="E219" s="3111"/>
    </row>
    <row r="220" spans="1:5" s="1950" customFormat="1">
      <c r="A220" s="3111"/>
      <c r="C220" s="3112"/>
      <c r="E220" s="3111"/>
    </row>
    <row r="221" spans="1:5" s="1950" customFormat="1">
      <c r="A221" s="3111"/>
      <c r="C221" s="3112"/>
      <c r="E221" s="3111"/>
    </row>
    <row r="222" spans="1:5" s="1950" customFormat="1">
      <c r="A222" s="3111"/>
      <c r="C222" s="3112"/>
      <c r="E222" s="3111"/>
    </row>
    <row r="223" spans="1:5" s="1950" customFormat="1">
      <c r="A223" s="3111"/>
      <c r="C223" s="3112"/>
      <c r="E223" s="3111"/>
    </row>
    <row r="224" spans="1:5" s="1950" customFormat="1">
      <c r="A224" s="3111"/>
      <c r="C224" s="3112"/>
      <c r="E224" s="3111"/>
    </row>
    <row r="225" spans="1:5" s="1950" customFormat="1">
      <c r="A225" s="3111"/>
      <c r="C225" s="3112"/>
      <c r="E225" s="3111"/>
    </row>
    <row r="226" spans="1:5" s="1950" customFormat="1">
      <c r="A226" s="3111"/>
      <c r="C226" s="3112"/>
      <c r="E226" s="3111"/>
    </row>
    <row r="227" spans="1:5" s="1950" customFormat="1">
      <c r="A227" s="3111"/>
      <c r="C227" s="3112"/>
      <c r="E227" s="3111"/>
    </row>
    <row r="228" spans="1:5" s="1950" customFormat="1">
      <c r="A228" s="3111"/>
      <c r="C228" s="3112"/>
      <c r="E228" s="3111"/>
    </row>
    <row r="229" spans="1:5" s="1950" customFormat="1">
      <c r="A229" s="3111"/>
      <c r="C229" s="3112"/>
      <c r="E229" s="3111"/>
    </row>
    <row r="230" spans="1:5" s="1950" customFormat="1">
      <c r="A230" s="3111"/>
      <c r="C230" s="3112"/>
      <c r="E230" s="3111"/>
    </row>
    <row r="231" spans="1:5" s="1950" customFormat="1">
      <c r="A231" s="3111"/>
      <c r="C231" s="3112"/>
      <c r="E231" s="3111"/>
    </row>
    <row r="232" spans="1:5" s="1950" customFormat="1">
      <c r="A232" s="3111"/>
      <c r="C232" s="3112"/>
      <c r="E232" s="3111"/>
    </row>
    <row r="233" spans="1:5" s="1950" customFormat="1">
      <c r="A233" s="3111"/>
      <c r="C233" s="3112"/>
      <c r="E233" s="3111"/>
    </row>
    <row r="234" spans="1:5" s="1950" customFormat="1">
      <c r="A234" s="3111"/>
      <c r="C234" s="3112"/>
      <c r="E234" s="3111"/>
    </row>
    <row r="235" spans="1:5" s="1950" customFormat="1">
      <c r="A235" s="3111"/>
      <c r="C235" s="3112"/>
      <c r="E235" s="3111"/>
    </row>
    <row r="236" spans="1:5" s="1950" customFormat="1">
      <c r="A236" s="3111"/>
      <c r="C236" s="3112"/>
      <c r="E236" s="3111"/>
    </row>
    <row r="237" spans="1:5" s="1950" customFormat="1">
      <c r="A237" s="3111"/>
      <c r="C237" s="3112"/>
      <c r="E237" s="3111"/>
    </row>
    <row r="238" spans="1:5" s="1950" customFormat="1">
      <c r="A238" s="3111"/>
      <c r="C238" s="3112"/>
      <c r="E238" s="3111"/>
    </row>
    <row r="239" spans="1:5" s="1950" customFormat="1">
      <c r="A239" s="3111"/>
      <c r="C239" s="3112"/>
      <c r="E239" s="3111"/>
    </row>
    <row r="240" spans="1:5" s="1950" customFormat="1">
      <c r="A240" s="3111"/>
      <c r="C240" s="3112"/>
      <c r="E240" s="3111"/>
    </row>
    <row r="241" spans="1:5" s="1950" customFormat="1">
      <c r="A241" s="3111"/>
      <c r="C241" s="3112"/>
      <c r="E241" s="3111"/>
    </row>
    <row r="242" spans="1:5" s="1950" customFormat="1">
      <c r="A242" s="3111"/>
      <c r="C242" s="3112"/>
      <c r="E242" s="3111"/>
    </row>
    <row r="243" spans="1:5" s="1950" customFormat="1">
      <c r="A243" s="3111"/>
      <c r="C243" s="3112"/>
      <c r="E243" s="3111"/>
    </row>
    <row r="244" spans="1:5" s="1950" customFormat="1">
      <c r="A244" s="3111"/>
      <c r="C244" s="3112"/>
      <c r="E244" s="3111"/>
    </row>
    <row r="245" spans="1:5" s="1950" customFormat="1">
      <c r="A245" s="3111"/>
      <c r="C245" s="3112"/>
      <c r="E245" s="3111"/>
    </row>
    <row r="246" spans="1:5" s="1950" customFormat="1">
      <c r="A246" s="3111"/>
      <c r="C246" s="3112"/>
      <c r="E246" s="3111"/>
    </row>
    <row r="247" spans="1:5" s="1950" customFormat="1">
      <c r="A247" s="3111"/>
      <c r="C247" s="3112"/>
      <c r="E247" s="3111"/>
    </row>
    <row r="248" spans="1:5" s="1950" customFormat="1">
      <c r="A248" s="3111"/>
      <c r="C248" s="3112"/>
      <c r="E248" s="3111"/>
    </row>
    <row r="249" spans="1:5" s="1950" customFormat="1">
      <c r="A249" s="3111"/>
      <c r="C249" s="3112"/>
      <c r="E249" s="3111"/>
    </row>
    <row r="250" spans="1:5" s="1950" customFormat="1">
      <c r="A250" s="3111"/>
      <c r="C250" s="3112"/>
      <c r="E250" s="3111"/>
    </row>
    <row r="251" spans="1:5" s="1950" customFormat="1">
      <c r="A251" s="3111"/>
      <c r="C251" s="3112"/>
      <c r="E251" s="3111"/>
    </row>
    <row r="252" spans="1:5" s="1950" customFormat="1">
      <c r="A252" s="3111"/>
      <c r="C252" s="3112"/>
      <c r="E252" s="3111"/>
    </row>
    <row r="253" spans="1:5" s="1950" customFormat="1">
      <c r="A253" s="3111"/>
      <c r="C253" s="3112"/>
      <c r="E253" s="3111"/>
    </row>
    <row r="254" spans="1:5" s="1950" customFormat="1">
      <c r="A254" s="3111"/>
      <c r="C254" s="3112"/>
      <c r="E254" s="3111"/>
    </row>
    <row r="255" spans="1:5" s="1950" customFormat="1">
      <c r="A255" s="3111"/>
      <c r="C255" s="3112"/>
      <c r="E255" s="3111"/>
    </row>
    <row r="256" spans="1:5" s="1950" customFormat="1">
      <c r="A256" s="3111"/>
      <c r="C256" s="3112"/>
      <c r="E256" s="3111"/>
    </row>
    <row r="257" spans="1:5" s="1950" customFormat="1">
      <c r="A257" s="3111"/>
      <c r="C257" s="3112"/>
      <c r="E257" s="3111"/>
    </row>
    <row r="258" spans="1:5" s="1950" customFormat="1">
      <c r="A258" s="3111"/>
      <c r="C258" s="3112"/>
      <c r="E258" s="3111"/>
    </row>
    <row r="259" spans="1:5" s="1950" customFormat="1">
      <c r="A259" s="3111"/>
      <c r="C259" s="3112"/>
      <c r="E259" s="3111"/>
    </row>
    <row r="260" spans="1:5" s="1950" customFormat="1">
      <c r="A260" s="3111"/>
      <c r="C260" s="3112"/>
      <c r="E260" s="3111"/>
    </row>
    <row r="261" spans="1:5" s="1950" customFormat="1">
      <c r="A261" s="3111"/>
      <c r="C261" s="3112"/>
      <c r="E261" s="3111"/>
    </row>
    <row r="262" spans="1:5" s="1950" customFormat="1">
      <c r="A262" s="3111"/>
      <c r="C262" s="3112"/>
      <c r="E262" s="3111"/>
    </row>
    <row r="263" spans="1:5" s="1950" customFormat="1">
      <c r="A263" s="3111"/>
      <c r="C263" s="3112"/>
      <c r="E263" s="3111"/>
    </row>
    <row r="264" spans="1:5" s="1950" customFormat="1">
      <c r="A264" s="3111"/>
      <c r="C264" s="3112"/>
      <c r="E264" s="3111"/>
    </row>
    <row r="265" spans="1:5" s="1950" customFormat="1">
      <c r="A265" s="3111"/>
      <c r="C265" s="3112"/>
      <c r="E265" s="3111"/>
    </row>
    <row r="266" spans="1:5" s="1950" customFormat="1">
      <c r="A266" s="3111"/>
      <c r="C266" s="3112"/>
      <c r="E266" s="3111"/>
    </row>
    <row r="267" spans="1:5" s="1950" customFormat="1">
      <c r="A267" s="3111"/>
      <c r="C267" s="3112"/>
      <c r="E267" s="3111"/>
    </row>
    <row r="268" spans="1:5" s="1950" customFormat="1">
      <c r="A268" s="3111"/>
      <c r="C268" s="3112"/>
      <c r="E268" s="3111"/>
    </row>
    <row r="269" spans="1:5" s="1950" customFormat="1">
      <c r="A269" s="3111"/>
      <c r="C269" s="3112"/>
      <c r="E269" s="3111"/>
    </row>
    <row r="270" spans="1:5" s="1950" customFormat="1">
      <c r="A270" s="3111"/>
      <c r="C270" s="3112"/>
      <c r="E270" s="3111"/>
    </row>
    <row r="271" spans="1:5" s="1950" customFormat="1">
      <c r="A271" s="3111"/>
      <c r="C271" s="3112"/>
      <c r="E271" s="3111"/>
    </row>
    <row r="272" spans="1:5" s="1950" customFormat="1">
      <c r="A272" s="3111"/>
      <c r="C272" s="3112"/>
      <c r="E272" s="3111"/>
    </row>
    <row r="273" spans="1:5" s="1950" customFormat="1">
      <c r="A273" s="3111"/>
      <c r="C273" s="3112"/>
      <c r="E273" s="3111"/>
    </row>
    <row r="274" spans="1:5" s="1950" customFormat="1">
      <c r="A274" s="3111"/>
      <c r="C274" s="3112"/>
      <c r="E274" s="3111"/>
    </row>
    <row r="275" spans="1:5" s="1950" customFormat="1">
      <c r="A275" s="3111"/>
      <c r="C275" s="3112"/>
      <c r="E275" s="3111"/>
    </row>
    <row r="276" spans="1:5" s="1950" customFormat="1">
      <c r="A276" s="3111"/>
      <c r="C276" s="3112"/>
      <c r="E276" s="3111"/>
    </row>
    <row r="277" spans="1:5" s="1950" customFormat="1">
      <c r="A277" s="3111"/>
      <c r="C277" s="3112"/>
      <c r="E277" s="3111"/>
    </row>
    <row r="278" spans="1:5" s="1950" customFormat="1">
      <c r="A278" s="3111"/>
      <c r="C278" s="3112"/>
      <c r="E278" s="3111"/>
    </row>
    <row r="279" spans="1:5" s="1950" customFormat="1">
      <c r="A279" s="3111"/>
      <c r="C279" s="3112"/>
      <c r="E279" s="3111"/>
    </row>
    <row r="280" spans="1:5" s="1950" customFormat="1">
      <c r="A280" s="3111"/>
      <c r="C280" s="3112"/>
      <c r="E280" s="3111"/>
    </row>
    <row r="281" spans="1:5" s="1950" customFormat="1">
      <c r="A281" s="3111"/>
      <c r="C281" s="3112"/>
      <c r="E281" s="3111"/>
    </row>
    <row r="282" spans="1:5" s="1950" customFormat="1">
      <c r="A282" s="3111"/>
      <c r="C282" s="3112"/>
      <c r="E282" s="3111"/>
    </row>
    <row r="283" spans="1:5" s="1950" customFormat="1">
      <c r="A283" s="3111"/>
      <c r="C283" s="3112"/>
      <c r="E283" s="3111"/>
    </row>
    <row r="284" spans="1:5" s="1950" customFormat="1">
      <c r="A284" s="3111"/>
      <c r="C284" s="3112"/>
      <c r="E284" s="3111"/>
    </row>
    <row r="285" spans="1:5" s="1950" customFormat="1">
      <c r="A285" s="3111"/>
      <c r="C285" s="3112"/>
      <c r="E285" s="3111"/>
    </row>
    <row r="286" spans="1:5" s="1950" customFormat="1">
      <c r="A286" s="3111"/>
      <c r="C286" s="3112"/>
      <c r="E286" s="3111"/>
    </row>
    <row r="287" spans="1:5" s="1950" customFormat="1">
      <c r="A287" s="3111"/>
      <c r="C287" s="3112"/>
      <c r="E287" s="3111"/>
    </row>
    <row r="288" spans="1:5" s="1950" customFormat="1">
      <c r="A288" s="3111"/>
      <c r="C288" s="3112"/>
      <c r="E288" s="3111"/>
    </row>
    <row r="289" spans="1:5" s="1950" customFormat="1">
      <c r="A289" s="3111"/>
      <c r="C289" s="3112"/>
      <c r="E289" s="3111"/>
    </row>
    <row r="290" spans="1:5" s="1950" customFormat="1">
      <c r="A290" s="3111"/>
      <c r="C290" s="3112"/>
      <c r="E290" s="3111"/>
    </row>
    <row r="291" spans="1:5" s="1950" customFormat="1">
      <c r="A291" s="3111"/>
      <c r="C291" s="3112"/>
      <c r="E291" s="3111"/>
    </row>
    <row r="292" spans="1:5" s="1950" customFormat="1">
      <c r="A292" s="3111"/>
      <c r="C292" s="3112"/>
      <c r="E292" s="3111"/>
    </row>
    <row r="293" spans="1:5" s="1950" customFormat="1">
      <c r="A293" s="3111"/>
      <c r="C293" s="3112"/>
      <c r="E293" s="3111"/>
    </row>
    <row r="294" spans="1:5" s="1950" customFormat="1">
      <c r="A294" s="3111"/>
      <c r="C294" s="3112"/>
      <c r="E294" s="3111"/>
    </row>
    <row r="295" spans="1:5" s="1950" customFormat="1">
      <c r="A295" s="3111"/>
      <c r="C295" s="3112"/>
      <c r="E295" s="3111"/>
    </row>
    <row r="296" spans="1:5" s="1950" customFormat="1">
      <c r="A296" s="3111"/>
      <c r="C296" s="3112"/>
      <c r="E296" s="3111"/>
    </row>
    <row r="297" spans="1:5" s="1950" customFormat="1">
      <c r="A297" s="3111"/>
      <c r="C297" s="3112"/>
      <c r="E297" s="3111"/>
    </row>
    <row r="298" spans="1:5" s="1950" customFormat="1">
      <c r="A298" s="3111"/>
      <c r="C298" s="3112"/>
      <c r="E298" s="3111"/>
    </row>
    <row r="299" spans="1:5" s="1950" customFormat="1">
      <c r="A299" s="3111"/>
      <c r="C299" s="3112"/>
      <c r="E299" s="3111"/>
    </row>
    <row r="300" spans="1:5" s="1950" customFormat="1">
      <c r="A300" s="3111"/>
      <c r="C300" s="3112"/>
      <c r="E300" s="3111"/>
    </row>
    <row r="301" spans="1:5" s="1950" customFormat="1">
      <c r="A301" s="3111"/>
      <c r="C301" s="3112"/>
      <c r="E301" s="3111"/>
    </row>
    <row r="302" spans="1:5" s="1950" customFormat="1">
      <c r="A302" s="3111"/>
      <c r="C302" s="3112"/>
      <c r="E302" s="3111"/>
    </row>
    <row r="303" spans="1:5" s="1950" customFormat="1">
      <c r="A303" s="3111"/>
      <c r="C303" s="3112"/>
      <c r="E303" s="3111"/>
    </row>
    <row r="304" spans="1:5" s="1950" customFormat="1">
      <c r="A304" s="3111"/>
      <c r="C304" s="3112"/>
      <c r="E304" s="3111"/>
    </row>
    <row r="305" spans="1:5" s="1950" customFormat="1">
      <c r="A305" s="3111"/>
      <c r="C305" s="3112"/>
      <c r="E305" s="3111"/>
    </row>
    <row r="306" spans="1:5" s="1950" customFormat="1">
      <c r="A306" s="3111"/>
      <c r="C306" s="3112"/>
      <c r="E306" s="3111"/>
    </row>
    <row r="307" spans="1:5" s="1950" customFormat="1">
      <c r="A307" s="3111"/>
      <c r="C307" s="3112"/>
      <c r="E307" s="3111"/>
    </row>
    <row r="308" spans="1:5" s="1950" customFormat="1">
      <c r="A308" s="3111"/>
      <c r="C308" s="3112"/>
      <c r="E308" s="3111"/>
    </row>
    <row r="309" spans="1:5" s="1950" customFormat="1">
      <c r="A309" s="3111"/>
      <c r="C309" s="3112"/>
      <c r="E309" s="3111"/>
    </row>
    <row r="310" spans="1:5" s="1950" customFormat="1">
      <c r="A310" s="3111"/>
      <c r="C310" s="3112"/>
      <c r="E310" s="3111"/>
    </row>
    <row r="311" spans="1:5" s="1950" customFormat="1">
      <c r="A311" s="3111"/>
      <c r="C311" s="3112"/>
      <c r="E311" s="3111"/>
    </row>
    <row r="312" spans="1:5" s="1950" customFormat="1">
      <c r="A312" s="3111"/>
      <c r="C312" s="3112"/>
      <c r="E312" s="3111"/>
    </row>
    <row r="313" spans="1:5" s="1950" customFormat="1">
      <c r="A313" s="3111"/>
      <c r="C313" s="3112"/>
      <c r="E313" s="3111"/>
    </row>
    <row r="314" spans="1:5" s="1950" customFormat="1">
      <c r="A314" s="3111"/>
      <c r="C314" s="3112"/>
      <c r="E314" s="3111"/>
    </row>
    <row r="315" spans="1:5" s="1950" customFormat="1">
      <c r="A315" s="3111"/>
      <c r="C315" s="3112"/>
      <c r="E315" s="3111"/>
    </row>
    <row r="316" spans="1:5" s="1950" customFormat="1">
      <c r="A316" s="3111"/>
      <c r="C316" s="3112"/>
      <c r="E316" s="3111"/>
    </row>
    <row r="317" spans="1:5" s="1950" customFormat="1">
      <c r="A317" s="3111"/>
      <c r="C317" s="3112"/>
      <c r="E317" s="3111"/>
    </row>
    <row r="318" spans="1:5" s="1950" customFormat="1">
      <c r="A318" s="3111"/>
      <c r="C318" s="3112"/>
      <c r="E318" s="3111"/>
    </row>
    <row r="319" spans="1:5" s="1950" customFormat="1">
      <c r="A319" s="3111"/>
      <c r="C319" s="3112"/>
      <c r="E319" s="3111"/>
    </row>
    <row r="320" spans="1:5" s="1950" customFormat="1">
      <c r="A320" s="3111"/>
      <c r="C320" s="3112"/>
      <c r="E320" s="3111"/>
    </row>
    <row r="321" spans="1:5" s="1950" customFormat="1">
      <c r="A321" s="3111"/>
      <c r="C321" s="3112"/>
      <c r="E321" s="3111"/>
    </row>
    <row r="322" spans="1:5" s="1950" customFormat="1">
      <c r="A322" s="3111"/>
      <c r="C322" s="3112"/>
      <c r="E322" s="3111"/>
    </row>
    <row r="323" spans="1:5" s="1950" customFormat="1">
      <c r="A323" s="3111"/>
      <c r="C323" s="3112"/>
      <c r="E323" s="3111"/>
    </row>
    <row r="324" spans="1:5" s="1950" customFormat="1">
      <c r="A324" s="3111"/>
      <c r="C324" s="3112"/>
      <c r="E324" s="3111"/>
    </row>
    <row r="325" spans="1:5" s="1950" customFormat="1">
      <c r="A325" s="3111"/>
      <c r="C325" s="3112"/>
      <c r="E325" s="3111"/>
    </row>
    <row r="326" spans="1:5" s="1950" customFormat="1">
      <c r="A326" s="3111"/>
      <c r="C326" s="3112"/>
      <c r="E326" s="3111"/>
    </row>
    <row r="327" spans="1:5" s="1950" customFormat="1">
      <c r="A327" s="3111"/>
      <c r="C327" s="3112"/>
      <c r="E327" s="3111"/>
    </row>
    <row r="328" spans="1:5" s="1950" customFormat="1">
      <c r="A328" s="3111"/>
      <c r="C328" s="3112"/>
      <c r="E328" s="3111"/>
    </row>
    <row r="329" spans="1:5" s="1950" customFormat="1">
      <c r="A329" s="3111"/>
      <c r="C329" s="3112"/>
      <c r="E329" s="3111"/>
    </row>
    <row r="330" spans="1:5" s="1950" customFormat="1">
      <c r="A330" s="3111"/>
      <c r="C330" s="3112"/>
      <c r="E330" s="3111"/>
    </row>
    <row r="331" spans="1:5" s="1950" customFormat="1">
      <c r="A331" s="3111"/>
      <c r="C331" s="3112"/>
      <c r="E331" s="3111"/>
    </row>
    <row r="332" spans="1:5" s="1950" customFormat="1">
      <c r="A332" s="3111"/>
      <c r="C332" s="3112"/>
      <c r="E332" s="3111"/>
    </row>
    <row r="333" spans="1:5" s="1950" customFormat="1">
      <c r="A333" s="3111"/>
      <c r="C333" s="3112"/>
      <c r="E333" s="3111"/>
    </row>
    <row r="334" spans="1:5" s="1950" customFormat="1">
      <c r="A334" s="3111"/>
      <c r="C334" s="3112"/>
      <c r="E334" s="3111"/>
    </row>
    <row r="335" spans="1:5" s="1950" customFormat="1">
      <c r="A335" s="3111"/>
      <c r="C335" s="3112"/>
      <c r="E335" s="3111"/>
    </row>
    <row r="336" spans="1:5" s="1950" customFormat="1">
      <c r="A336" s="3111"/>
      <c r="C336" s="3112"/>
      <c r="E336" s="3111"/>
    </row>
    <row r="337" spans="1:5" s="1950" customFormat="1">
      <c r="A337" s="3111"/>
      <c r="C337" s="3112"/>
      <c r="E337" s="3111"/>
    </row>
    <row r="338" spans="1:5" s="1950" customFormat="1">
      <c r="A338" s="3111"/>
      <c r="C338" s="3112"/>
      <c r="E338" s="3111"/>
    </row>
    <row r="339" spans="1:5" s="1950" customFormat="1">
      <c r="A339" s="3111"/>
      <c r="C339" s="3112"/>
      <c r="E339" s="3111"/>
    </row>
    <row r="340" spans="1:5" s="1950" customFormat="1">
      <c r="A340" s="3111"/>
      <c r="C340" s="3112"/>
      <c r="E340" s="3111"/>
    </row>
    <row r="341" spans="1:5" s="1950" customFormat="1">
      <c r="A341" s="3111"/>
      <c r="C341" s="3112"/>
      <c r="E341" s="3111"/>
    </row>
    <row r="342" spans="1:5" s="1950" customFormat="1">
      <c r="A342" s="3111"/>
      <c r="C342" s="3112"/>
      <c r="E342" s="3111"/>
    </row>
    <row r="343" spans="1:5" s="1950" customFormat="1">
      <c r="A343" s="3111"/>
      <c r="C343" s="3112"/>
      <c r="E343" s="3111"/>
    </row>
    <row r="344" spans="1:5" s="1950" customFormat="1">
      <c r="A344" s="3111"/>
      <c r="C344" s="3112"/>
      <c r="E344" s="3111"/>
    </row>
    <row r="345" spans="1:5" s="1950" customFormat="1">
      <c r="A345" s="3111"/>
      <c r="C345" s="3112"/>
      <c r="E345" s="3111"/>
    </row>
    <row r="346" spans="1:5" s="1950" customFormat="1">
      <c r="A346" s="3111"/>
      <c r="C346" s="3112"/>
      <c r="E346" s="3111"/>
    </row>
    <row r="347" spans="1:5" s="1950" customFormat="1">
      <c r="A347" s="3111"/>
      <c r="C347" s="3112"/>
      <c r="E347" s="3111"/>
    </row>
    <row r="348" spans="1:5" s="1950" customFormat="1">
      <c r="A348" s="3111"/>
      <c r="C348" s="3112"/>
      <c r="E348" s="3111"/>
    </row>
    <row r="349" spans="1:5" s="1950" customFormat="1">
      <c r="A349" s="3111"/>
      <c r="C349" s="3112"/>
      <c r="E349" s="3111"/>
    </row>
    <row r="350" spans="1:5" s="1950" customFormat="1">
      <c r="A350" s="3111"/>
      <c r="C350" s="3112"/>
      <c r="E350" s="3111"/>
    </row>
    <row r="351" spans="1:5" s="1950" customFormat="1">
      <c r="A351" s="3111"/>
      <c r="C351" s="3112"/>
      <c r="E351" s="3111"/>
    </row>
    <row r="352" spans="1:5" s="1950" customFormat="1">
      <c r="A352" s="3111"/>
      <c r="C352" s="3112"/>
      <c r="E352" s="3111"/>
    </row>
    <row r="353" spans="1:5" s="1950" customFormat="1">
      <c r="A353" s="3111"/>
      <c r="C353" s="3112"/>
      <c r="E353" s="3111"/>
    </row>
    <row r="354" spans="1:5" s="1950" customFormat="1">
      <c r="A354" s="3111"/>
      <c r="C354" s="3112"/>
      <c r="E354" s="3111"/>
    </row>
    <row r="355" spans="1:5" s="1950" customFormat="1">
      <c r="A355" s="3111"/>
      <c r="C355" s="3112"/>
      <c r="E355" s="3111"/>
    </row>
    <row r="356" spans="1:5" s="1950" customFormat="1">
      <c r="A356" s="3111"/>
      <c r="C356" s="3112"/>
      <c r="E356" s="3111"/>
    </row>
    <row r="357" spans="1:5" s="1950" customFormat="1">
      <c r="A357" s="3111"/>
      <c r="C357" s="3112"/>
      <c r="E357" s="3111"/>
    </row>
    <row r="358" spans="1:5" s="1950" customFormat="1">
      <c r="A358" s="3111"/>
      <c r="C358" s="3112"/>
      <c r="E358" s="3111"/>
    </row>
    <row r="359" spans="1:5" s="1950" customFormat="1">
      <c r="A359" s="3111"/>
      <c r="C359" s="3112"/>
      <c r="E359" s="3111"/>
    </row>
    <row r="360" spans="1:5" s="1950" customFormat="1">
      <c r="A360" s="3111"/>
      <c r="C360" s="3112"/>
      <c r="E360" s="3111"/>
    </row>
    <row r="361" spans="1:5" s="1950" customFormat="1">
      <c r="A361" s="3111"/>
      <c r="C361" s="3112"/>
      <c r="E361" s="3111"/>
    </row>
    <row r="362" spans="1:5" s="1950" customFormat="1">
      <c r="A362" s="3111"/>
      <c r="C362" s="3112"/>
      <c r="E362" s="3111"/>
    </row>
    <row r="363" spans="1:5" s="1950" customFormat="1">
      <c r="A363" s="3111"/>
      <c r="C363" s="3112"/>
      <c r="E363" s="3111"/>
    </row>
    <row r="364" spans="1:5" s="1950" customFormat="1">
      <c r="A364" s="3111"/>
      <c r="C364" s="3112"/>
      <c r="E364" s="3111"/>
    </row>
    <row r="365" spans="1:5" s="1950" customFormat="1">
      <c r="A365" s="3111"/>
      <c r="C365" s="3112"/>
      <c r="E365" s="3111"/>
    </row>
    <row r="366" spans="1:5" s="1950" customFormat="1">
      <c r="A366" s="3111"/>
      <c r="C366" s="3112"/>
      <c r="E366" s="3111"/>
    </row>
    <row r="367" spans="1:5" s="1950" customFormat="1">
      <c r="A367" s="3111"/>
      <c r="C367" s="3112"/>
      <c r="E367" s="3111"/>
    </row>
    <row r="368" spans="1:5" s="1950" customFormat="1">
      <c r="A368" s="3111"/>
      <c r="C368" s="3112"/>
      <c r="E368" s="3111"/>
    </row>
    <row r="369" spans="1:5" s="1950" customFormat="1">
      <c r="A369" s="3111"/>
      <c r="C369" s="3112"/>
      <c r="E369" s="3111"/>
    </row>
    <row r="370" spans="1:5" s="1950" customFormat="1">
      <c r="A370" s="3111"/>
      <c r="C370" s="3112"/>
      <c r="E370" s="3111"/>
    </row>
    <row r="371" spans="1:5" s="1950" customFormat="1">
      <c r="A371" s="3111"/>
      <c r="C371" s="3112"/>
      <c r="E371" s="3111"/>
    </row>
    <row r="372" spans="1:5" s="1950" customFormat="1">
      <c r="A372" s="3111"/>
      <c r="C372" s="3112"/>
      <c r="E372" s="3111"/>
    </row>
    <row r="373" spans="1:5" s="1950" customFormat="1">
      <c r="A373" s="3111"/>
      <c r="C373" s="3112"/>
      <c r="E373" s="3111"/>
    </row>
    <row r="374" spans="1:5" s="1950" customFormat="1">
      <c r="A374" s="3111"/>
      <c r="C374" s="3112"/>
      <c r="E374" s="3111"/>
    </row>
    <row r="375" spans="1:5" s="1950" customFormat="1">
      <c r="A375" s="3111"/>
      <c r="C375" s="3112"/>
      <c r="E375" s="3111"/>
    </row>
    <row r="376" spans="1:5" s="1950" customFormat="1">
      <c r="A376" s="3111"/>
      <c r="C376" s="3112"/>
      <c r="E376" s="3111"/>
    </row>
    <row r="377" spans="1:5" s="1950" customFormat="1">
      <c r="A377" s="3111"/>
      <c r="C377" s="3112"/>
      <c r="E377" s="3111"/>
    </row>
    <row r="378" spans="1:5" s="1950" customFormat="1">
      <c r="A378" s="3111"/>
      <c r="C378" s="3112"/>
      <c r="E378" s="3111"/>
    </row>
    <row r="379" spans="1:5" s="1950" customFormat="1">
      <c r="A379" s="3111"/>
      <c r="C379" s="3112"/>
      <c r="E379" s="3111"/>
    </row>
    <row r="380" spans="1:5" s="1950" customFormat="1">
      <c r="A380" s="3111"/>
      <c r="C380" s="3112"/>
      <c r="E380" s="3111"/>
    </row>
    <row r="381" spans="1:5" s="1950" customFormat="1">
      <c r="A381" s="3111"/>
      <c r="C381" s="3112"/>
      <c r="E381" s="3111"/>
    </row>
    <row r="382" spans="1:5" s="1950" customFormat="1">
      <c r="A382" s="3111"/>
      <c r="C382" s="3112"/>
      <c r="E382" s="3111"/>
    </row>
    <row r="383" spans="1:5" s="1950" customFormat="1">
      <c r="A383" s="3111"/>
      <c r="C383" s="3112"/>
      <c r="E383" s="3111"/>
    </row>
    <row r="384" spans="1:5" s="1950" customFormat="1">
      <c r="A384" s="3111"/>
      <c r="C384" s="3112"/>
      <c r="E384" s="3111"/>
    </row>
    <row r="385" spans="1:5" s="1950" customFormat="1">
      <c r="A385" s="3111"/>
      <c r="C385" s="3112"/>
      <c r="E385" s="3111"/>
    </row>
    <row r="386" spans="1:5" s="1950" customFormat="1">
      <c r="A386" s="3111"/>
      <c r="C386" s="3112"/>
      <c r="E386" s="3111"/>
    </row>
    <row r="387" spans="1:5" s="1950" customFormat="1">
      <c r="A387" s="3111"/>
      <c r="C387" s="3112"/>
      <c r="E387" s="3111"/>
    </row>
    <row r="388" spans="1:5" s="1950" customFormat="1">
      <c r="A388" s="3111"/>
      <c r="C388" s="3112"/>
      <c r="E388" s="3111"/>
    </row>
    <row r="389" spans="1:5" s="1950" customFormat="1">
      <c r="A389" s="3111"/>
      <c r="C389" s="3112"/>
      <c r="E389" s="3111"/>
    </row>
    <row r="390" spans="1:5" s="1950" customFormat="1">
      <c r="A390" s="3111"/>
      <c r="C390" s="3112"/>
      <c r="E390" s="3111"/>
    </row>
    <row r="391" spans="1:5" s="1950" customFormat="1">
      <c r="A391" s="3111"/>
      <c r="C391" s="3112"/>
      <c r="E391" s="3111"/>
    </row>
    <row r="392" spans="1:5" s="1950" customFormat="1">
      <c r="A392" s="3111"/>
      <c r="C392" s="3112"/>
      <c r="E392" s="3111"/>
    </row>
    <row r="393" spans="1:5" s="1950" customFormat="1">
      <c r="A393" s="3111"/>
      <c r="C393" s="3112"/>
      <c r="E393" s="3111"/>
    </row>
    <row r="394" spans="1:5" s="1950" customFormat="1">
      <c r="A394" s="3111"/>
      <c r="C394" s="3112"/>
      <c r="E394" s="3111"/>
    </row>
    <row r="395" spans="1:5" s="1950" customFormat="1">
      <c r="A395" s="3111"/>
      <c r="C395" s="3112"/>
      <c r="E395" s="3111"/>
    </row>
    <row r="396" spans="1:5" s="1950" customFormat="1">
      <c r="A396" s="3111"/>
      <c r="C396" s="3112"/>
      <c r="E396" s="3111"/>
    </row>
    <row r="397" spans="1:5" s="1950" customFormat="1">
      <c r="A397" s="3111"/>
      <c r="C397" s="3112"/>
      <c r="E397" s="3111"/>
    </row>
    <row r="398" spans="1:5" s="1950" customFormat="1">
      <c r="A398" s="3111"/>
      <c r="C398" s="3112"/>
      <c r="E398" s="3111"/>
    </row>
    <row r="399" spans="1:5" s="1950" customFormat="1">
      <c r="A399" s="3111"/>
      <c r="C399" s="3112"/>
      <c r="E399" s="3111"/>
    </row>
    <row r="400" spans="1:5" s="1950" customFormat="1">
      <c r="A400" s="3111"/>
      <c r="C400" s="3112"/>
      <c r="E400" s="3111"/>
    </row>
    <row r="401" spans="1:5" s="1950" customFormat="1">
      <c r="A401" s="3111"/>
      <c r="C401" s="3112"/>
      <c r="E401" s="3111"/>
    </row>
    <row r="402" spans="1:5" s="1950" customFormat="1">
      <c r="A402" s="3111"/>
      <c r="C402" s="3112"/>
      <c r="E402" s="3111"/>
    </row>
    <row r="403" spans="1:5" s="1950" customFormat="1">
      <c r="A403" s="3111"/>
      <c r="C403" s="3112"/>
      <c r="E403" s="3111"/>
    </row>
    <row r="404" spans="1:5" s="1950" customFormat="1">
      <c r="A404" s="3111"/>
      <c r="C404" s="3112"/>
      <c r="E404" s="3111"/>
    </row>
    <row r="405" spans="1:5" s="1950" customFormat="1">
      <c r="A405" s="3111"/>
      <c r="C405" s="3112"/>
      <c r="E405" s="3111"/>
    </row>
    <row r="406" spans="1:5" s="1950" customFormat="1">
      <c r="A406" s="3111"/>
      <c r="C406" s="3112"/>
      <c r="E406" s="3111"/>
    </row>
    <row r="407" spans="1:5" s="1950" customFormat="1">
      <c r="A407" s="3111"/>
      <c r="C407" s="3112"/>
      <c r="E407" s="3111"/>
    </row>
    <row r="408" spans="1:5" s="1950" customFormat="1">
      <c r="A408" s="3111"/>
      <c r="C408" s="3112"/>
      <c r="E408" s="3111"/>
    </row>
    <row r="409" spans="1:5" s="1950" customFormat="1">
      <c r="A409" s="3111"/>
      <c r="C409" s="3112"/>
      <c r="E409" s="3111"/>
    </row>
    <row r="410" spans="1:5" s="1950" customFormat="1">
      <c r="A410" s="3111"/>
      <c r="C410" s="3112"/>
      <c r="E410" s="3111"/>
    </row>
    <row r="411" spans="1:5" s="1950" customFormat="1">
      <c r="A411" s="3111"/>
      <c r="C411" s="3112"/>
      <c r="E411" s="3111"/>
    </row>
    <row r="412" spans="1:5" s="1950" customFormat="1">
      <c r="A412" s="3111"/>
      <c r="C412" s="3112"/>
      <c r="E412" s="3111"/>
    </row>
    <row r="413" spans="1:5" s="1950" customFormat="1">
      <c r="A413" s="3111"/>
      <c r="C413" s="3112"/>
      <c r="E413" s="3111"/>
    </row>
    <row r="414" spans="1:5" s="1950" customFormat="1">
      <c r="A414" s="3111"/>
      <c r="C414" s="3112"/>
      <c r="E414" s="3111"/>
    </row>
    <row r="415" spans="1:5" s="1950" customFormat="1">
      <c r="A415" s="3111"/>
      <c r="C415" s="3112"/>
      <c r="E415" s="3111"/>
    </row>
    <row r="416" spans="1:5" s="1950" customFormat="1">
      <c r="A416" s="3111"/>
      <c r="C416" s="3112"/>
      <c r="E416" s="3111"/>
    </row>
    <row r="417" spans="1:5" s="1950" customFormat="1">
      <c r="A417" s="3111"/>
      <c r="C417" s="3112"/>
      <c r="E417" s="3111"/>
    </row>
    <row r="418" spans="1:5" s="1950" customFormat="1">
      <c r="A418" s="3111"/>
      <c r="C418" s="3112"/>
      <c r="E418" s="3111"/>
    </row>
    <row r="419" spans="1:5" s="1950" customFormat="1">
      <c r="A419" s="3111"/>
      <c r="C419" s="3112"/>
      <c r="E419" s="3111"/>
    </row>
    <row r="420" spans="1:5" s="1950" customFormat="1">
      <c r="A420" s="3111"/>
      <c r="C420" s="3112"/>
      <c r="E420" s="3111"/>
    </row>
    <row r="421" spans="1:5" s="1950" customFormat="1">
      <c r="A421" s="3111"/>
      <c r="C421" s="3112"/>
      <c r="E421" s="3111"/>
    </row>
    <row r="422" spans="1:5" s="1950" customFormat="1">
      <c r="A422" s="3111"/>
      <c r="C422" s="3112"/>
      <c r="E422" s="3111"/>
    </row>
    <row r="423" spans="1:5" s="1950" customFormat="1">
      <c r="A423" s="3111"/>
      <c r="C423" s="3112"/>
      <c r="E423" s="3111"/>
    </row>
    <row r="424" spans="1:5" s="1950" customFormat="1">
      <c r="A424" s="3111"/>
      <c r="C424" s="3112"/>
      <c r="E424" s="3111"/>
    </row>
    <row r="425" spans="1:5" s="1950" customFormat="1">
      <c r="A425" s="3111"/>
      <c r="C425" s="3112"/>
      <c r="E425" s="3111"/>
    </row>
    <row r="426" spans="1:5" s="1950" customFormat="1">
      <c r="A426" s="3111"/>
      <c r="C426" s="3112"/>
      <c r="E426" s="3111"/>
    </row>
    <row r="427" spans="1:5" s="1950" customFormat="1">
      <c r="A427" s="3111"/>
      <c r="C427" s="3112"/>
      <c r="E427" s="3111"/>
    </row>
    <row r="428" spans="1:5" s="1950" customFormat="1">
      <c r="A428" s="3111"/>
      <c r="C428" s="3112"/>
      <c r="E428" s="3111"/>
    </row>
    <row r="429" spans="1:5" s="1950" customFormat="1">
      <c r="A429" s="3111"/>
      <c r="C429" s="3112"/>
      <c r="E429" s="3111"/>
    </row>
    <row r="430" spans="1:5" s="1950" customFormat="1">
      <c r="A430" s="3111"/>
      <c r="C430" s="3112"/>
      <c r="E430" s="3111"/>
    </row>
    <row r="431" spans="1:5" s="1950" customFormat="1">
      <c r="A431" s="3111"/>
      <c r="C431" s="3112"/>
      <c r="E431" s="3111"/>
    </row>
    <row r="432" spans="1:5" s="1950" customFormat="1">
      <c r="A432" s="3111"/>
      <c r="C432" s="3112"/>
      <c r="E432" s="3111"/>
    </row>
    <row r="433" spans="1:5" s="1950" customFormat="1">
      <c r="A433" s="3111"/>
      <c r="C433" s="3112"/>
      <c r="E433" s="3111"/>
    </row>
    <row r="434" spans="1:5" s="1950" customFormat="1">
      <c r="A434" s="3111"/>
      <c r="C434" s="3112"/>
      <c r="E434" s="3111"/>
    </row>
    <row r="435" spans="1:5" s="1950" customFormat="1">
      <c r="A435" s="3111"/>
      <c r="C435" s="3112"/>
      <c r="E435" s="3111"/>
    </row>
    <row r="436" spans="1:5" s="1950" customFormat="1">
      <c r="A436" s="3111"/>
      <c r="C436" s="3112"/>
      <c r="E436" s="3111"/>
    </row>
    <row r="437" spans="1:5" s="1950" customFormat="1">
      <c r="A437" s="3111"/>
      <c r="C437" s="3112"/>
      <c r="E437" s="3111"/>
    </row>
    <row r="438" spans="1:5" s="1950" customFormat="1">
      <c r="A438" s="3111"/>
      <c r="C438" s="3112"/>
      <c r="E438" s="3111"/>
    </row>
    <row r="439" spans="1:5" s="1950" customFormat="1">
      <c r="A439" s="3111"/>
      <c r="C439" s="3112"/>
      <c r="E439" s="3111"/>
    </row>
    <row r="440" spans="1:5" s="1950" customFormat="1">
      <c r="A440" s="3111"/>
      <c r="C440" s="3112"/>
      <c r="E440" s="3111"/>
    </row>
    <row r="441" spans="1:5" s="1950" customFormat="1">
      <c r="A441" s="3111"/>
      <c r="C441" s="3112"/>
      <c r="E441" s="3111"/>
    </row>
    <row r="442" spans="1:5" s="1950" customFormat="1">
      <c r="A442" s="3111"/>
      <c r="C442" s="3112"/>
      <c r="E442" s="3111"/>
    </row>
    <row r="443" spans="1:5" s="1950" customFormat="1">
      <c r="A443" s="3111"/>
      <c r="C443" s="3112"/>
      <c r="E443" s="3111"/>
    </row>
    <row r="444" spans="1:5" s="1950" customFormat="1">
      <c r="A444" s="3111"/>
      <c r="C444" s="3112"/>
      <c r="E444" s="3111"/>
    </row>
    <row r="445" spans="1:5" s="1950" customFormat="1">
      <c r="A445" s="3111"/>
      <c r="C445" s="3112"/>
      <c r="E445" s="3111"/>
    </row>
    <row r="446" spans="1:5" s="1950" customFormat="1">
      <c r="A446" s="3111"/>
      <c r="C446" s="3112"/>
      <c r="E446" s="3111"/>
    </row>
    <row r="447" spans="1:5" s="1950" customFormat="1">
      <c r="A447" s="3111"/>
      <c r="C447" s="3112"/>
      <c r="E447" s="3111"/>
    </row>
    <row r="448" spans="1:5" s="1950" customFormat="1">
      <c r="A448" s="3111"/>
      <c r="C448" s="3112"/>
      <c r="E448" s="3111"/>
    </row>
    <row r="449" spans="1:5" s="1950" customFormat="1">
      <c r="A449" s="3111"/>
      <c r="C449" s="3112"/>
      <c r="E449" s="3111"/>
    </row>
    <row r="450" spans="1:5" s="1950" customFormat="1">
      <c r="A450" s="3111"/>
      <c r="C450" s="3112"/>
      <c r="E450" s="3111"/>
    </row>
    <row r="451" spans="1:5" s="1950" customFormat="1">
      <c r="A451" s="3111"/>
      <c r="C451" s="3112"/>
      <c r="E451" s="3111"/>
    </row>
    <row r="452" spans="1:5" s="1950" customFormat="1">
      <c r="A452" s="3111"/>
      <c r="C452" s="3112"/>
      <c r="E452" s="3111"/>
    </row>
    <row r="453" spans="1:5" s="1950" customFormat="1">
      <c r="A453" s="3111"/>
      <c r="C453" s="3112"/>
      <c r="E453" s="3111"/>
    </row>
    <row r="454" spans="1:5" s="1950" customFormat="1">
      <c r="A454" s="3111"/>
      <c r="C454" s="3112"/>
      <c r="E454" s="3111"/>
    </row>
    <row r="455" spans="1:5" s="1950" customFormat="1">
      <c r="A455" s="3111"/>
      <c r="C455" s="3112"/>
      <c r="E455" s="3111"/>
    </row>
    <row r="456" spans="1:5" s="1950" customFormat="1">
      <c r="A456" s="3111"/>
      <c r="C456" s="3112"/>
      <c r="E456" s="3111"/>
    </row>
    <row r="457" spans="1:5" s="1950" customFormat="1">
      <c r="A457" s="3111"/>
      <c r="C457" s="3112"/>
      <c r="E457" s="3111"/>
    </row>
    <row r="458" spans="1:5" s="1950" customFormat="1">
      <c r="A458" s="3111"/>
      <c r="C458" s="3112"/>
      <c r="E458" s="3111"/>
    </row>
    <row r="459" spans="1:5" s="1950" customFormat="1">
      <c r="A459" s="3111"/>
      <c r="C459" s="3112"/>
      <c r="E459" s="3111"/>
    </row>
    <row r="460" spans="1:5" s="1950" customFormat="1">
      <c r="A460" s="3111"/>
      <c r="C460" s="3112"/>
      <c r="E460" s="3111"/>
    </row>
    <row r="461" spans="1:5" s="1950" customFormat="1">
      <c r="A461" s="3111"/>
      <c r="C461" s="3112"/>
      <c r="E461" s="3111"/>
    </row>
    <row r="462" spans="1:5" s="1950" customFormat="1">
      <c r="A462" s="3111"/>
      <c r="C462" s="3112"/>
      <c r="E462" s="3111"/>
    </row>
    <row r="463" spans="1:5" s="1950" customFormat="1">
      <c r="A463" s="3111"/>
      <c r="C463" s="3112"/>
      <c r="E463" s="3111"/>
    </row>
    <row r="464" spans="1:5" s="1950" customFormat="1">
      <c r="A464" s="3111"/>
      <c r="C464" s="3112"/>
      <c r="E464" s="3111"/>
    </row>
    <row r="465" spans="1:5" s="1950" customFormat="1">
      <c r="A465" s="3111"/>
      <c r="C465" s="3112"/>
      <c r="E465" s="3111"/>
    </row>
    <row r="466" spans="1:5" s="1950" customFormat="1">
      <c r="A466" s="3111"/>
      <c r="C466" s="3112"/>
      <c r="E466" s="3111"/>
    </row>
    <row r="467" spans="1:5" s="1950" customFormat="1">
      <c r="A467" s="3111"/>
      <c r="C467" s="3112"/>
      <c r="E467" s="3111"/>
    </row>
    <row r="468" spans="1:5" s="1950" customFormat="1">
      <c r="A468" s="3111"/>
      <c r="C468" s="3112"/>
      <c r="E468" s="3111"/>
    </row>
    <row r="469" spans="1:5" s="1950" customFormat="1">
      <c r="A469" s="3111"/>
      <c r="C469" s="3112"/>
      <c r="E469" s="3111"/>
    </row>
    <row r="470" spans="1:5" s="1950" customFormat="1">
      <c r="A470" s="3111"/>
      <c r="C470" s="3112"/>
      <c r="E470" s="3111"/>
    </row>
    <row r="471" spans="1:5" s="1950" customFormat="1">
      <c r="A471" s="3111"/>
      <c r="C471" s="3112"/>
      <c r="E471" s="3111"/>
    </row>
    <row r="472" spans="1:5" s="1950" customFormat="1">
      <c r="A472" s="3111"/>
      <c r="C472" s="3112"/>
      <c r="E472" s="3111"/>
    </row>
    <row r="473" spans="1:5" s="1950" customFormat="1">
      <c r="A473" s="3111"/>
      <c r="C473" s="3112"/>
      <c r="E473" s="3111"/>
    </row>
    <row r="474" spans="1:5" s="1950" customFormat="1">
      <c r="A474" s="3111"/>
      <c r="C474" s="3112"/>
      <c r="E474" s="3111"/>
    </row>
    <row r="475" spans="1:5" s="1950" customFormat="1">
      <c r="A475" s="3111"/>
      <c r="C475" s="3112"/>
      <c r="E475" s="3111"/>
    </row>
    <row r="476" spans="1:5" s="1950" customFormat="1">
      <c r="A476" s="3111"/>
      <c r="C476" s="3112"/>
      <c r="E476" s="3111"/>
    </row>
    <row r="477" spans="1:5" s="1950" customFormat="1">
      <c r="A477" s="3111"/>
      <c r="C477" s="3112"/>
      <c r="E477" s="3111"/>
    </row>
    <row r="478" spans="1:5" s="1950" customFormat="1">
      <c r="A478" s="3111"/>
      <c r="C478" s="3112"/>
      <c r="E478" s="3111"/>
    </row>
    <row r="479" spans="1:5" s="1950" customFormat="1">
      <c r="A479" s="3111"/>
      <c r="C479" s="3112"/>
      <c r="E479" s="3111"/>
    </row>
    <row r="480" spans="1:5" s="1950" customFormat="1">
      <c r="A480" s="3111"/>
      <c r="C480" s="3112"/>
      <c r="E480" s="3111"/>
    </row>
    <row r="481" spans="1:5" s="1950" customFormat="1">
      <c r="A481" s="3111"/>
      <c r="C481" s="3112"/>
      <c r="E481" s="3111"/>
    </row>
    <row r="482" spans="1:5" s="1950" customFormat="1">
      <c r="A482" s="3111"/>
      <c r="C482" s="3112"/>
      <c r="E482" s="3111"/>
    </row>
    <row r="483" spans="1:5" s="1950" customFormat="1">
      <c r="A483" s="3111"/>
      <c r="C483" s="3112"/>
      <c r="E483" s="3111"/>
    </row>
    <row r="484" spans="1:5" s="1950" customFormat="1">
      <c r="A484" s="3111"/>
      <c r="C484" s="3112"/>
      <c r="E484" s="3111"/>
    </row>
    <row r="485" spans="1:5" s="1950" customFormat="1">
      <c r="A485" s="3111"/>
      <c r="C485" s="3112"/>
      <c r="E485" s="3111"/>
    </row>
    <row r="486" spans="1:5" s="1950" customFormat="1">
      <c r="A486" s="3111"/>
      <c r="C486" s="3112"/>
      <c r="E486" s="3111"/>
    </row>
    <row r="487" spans="1:5" s="1950" customFormat="1">
      <c r="A487" s="3111"/>
      <c r="C487" s="3112"/>
      <c r="E487" s="3111"/>
    </row>
    <row r="488" spans="1:5" s="1950" customFormat="1">
      <c r="A488" s="3111"/>
      <c r="C488" s="3112"/>
      <c r="E488" s="3111"/>
    </row>
    <row r="489" spans="1:5" s="1950" customFormat="1">
      <c r="A489" s="3111"/>
      <c r="C489" s="3112"/>
      <c r="E489" s="3111"/>
    </row>
    <row r="490" spans="1:5" s="1950" customFormat="1">
      <c r="A490" s="3111"/>
      <c r="C490" s="3112"/>
      <c r="E490" s="311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68" t="str">
        <f>项目基本情况!B1</f>
        <v>海南省海口市新埠岛出让国有建设用地使用权抵押价格预评估</v>
      </c>
      <c r="C37" s="3468"/>
      <c r="D37" s="3468"/>
      <c r="E37" s="3468"/>
      <c r="F37" s="3468"/>
      <c r="G37" s="3468"/>
      <c r="H37" s="3468"/>
      <c r="I37" s="3468"/>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8</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3"/>
      <c r="M6" s="3103"/>
      <c r="N6" s="3103"/>
      <c r="O6" s="3103"/>
      <c r="P6" s="3103"/>
      <c r="Q6" s="3103"/>
      <c r="R6" s="3103"/>
      <c r="S6" s="3103"/>
      <c r="T6" s="3103"/>
      <c r="U6" s="3103"/>
      <c r="V6" s="3103"/>
      <c r="W6" s="3103"/>
      <c r="X6" s="3103"/>
      <c r="Y6" s="3103"/>
      <c r="Z6" s="3103"/>
    </row>
    <row r="7" spans="1:41" s="1948" customFormat="1" ht="15">
      <c r="A7" s="427" t="s">
        <v>464</v>
      </c>
      <c r="B7" s="428" t="s">
        <v>465</v>
      </c>
      <c r="C7" s="3221"/>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3"/>
      <c r="M11" s="3103"/>
      <c r="N11" s="3103"/>
      <c r="O11" s="3103"/>
      <c r="P11" s="3103"/>
      <c r="Q11" s="3103"/>
      <c r="R11" s="3103"/>
      <c r="S11" s="3103"/>
      <c r="T11" s="3103"/>
      <c r="U11" s="3103"/>
      <c r="V11" s="3103"/>
      <c r="W11" s="3103"/>
      <c r="X11" s="3103"/>
      <c r="Y11" s="3103"/>
      <c r="Z11" s="3103"/>
    </row>
    <row r="12" spans="1:41" s="1920" customFormat="1" ht="13.5" customHeight="1">
      <c r="A12" s="427" t="s">
        <v>464</v>
      </c>
      <c r="B12" s="436" t="s">
        <v>465</v>
      </c>
      <c r="C12" s="437" t="s">
        <v>469</v>
      </c>
      <c r="D12" s="438" t="s">
        <v>470</v>
      </c>
      <c r="E12" s="438" t="s">
        <v>471</v>
      </c>
      <c r="F12" s="438" t="s">
        <v>472</v>
      </c>
      <c r="G12" s="436"/>
      <c r="H12" s="439"/>
      <c r="I12" s="439"/>
      <c r="J12" s="439"/>
      <c r="K12" s="440"/>
      <c r="L12" s="3104"/>
      <c r="M12" s="3104"/>
      <c r="N12" s="3104"/>
      <c r="O12" s="3104"/>
      <c r="P12" s="3104"/>
      <c r="Q12" s="3104"/>
      <c r="R12" s="3104"/>
      <c r="S12" s="3104"/>
      <c r="T12" s="3104"/>
      <c r="U12" s="3104"/>
      <c r="V12" s="3104"/>
      <c r="W12" s="3104"/>
      <c r="X12" s="3104"/>
      <c r="Y12" s="3104"/>
      <c r="Z12" s="3104"/>
    </row>
    <row r="13" spans="1:41" s="1951" customFormat="1" ht="13.5" customHeight="1">
      <c r="A13" s="1516" t="s">
        <v>1648</v>
      </c>
      <c r="B13" s="441" t="s">
        <v>473</v>
      </c>
      <c r="C13" s="442">
        <f ca="1">IF(B1="",'数据-取费表'!M16,INDIRECT("'数据-取费表'!M"&amp;$K$1)+INDIRECT("'数据-取费表'!t"&amp;$K$1))</f>
        <v>18040</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3">
        <f ca="1">ROUND(C13*F14,0)</f>
        <v>541</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3">
        <f ca="1">ROUND(IF(B1="",SUMIF('数据-取费表'!C:C,"住宅",'数据-取费表'!M:M)*F15,IF(INDIRECT("'数据-取费表'!c"&amp;$K$1)="住宅",INDIRECT("'数据-取费表'!M"&amp;$K$1)*F15,0)),0)</f>
        <v>805</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3">
        <f ca="1">ROUND(D16*E16/10000,0)</f>
        <v>1032</v>
      </c>
      <c r="D16" s="443">
        <f ca="1">IF(B1="",'数据-汇总表'!E3,INDIRECT("'数据-取费表'!K"&amp;$K$1)+INDIRECT("'数据-取费表'!S"&amp;$K$1))</f>
        <v>51575.14</v>
      </c>
      <c r="E16" s="53">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271</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20689</v>
      </c>
      <c r="D18" s="453"/>
      <c r="E18" s="454"/>
      <c r="F18" s="454"/>
      <c r="G18" s="1242" t="s">
        <v>2218</v>
      </c>
      <c r="H18" s="439"/>
      <c r="I18" s="439"/>
      <c r="J18" s="439"/>
      <c r="K18" s="440"/>
      <c r="L18" s="3106"/>
      <c r="M18" s="3106"/>
      <c r="N18" s="3106"/>
      <c r="O18" s="3106"/>
      <c r="P18" s="3106"/>
      <c r="Q18" s="3106"/>
      <c r="R18" s="3106"/>
      <c r="S18" s="3106"/>
      <c r="T18" s="3106"/>
      <c r="U18" s="3106"/>
      <c r="V18" s="3106"/>
      <c r="W18" s="3106"/>
      <c r="X18" s="3106"/>
      <c r="Y18" s="3106"/>
      <c r="Z18" s="3106"/>
    </row>
    <row r="19" spans="1:26" s="1954" customFormat="1" ht="13.5" customHeight="1">
      <c r="A19" s="1517" t="s">
        <v>1654</v>
      </c>
      <c r="B19" s="451" t="s">
        <v>487</v>
      </c>
      <c r="C19" s="452">
        <f ca="1">ROUND(C18*F19,0)</f>
        <v>414</v>
      </c>
      <c r="D19" s="453"/>
      <c r="E19" s="454"/>
      <c r="F19" s="458">
        <f>'数据-取费表'!B37</f>
        <v>0.02</v>
      </c>
      <c r="G19" s="436" t="s">
        <v>497</v>
      </c>
      <c r="H19" s="439"/>
      <c r="I19" s="439"/>
      <c r="J19" s="439"/>
      <c r="K19" s="440"/>
      <c r="L19" s="3108"/>
      <c r="M19" s="3108"/>
      <c r="N19" s="3108"/>
      <c r="O19" s="3106"/>
      <c r="P19" s="3106"/>
      <c r="Q19" s="3106"/>
      <c r="R19" s="3106"/>
      <c r="S19" s="3106"/>
      <c r="T19" s="3106"/>
      <c r="U19" s="3106"/>
      <c r="V19" s="3106"/>
      <c r="W19" s="3106"/>
      <c r="X19" s="3106"/>
      <c r="Y19" s="3106"/>
      <c r="Z19" s="3106"/>
    </row>
    <row r="20" spans="1:26" s="1956" customFormat="1" ht="13.5" customHeight="1">
      <c r="A20" s="1517" t="s">
        <v>1655</v>
      </c>
      <c r="B20" s="453" t="s">
        <v>488</v>
      </c>
      <c r="C20" s="462">
        <f ca="1">ROUND(IF('数据-取费表'!B22&lt;=1,(C18+C19)*F20*'数据-取费表'!B20/2,(C18+C19)*(POWER((1+F20),'数据-取费表'!B20/2)-1)),0)</f>
        <v>1114</v>
      </c>
      <c r="D20" s="454">
        <f ca="1">ROUND(((1+F20)^'数据-取费表'!B20)-1,4)</f>
        <v>0.10829999999999999</v>
      </c>
      <c r="E20" s="454"/>
      <c r="F20" s="463">
        <f ca="1">'数据-取费表'!B40</f>
        <v>4.2000000000000003E-2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4" t="s">
        <v>2235</v>
      </c>
      <c r="M20" s="3115"/>
      <c r="N20" s="3115"/>
      <c r="O20" s="3115"/>
      <c r="P20" s="3115"/>
      <c r="Q20" s="3108"/>
      <c r="R20" s="3108"/>
      <c r="S20" s="3108"/>
      <c r="T20" s="3108"/>
      <c r="U20" s="3108"/>
      <c r="V20" s="3108"/>
      <c r="W20" s="3108"/>
      <c r="X20" s="3108"/>
      <c r="Y20" s="3108"/>
      <c r="Z20" s="3108"/>
    </row>
    <row r="21" spans="1:26" s="1955" customFormat="1" ht="13.5" customHeight="1">
      <c r="A21" s="1517" t="s">
        <v>2735</v>
      </c>
      <c r="B21" s="2662" t="s">
        <v>2546</v>
      </c>
      <c r="C21" s="470">
        <f ca="1">ROUND((C18+C19)*F21,0)</f>
        <v>2743</v>
      </c>
      <c r="D21" s="3193"/>
      <c r="E21" s="454"/>
      <c r="F21" s="471">
        <f ca="1">IF(B1="",'数据-取费表'!Q16,INDIRECT("'数据-取费表'!q"&amp;$K$1))</f>
        <v>0.13</v>
      </c>
      <c r="G21" s="436"/>
      <c r="H21" s="439"/>
      <c r="I21" s="439"/>
      <c r="J21" s="439"/>
      <c r="K21" s="440"/>
      <c r="L21" s="3107"/>
      <c r="M21" s="3107"/>
      <c r="N21" s="3107"/>
      <c r="O21" s="3107"/>
      <c r="P21" s="3107"/>
      <c r="Q21" s="3107"/>
      <c r="R21" s="3107"/>
      <c r="S21" s="3107"/>
      <c r="T21" s="3107"/>
      <c r="U21" s="3107"/>
      <c r="V21" s="3107"/>
      <c r="W21" s="3107"/>
      <c r="X21" s="3107"/>
      <c r="Y21" s="3107"/>
      <c r="Z21" s="3107"/>
    </row>
    <row r="22" spans="1:26" s="1956" customFormat="1" ht="13.5" customHeight="1">
      <c r="A22" s="1517" t="s">
        <v>1659</v>
      </c>
      <c r="B22" s="468" t="s">
        <v>498</v>
      </c>
      <c r="C22" s="475"/>
      <c r="D22" s="475"/>
      <c r="E22" s="476"/>
      <c r="F22" s="3195">
        <f ca="1">IF(B1="",'数据-取费表'!N16,INDIRECT("'数据-取费表'!N"&amp;$K$1))</f>
        <v>0</v>
      </c>
      <c r="G22" s="436"/>
      <c r="H22" s="439"/>
      <c r="I22" s="439"/>
      <c r="J22" s="439"/>
      <c r="K22" s="440"/>
      <c r="L22" s="3108"/>
      <c r="M22" s="3108"/>
      <c r="N22" s="3108"/>
      <c r="O22" s="3108"/>
      <c r="P22" s="3108"/>
      <c r="Q22" s="3108"/>
      <c r="R22" s="3108"/>
      <c r="S22" s="3108"/>
      <c r="T22" s="3108"/>
      <c r="U22" s="3108"/>
      <c r="V22" s="3108"/>
      <c r="W22" s="3108"/>
      <c r="X22" s="3108"/>
      <c r="Y22" s="3108"/>
      <c r="Z22" s="3108"/>
    </row>
    <row r="23" spans="1:26" s="1956" customFormat="1" ht="13.5" customHeight="1" thickBot="1">
      <c r="A23" s="3196" t="s">
        <v>1660</v>
      </c>
      <c r="B23" s="3197" t="s">
        <v>2736</v>
      </c>
      <c r="C23" s="3198">
        <f ca="1">ROUND((C18+C19+C20+C21)*F22,0)</f>
        <v>0</v>
      </c>
      <c r="D23" s="3199"/>
      <c r="E23" s="3200"/>
      <c r="F23" s="477"/>
      <c r="G23" s="428"/>
      <c r="H23" s="3201"/>
      <c r="I23" s="3201"/>
      <c r="J23" s="3201"/>
      <c r="K23" s="3202"/>
      <c r="L23" s="3108"/>
      <c r="M23" s="3108"/>
      <c r="N23" s="3108"/>
      <c r="O23" s="3108"/>
      <c r="P23" s="3108"/>
      <c r="Q23" s="3108"/>
      <c r="R23" s="3108"/>
      <c r="S23" s="3108"/>
      <c r="T23" s="3108"/>
      <c r="U23" s="3108"/>
      <c r="V23" s="3108"/>
      <c r="W23" s="3108"/>
      <c r="X23" s="3108"/>
      <c r="Y23" s="3108"/>
      <c r="Z23" s="3108"/>
    </row>
    <row r="24" spans="1:26" s="1956" customFormat="1" ht="13.5" customHeight="1" thickBot="1">
      <c r="A24" s="3641" t="s">
        <v>1665</v>
      </c>
      <c r="B24" s="3642"/>
      <c r="C24" s="3203">
        <f>ROUND(C6*F24/(1+'数据-取费表'!B42),0)</f>
        <v>0</v>
      </c>
      <c r="D24" s="3204"/>
      <c r="E24" s="3205"/>
      <c r="F24" s="3206">
        <f>'数据-取费表'!B41</f>
        <v>5.5000000000000007E-2</v>
      </c>
      <c r="G24" s="3207"/>
      <c r="H24" s="3207"/>
      <c r="I24" s="3207"/>
      <c r="J24" s="3207"/>
      <c r="K24" s="3208"/>
      <c r="L24" s="3108"/>
      <c r="M24" s="3108"/>
      <c r="N24" s="3108"/>
      <c r="O24" s="3108"/>
      <c r="P24" s="3108"/>
      <c r="Q24" s="3108"/>
      <c r="R24" s="3108"/>
      <c r="S24" s="3108"/>
      <c r="T24" s="3108"/>
      <c r="U24" s="3108"/>
      <c r="V24" s="3108"/>
      <c r="W24" s="3108"/>
      <c r="X24" s="3108"/>
      <c r="Y24" s="3108"/>
      <c r="Z24" s="3108"/>
    </row>
    <row r="25" spans="1:26" s="1956" customFormat="1" ht="13.5" customHeight="1" thickBot="1">
      <c r="A25" s="3641" t="s">
        <v>2733</v>
      </c>
      <c r="B25" s="3642"/>
      <c r="C25" s="3203">
        <f>ROUND(C6*F25,0)</f>
        <v>0</v>
      </c>
      <c r="D25" s="3204"/>
      <c r="E25" s="3205"/>
      <c r="F25" s="3209">
        <f>'数据-取费表'!B38</f>
        <v>0.02</v>
      </c>
      <c r="G25" s="3210"/>
      <c r="H25" s="3207"/>
      <c r="I25" s="3207"/>
      <c r="J25" s="3207"/>
      <c r="K25" s="3208"/>
      <c r="L25" s="3108"/>
      <c r="M25" s="3108"/>
      <c r="N25" s="3108"/>
      <c r="O25" s="3108"/>
      <c r="P25" s="3108"/>
      <c r="Q25" s="3108"/>
      <c r="R25" s="3108"/>
      <c r="S25" s="3108"/>
      <c r="T25" s="3108"/>
      <c r="U25" s="3108"/>
      <c r="V25" s="3108"/>
      <c r="W25" s="3108"/>
      <c r="X25" s="3108"/>
      <c r="Y25" s="3108"/>
      <c r="Z25" s="3108"/>
    </row>
    <row r="26" spans="1:26" s="1961" customFormat="1" ht="13.5" customHeight="1" thickBot="1">
      <c r="A26" s="3641" t="s">
        <v>2734</v>
      </c>
      <c r="B26" s="3642"/>
      <c r="C26" s="3215"/>
      <c r="D26" s="3216"/>
      <c r="E26" s="3216"/>
      <c r="F26" s="3217">
        <f>'数据-取费表'!B48+'数据-取费表'!B49</f>
        <v>3.0499999999999999E-2</v>
      </c>
      <c r="G26" s="3218"/>
      <c r="H26" s="3218"/>
      <c r="I26" s="3218"/>
      <c r="J26" s="3219"/>
      <c r="K26" s="3220"/>
      <c r="L26" s="3113"/>
      <c r="M26" s="3113"/>
      <c r="N26" s="3113"/>
      <c r="O26" s="3113"/>
      <c r="P26" s="3113"/>
      <c r="Q26" s="3113"/>
      <c r="R26" s="3113"/>
      <c r="S26" s="3113"/>
      <c r="T26" s="3113"/>
      <c r="U26" s="3113"/>
      <c r="V26" s="3113"/>
      <c r="W26" s="3113"/>
      <c r="X26" s="3113"/>
      <c r="Y26" s="3113"/>
      <c r="Z26" s="3113"/>
    </row>
    <row r="27" spans="1:26" s="3194" customFormat="1" ht="13.5" customHeight="1" thickBot="1">
      <c r="A27" s="3643" t="s">
        <v>2732</v>
      </c>
      <c r="B27" s="3644"/>
      <c r="C27" s="3211">
        <f ca="1">(C6-C23-C24-C25)/((1+F26)*(1+D20+F21))</f>
        <v>0</v>
      </c>
      <c r="D27" s="3212"/>
      <c r="E27" s="3212"/>
      <c r="F27" s="3212"/>
      <c r="G27" s="3213" t="s">
        <v>2665</v>
      </c>
      <c r="H27" s="3212"/>
      <c r="I27" s="3212"/>
      <c r="J27" s="3212"/>
      <c r="K27" s="3214"/>
    </row>
    <row r="28" spans="1:26" s="1950" customFormat="1">
      <c r="A28" s="3111"/>
      <c r="C28" s="3112"/>
      <c r="E28" s="3111"/>
    </row>
    <row r="29" spans="1:26" s="1950" customFormat="1" ht="12.75" customHeight="1">
      <c r="A29" s="3111"/>
      <c r="C29" s="3112"/>
      <c r="E29" s="3111"/>
    </row>
    <row r="30" spans="1:26" s="1950" customFormat="1">
      <c r="A30" s="3111"/>
      <c r="C30" s="3112"/>
      <c r="E30" s="3111"/>
    </row>
    <row r="31" spans="1:26" s="1950" customFormat="1">
      <c r="A31" s="3111"/>
      <c r="C31" s="3112"/>
      <c r="E31" s="3111"/>
    </row>
    <row r="32" spans="1:26" s="1950" customFormat="1">
      <c r="A32" s="3111"/>
      <c r="C32" s="3112"/>
      <c r="E32" s="3111"/>
    </row>
    <row r="33" spans="1:5" s="1950" customFormat="1">
      <c r="A33" s="3111"/>
      <c r="C33" s="3112"/>
      <c r="E33" s="3111"/>
    </row>
    <row r="34" spans="1:5" s="1950" customFormat="1">
      <c r="A34" s="3111"/>
      <c r="C34" s="3112"/>
      <c r="E34" s="3111"/>
    </row>
    <row r="35" spans="1:5" s="1950" customFormat="1">
      <c r="A35" s="3111"/>
      <c r="C35" s="3112"/>
      <c r="E35" s="3111"/>
    </row>
    <row r="36" spans="1:5" s="1950" customFormat="1">
      <c r="A36" s="3111"/>
      <c r="C36" s="3112"/>
      <c r="E36" s="3111"/>
    </row>
    <row r="37" spans="1:5" s="1950" customFormat="1">
      <c r="A37" s="3111"/>
      <c r="C37" s="3112"/>
      <c r="E37" s="3111"/>
    </row>
    <row r="38" spans="1:5" s="1950" customFormat="1">
      <c r="A38" s="3111"/>
      <c r="C38" s="3112"/>
      <c r="E38" s="3111"/>
    </row>
    <row r="39" spans="1:5" s="1950" customFormat="1">
      <c r="A39" s="3111"/>
      <c r="C39" s="3112"/>
      <c r="E39" s="3111"/>
    </row>
    <row r="40" spans="1:5" s="1950" customFormat="1">
      <c r="A40" s="3111"/>
      <c r="C40" s="3112"/>
      <c r="E40" s="3111"/>
    </row>
    <row r="41" spans="1:5" s="1950" customFormat="1">
      <c r="A41" s="3111"/>
      <c r="C41" s="3112"/>
      <c r="E41" s="3111"/>
    </row>
    <row r="42" spans="1:5" s="1950" customFormat="1">
      <c r="A42" s="3111"/>
      <c r="C42" s="3112"/>
      <c r="E42" s="3111"/>
    </row>
    <row r="43" spans="1:5" s="1950" customFormat="1">
      <c r="A43" s="3111"/>
      <c r="C43" s="3112"/>
      <c r="E43" s="3111"/>
    </row>
    <row r="44" spans="1:5" s="1950" customFormat="1">
      <c r="A44" s="3111"/>
      <c r="C44" s="3112"/>
      <c r="E44" s="3111"/>
    </row>
    <row r="45" spans="1:5" s="1950" customFormat="1">
      <c r="A45" s="3111"/>
      <c r="C45" s="3112"/>
      <c r="E45" s="3111"/>
    </row>
    <row r="46" spans="1:5" s="1950" customFormat="1">
      <c r="A46" s="3111"/>
      <c r="C46" s="3112"/>
      <c r="E46" s="3111"/>
    </row>
    <row r="47" spans="1:5" s="1950" customFormat="1">
      <c r="A47" s="3111"/>
      <c r="C47" s="3112"/>
      <c r="E47" s="3111"/>
    </row>
    <row r="48" spans="1:5" s="1950" customFormat="1">
      <c r="A48" s="3111"/>
      <c r="C48" s="3112"/>
      <c r="E48" s="3111"/>
    </row>
    <row r="49" spans="1:5" s="1950" customFormat="1">
      <c r="A49" s="3111"/>
      <c r="C49" s="3112"/>
      <c r="E49" s="3111"/>
    </row>
    <row r="50" spans="1:5" s="1950" customFormat="1">
      <c r="A50" s="3111"/>
      <c r="C50" s="3112"/>
      <c r="E50" s="3111"/>
    </row>
    <row r="51" spans="1:5" s="1950" customFormat="1">
      <c r="A51" s="3111"/>
      <c r="C51" s="3112"/>
      <c r="E51" s="3111"/>
    </row>
    <row r="52" spans="1:5" s="1950" customFormat="1">
      <c r="A52" s="3111"/>
      <c r="C52" s="3112"/>
      <c r="E52" s="3111"/>
    </row>
    <row r="53" spans="1:5" s="1950" customFormat="1">
      <c r="A53" s="3111"/>
      <c r="C53" s="3112"/>
      <c r="E53" s="3111"/>
    </row>
    <row r="54" spans="1:5" s="1950" customFormat="1">
      <c r="A54" s="3111"/>
      <c r="C54" s="3112"/>
      <c r="E54" s="3111"/>
    </row>
    <row r="55" spans="1:5" s="1950" customFormat="1">
      <c r="A55" s="3111"/>
      <c r="C55" s="3112"/>
      <c r="E55" s="3111"/>
    </row>
    <row r="56" spans="1:5" s="1950" customFormat="1">
      <c r="A56" s="3111"/>
      <c r="C56" s="3112"/>
      <c r="E56" s="3111"/>
    </row>
    <row r="57" spans="1:5" s="1950" customFormat="1">
      <c r="A57" s="3111"/>
      <c r="C57" s="3112"/>
      <c r="E57" s="3111"/>
    </row>
    <row r="58" spans="1:5" s="1950" customFormat="1">
      <c r="A58" s="3111"/>
      <c r="C58" s="3112"/>
      <c r="E58" s="3111"/>
    </row>
    <row r="59" spans="1:5" s="1950" customFormat="1">
      <c r="A59" s="3111"/>
      <c r="C59" s="3112"/>
      <c r="E59" s="3111"/>
    </row>
    <row r="60" spans="1:5" s="1950" customFormat="1">
      <c r="A60" s="3111"/>
      <c r="C60" s="3112"/>
      <c r="E60" s="3111"/>
    </row>
    <row r="61" spans="1:5" s="1950" customFormat="1">
      <c r="A61" s="3111"/>
      <c r="C61" s="3112"/>
      <c r="E61" s="3111"/>
    </row>
    <row r="62" spans="1:5" s="1950" customFormat="1">
      <c r="A62" s="3111"/>
      <c r="C62" s="3112"/>
      <c r="E62" s="3111"/>
    </row>
    <row r="63" spans="1:5" s="1950" customFormat="1">
      <c r="A63" s="3111"/>
      <c r="C63" s="3112"/>
      <c r="E63" s="3111"/>
    </row>
    <row r="64" spans="1:5" s="1950" customFormat="1">
      <c r="A64" s="3111"/>
      <c r="C64" s="3112"/>
      <c r="E64" s="3111"/>
    </row>
    <row r="65" spans="1:5" s="1950" customFormat="1">
      <c r="A65" s="3111"/>
      <c r="C65" s="3112"/>
      <c r="E65" s="3111"/>
    </row>
    <row r="66" spans="1:5" s="1950" customFormat="1">
      <c r="A66" s="3111"/>
      <c r="C66" s="3112"/>
      <c r="E66" s="3111"/>
    </row>
    <row r="67" spans="1:5" s="1950" customFormat="1">
      <c r="A67" s="3111"/>
      <c r="C67" s="3112"/>
      <c r="E67" s="3111"/>
    </row>
    <row r="68" spans="1:5" s="1950" customFormat="1">
      <c r="A68" s="3111"/>
      <c r="C68" s="3112"/>
      <c r="E68" s="3111"/>
    </row>
    <row r="69" spans="1:5" s="1950" customFormat="1">
      <c r="A69" s="3111"/>
      <c r="C69" s="3112"/>
      <c r="E69" s="3111"/>
    </row>
    <row r="70" spans="1:5" s="1950" customFormat="1">
      <c r="A70" s="3111"/>
      <c r="C70" s="3112"/>
      <c r="E70" s="3111"/>
    </row>
    <row r="71" spans="1:5" s="1950" customFormat="1">
      <c r="A71" s="3111"/>
      <c r="C71" s="3112"/>
      <c r="E71" s="3111"/>
    </row>
    <row r="72" spans="1:5" s="1950" customFormat="1">
      <c r="A72" s="3111"/>
      <c r="C72" s="3112"/>
      <c r="E72" s="3111"/>
    </row>
    <row r="73" spans="1:5" s="1950" customFormat="1">
      <c r="A73" s="3111"/>
      <c r="C73" s="3112"/>
      <c r="E73" s="3111"/>
    </row>
    <row r="74" spans="1:5" s="1950" customFormat="1">
      <c r="A74" s="3111"/>
      <c r="C74" s="3112"/>
      <c r="E74" s="3111"/>
    </row>
    <row r="75" spans="1:5" s="1950" customFormat="1">
      <c r="A75" s="3111"/>
      <c r="C75" s="3112"/>
      <c r="E75" s="3111"/>
    </row>
    <row r="76" spans="1:5" s="1950" customFormat="1">
      <c r="A76" s="3111"/>
      <c r="C76" s="3112"/>
      <c r="E76" s="3111"/>
    </row>
    <row r="77" spans="1:5" s="1950" customFormat="1">
      <c r="A77" s="3111"/>
      <c r="C77" s="3112"/>
      <c r="E77" s="3111"/>
    </row>
    <row r="78" spans="1:5" s="1950" customFormat="1">
      <c r="A78" s="3111"/>
      <c r="C78" s="3112"/>
      <c r="E78" s="3111"/>
    </row>
    <row r="79" spans="1:5" s="1950" customFormat="1">
      <c r="A79" s="3111"/>
      <c r="C79" s="3112"/>
      <c r="E79" s="3111"/>
    </row>
    <row r="80" spans="1:5" s="1950" customFormat="1">
      <c r="A80" s="3111"/>
      <c r="C80" s="3112"/>
      <c r="E80" s="3111"/>
    </row>
    <row r="81" spans="1:5" s="1950" customFormat="1">
      <c r="A81" s="3111"/>
      <c r="C81" s="3112"/>
      <c r="E81" s="3111"/>
    </row>
    <row r="82" spans="1:5" s="1950" customFormat="1">
      <c r="A82" s="3111"/>
      <c r="C82" s="3112"/>
      <c r="E82" s="3111"/>
    </row>
    <row r="83" spans="1:5" s="1950" customFormat="1">
      <c r="A83" s="3111"/>
      <c r="C83" s="3112"/>
      <c r="E83" s="3111"/>
    </row>
    <row r="84" spans="1:5" s="1950" customFormat="1">
      <c r="A84" s="3111"/>
      <c r="C84" s="3112"/>
      <c r="E84" s="3111"/>
    </row>
    <row r="85" spans="1:5" s="1950" customFormat="1">
      <c r="A85" s="3111"/>
      <c r="C85" s="3112"/>
      <c r="E85" s="3111"/>
    </row>
    <row r="86" spans="1:5" s="1950" customFormat="1">
      <c r="A86" s="3111"/>
      <c r="C86" s="3112"/>
      <c r="E86" s="3111"/>
    </row>
    <row r="87" spans="1:5" s="1950" customFormat="1">
      <c r="A87" s="3111"/>
      <c r="C87" s="3112"/>
      <c r="E87" s="3111"/>
    </row>
    <row r="88" spans="1:5" s="1950" customFormat="1">
      <c r="A88" s="3111"/>
      <c r="C88" s="3112"/>
      <c r="E88" s="3111"/>
    </row>
    <row r="89" spans="1:5" s="1950" customFormat="1">
      <c r="A89" s="3111"/>
      <c r="C89" s="3112"/>
      <c r="E89" s="3111"/>
    </row>
    <row r="90" spans="1:5" s="1950" customFormat="1">
      <c r="A90" s="3111"/>
      <c r="C90" s="3112"/>
      <c r="E90" s="3111"/>
    </row>
    <row r="91" spans="1:5" s="1950" customFormat="1">
      <c r="A91" s="3111"/>
      <c r="C91" s="3112"/>
      <c r="E91" s="3111"/>
    </row>
    <row r="92" spans="1:5" s="1950" customFormat="1">
      <c r="A92" s="3111"/>
      <c r="C92" s="3112"/>
      <c r="E92" s="3111"/>
    </row>
    <row r="93" spans="1:5" s="1950" customFormat="1">
      <c r="A93" s="3111"/>
      <c r="C93" s="3112"/>
      <c r="E93" s="3111"/>
    </row>
    <row r="94" spans="1:5" s="1950" customFormat="1">
      <c r="A94" s="3111"/>
      <c r="C94" s="3112"/>
      <c r="E94" s="3111"/>
    </row>
    <row r="95" spans="1:5" s="1950" customFormat="1">
      <c r="A95" s="3111"/>
      <c r="C95" s="3112"/>
      <c r="E95" s="3111"/>
    </row>
    <row r="96" spans="1:5" s="1950" customFormat="1">
      <c r="A96" s="3111"/>
      <c r="C96" s="3112"/>
      <c r="E96" s="3111"/>
    </row>
    <row r="97" spans="1:5" s="1950" customFormat="1">
      <c r="A97" s="3111"/>
      <c r="C97" s="3112"/>
      <c r="E97" s="3111"/>
    </row>
    <row r="98" spans="1:5" s="1950" customFormat="1">
      <c r="A98" s="3111"/>
      <c r="C98" s="3112"/>
      <c r="E98" s="3111"/>
    </row>
    <row r="99" spans="1:5" s="1950" customFormat="1">
      <c r="A99" s="3111"/>
      <c r="C99" s="3112"/>
      <c r="E99" s="3111"/>
    </row>
    <row r="100" spans="1:5" s="1950" customFormat="1">
      <c r="A100" s="3111"/>
      <c r="C100" s="3112"/>
      <c r="E100" s="3111"/>
    </row>
    <row r="101" spans="1:5" s="1950" customFormat="1">
      <c r="A101" s="3111"/>
      <c r="C101" s="3112"/>
      <c r="E101" s="3111"/>
    </row>
    <row r="102" spans="1:5" s="1950" customFormat="1">
      <c r="A102" s="3111"/>
      <c r="C102" s="3112"/>
      <c r="E102" s="3111"/>
    </row>
    <row r="103" spans="1:5" s="1950" customFormat="1">
      <c r="A103" s="3111"/>
      <c r="C103" s="3112"/>
      <c r="E103" s="3111"/>
    </row>
    <row r="104" spans="1:5" s="1950" customFormat="1">
      <c r="A104" s="3111"/>
      <c r="C104" s="3112"/>
      <c r="E104" s="3111"/>
    </row>
    <row r="105" spans="1:5" s="1950" customFormat="1">
      <c r="A105" s="3111"/>
      <c r="C105" s="3112"/>
      <c r="E105" s="3111"/>
    </row>
    <row r="106" spans="1:5" s="1950" customFormat="1">
      <c r="A106" s="3111"/>
      <c r="C106" s="3112"/>
      <c r="E106" s="3111"/>
    </row>
    <row r="107" spans="1:5" s="1950" customFormat="1">
      <c r="A107" s="3111"/>
      <c r="C107" s="3112"/>
      <c r="E107" s="3111"/>
    </row>
    <row r="108" spans="1:5" s="1950" customFormat="1">
      <c r="A108" s="3111"/>
      <c r="C108" s="3112"/>
      <c r="E108" s="3111"/>
    </row>
    <row r="109" spans="1:5" s="1950" customFormat="1">
      <c r="A109" s="3111"/>
      <c r="C109" s="3112"/>
      <c r="E109" s="3111"/>
    </row>
    <row r="110" spans="1:5" s="1950" customFormat="1">
      <c r="A110" s="3111"/>
      <c r="C110" s="3112"/>
      <c r="E110" s="3111"/>
    </row>
    <row r="111" spans="1:5" s="1950" customFormat="1">
      <c r="A111" s="3111"/>
      <c r="C111" s="3112"/>
      <c r="E111" s="3111"/>
    </row>
    <row r="112" spans="1:5" s="1950" customFormat="1">
      <c r="A112" s="3111"/>
      <c r="C112" s="3112"/>
      <c r="E112" s="3111"/>
    </row>
    <row r="113" spans="1:5" s="1950" customFormat="1">
      <c r="A113" s="3111"/>
      <c r="C113" s="3112"/>
      <c r="E113" s="3111"/>
    </row>
    <row r="114" spans="1:5" s="1950" customFormat="1">
      <c r="A114" s="3111"/>
      <c r="C114" s="3112"/>
      <c r="E114" s="3111"/>
    </row>
    <row r="115" spans="1:5" s="1950" customFormat="1">
      <c r="A115" s="3111"/>
      <c r="C115" s="3112"/>
      <c r="E115" s="3111"/>
    </row>
    <row r="116" spans="1:5" s="1950" customFormat="1">
      <c r="A116" s="3111"/>
      <c r="C116" s="3112"/>
      <c r="E116" s="3111"/>
    </row>
    <row r="117" spans="1:5" s="1950" customFormat="1">
      <c r="A117" s="3111"/>
      <c r="C117" s="3112"/>
      <c r="E117" s="3111"/>
    </row>
    <row r="118" spans="1:5" s="1950" customFormat="1">
      <c r="A118" s="3111"/>
      <c r="C118" s="3112"/>
      <c r="E118" s="3111"/>
    </row>
    <row r="119" spans="1:5" s="1950" customFormat="1">
      <c r="A119" s="3111"/>
      <c r="C119" s="3112"/>
      <c r="E119" s="3111"/>
    </row>
    <row r="120" spans="1:5" s="1950" customFormat="1">
      <c r="A120" s="3111"/>
      <c r="C120" s="3112"/>
      <c r="E120" s="3111"/>
    </row>
    <row r="121" spans="1:5" s="1950" customFormat="1">
      <c r="A121" s="3111"/>
      <c r="C121" s="3112"/>
      <c r="E121" s="3111"/>
    </row>
    <row r="122" spans="1:5" s="1950" customFormat="1">
      <c r="A122" s="3111"/>
      <c r="C122" s="3112"/>
      <c r="E122" s="3111"/>
    </row>
    <row r="123" spans="1:5" s="1950" customFormat="1">
      <c r="A123" s="3111"/>
      <c r="C123" s="3112"/>
      <c r="E123" s="3111"/>
    </row>
    <row r="124" spans="1:5" s="1950" customFormat="1">
      <c r="A124" s="3111"/>
      <c r="C124" s="3112"/>
      <c r="E124" s="3111"/>
    </row>
    <row r="125" spans="1:5" s="1950" customFormat="1">
      <c r="A125" s="3111"/>
      <c r="C125" s="3112"/>
      <c r="E125" s="3111"/>
    </row>
    <row r="126" spans="1:5" s="1950" customFormat="1">
      <c r="A126" s="3111"/>
      <c r="C126" s="3112"/>
      <c r="E126" s="3111"/>
    </row>
    <row r="127" spans="1:5" s="1950" customFormat="1">
      <c r="A127" s="3111"/>
      <c r="C127" s="3112"/>
      <c r="E127" s="3111"/>
    </row>
    <row r="128" spans="1:5" s="1950" customFormat="1">
      <c r="A128" s="3111"/>
      <c r="C128" s="3112"/>
      <c r="E128" s="3111"/>
    </row>
    <row r="129" spans="1:5" s="1950" customFormat="1">
      <c r="A129" s="3111"/>
      <c r="C129" s="3112"/>
      <c r="E129" s="3111"/>
    </row>
    <row r="130" spans="1:5" s="1950" customFormat="1">
      <c r="A130" s="3111"/>
      <c r="C130" s="3112"/>
      <c r="E130" s="3111"/>
    </row>
    <row r="131" spans="1:5" s="1950" customFormat="1">
      <c r="A131" s="3111"/>
      <c r="C131" s="3112"/>
      <c r="E131" s="3111"/>
    </row>
    <row r="132" spans="1:5" s="1950" customFormat="1">
      <c r="A132" s="3111"/>
      <c r="C132" s="3112"/>
      <c r="E132" s="3111"/>
    </row>
    <row r="133" spans="1:5" s="1950" customFormat="1">
      <c r="A133" s="3111"/>
      <c r="C133" s="3112"/>
      <c r="E133" s="3111"/>
    </row>
    <row r="134" spans="1:5" s="1950" customFormat="1">
      <c r="A134" s="3111"/>
      <c r="C134" s="3112"/>
      <c r="E134" s="3111"/>
    </row>
    <row r="135" spans="1:5" s="1950" customFormat="1">
      <c r="A135" s="3111"/>
      <c r="C135" s="3112"/>
      <c r="E135" s="3111"/>
    </row>
    <row r="136" spans="1:5" s="1950" customFormat="1">
      <c r="A136" s="3111"/>
      <c r="C136" s="3112"/>
      <c r="E136" s="3111"/>
    </row>
    <row r="137" spans="1:5" s="1950" customFormat="1">
      <c r="A137" s="3111"/>
      <c r="C137" s="3112"/>
      <c r="E137" s="3111"/>
    </row>
    <row r="138" spans="1:5" s="1950" customFormat="1">
      <c r="A138" s="3111"/>
      <c r="C138" s="3112"/>
      <c r="E138" s="3111"/>
    </row>
    <row r="139" spans="1:5" s="1950" customFormat="1">
      <c r="A139" s="3111"/>
      <c r="C139" s="3112"/>
      <c r="E139" s="3111"/>
    </row>
    <row r="140" spans="1:5" s="1950" customFormat="1">
      <c r="A140" s="3111"/>
      <c r="C140" s="3112"/>
      <c r="E140" s="3111"/>
    </row>
    <row r="141" spans="1:5" s="1950" customFormat="1">
      <c r="A141" s="3111"/>
      <c r="C141" s="3112"/>
      <c r="E141" s="3111"/>
    </row>
    <row r="142" spans="1:5" s="1950" customFormat="1">
      <c r="A142" s="3111"/>
      <c r="C142" s="3112"/>
      <c r="E142" s="3111"/>
    </row>
    <row r="143" spans="1:5" s="1950" customFormat="1">
      <c r="A143" s="3111"/>
      <c r="C143" s="3112"/>
      <c r="E143" s="3111"/>
    </row>
    <row r="144" spans="1:5" s="1950" customFormat="1">
      <c r="A144" s="3111"/>
      <c r="C144" s="3112"/>
      <c r="E144" s="3111"/>
    </row>
    <row r="145" spans="1:5" s="1950" customFormat="1">
      <c r="A145" s="3111"/>
      <c r="C145" s="3112"/>
      <c r="E145" s="3111"/>
    </row>
    <row r="146" spans="1:5" s="1950" customFormat="1">
      <c r="A146" s="3111"/>
      <c r="C146" s="3112"/>
      <c r="E146" s="3111"/>
    </row>
    <row r="147" spans="1:5" s="1950" customFormat="1">
      <c r="A147" s="3111"/>
      <c r="C147" s="3112"/>
      <c r="E147" s="3111"/>
    </row>
    <row r="148" spans="1:5" s="1950" customFormat="1">
      <c r="A148" s="3111"/>
      <c r="C148" s="3112"/>
      <c r="E148" s="3111"/>
    </row>
    <row r="149" spans="1:5" s="1950" customFormat="1">
      <c r="A149" s="3111"/>
      <c r="C149" s="3112"/>
      <c r="E149" s="3111"/>
    </row>
    <row r="150" spans="1:5" s="1950" customFormat="1">
      <c r="A150" s="3111"/>
      <c r="C150" s="3112"/>
      <c r="E150" s="3111"/>
    </row>
    <row r="151" spans="1:5" s="1950" customFormat="1">
      <c r="A151" s="3111"/>
      <c r="C151" s="3112"/>
      <c r="E151" s="3111"/>
    </row>
    <row r="152" spans="1:5" s="1950" customFormat="1">
      <c r="A152" s="3111"/>
      <c r="C152" s="3112"/>
      <c r="E152" s="3111"/>
    </row>
    <row r="153" spans="1:5" s="1950" customFormat="1">
      <c r="A153" s="3111"/>
      <c r="C153" s="3112"/>
      <c r="E153" s="3111"/>
    </row>
    <row r="154" spans="1:5" s="1950" customFormat="1">
      <c r="A154" s="3111"/>
      <c r="C154" s="3112"/>
      <c r="E154" s="3111"/>
    </row>
    <row r="155" spans="1:5" s="1950" customFormat="1">
      <c r="A155" s="3111"/>
      <c r="C155" s="3112"/>
      <c r="E155" s="3111"/>
    </row>
    <row r="156" spans="1:5" s="1950" customFormat="1">
      <c r="A156" s="3111"/>
      <c r="C156" s="3112"/>
      <c r="E156" s="3111"/>
    </row>
    <row r="157" spans="1:5" s="1950" customFormat="1">
      <c r="A157" s="3111"/>
      <c r="C157" s="3112"/>
      <c r="E157" s="3111"/>
    </row>
    <row r="158" spans="1:5" s="1950" customFormat="1">
      <c r="A158" s="3111"/>
      <c r="C158" s="3112"/>
      <c r="E158" s="3111"/>
    </row>
    <row r="159" spans="1:5" s="1950" customFormat="1">
      <c r="A159" s="3111"/>
      <c r="C159" s="3112"/>
      <c r="E159" s="3111"/>
    </row>
    <row r="160" spans="1:5" s="1950" customFormat="1">
      <c r="A160" s="3111"/>
      <c r="C160" s="3112"/>
      <c r="E160" s="3111"/>
    </row>
    <row r="161" spans="1:5" s="1950" customFormat="1">
      <c r="A161" s="3111"/>
      <c r="C161" s="3112"/>
      <c r="E161" s="3111"/>
    </row>
    <row r="162" spans="1:5" s="1950" customFormat="1">
      <c r="A162" s="3111"/>
      <c r="C162" s="3112"/>
      <c r="E162" s="3111"/>
    </row>
    <row r="163" spans="1:5" s="1950" customFormat="1">
      <c r="A163" s="3111"/>
      <c r="C163" s="3112"/>
      <c r="E163" s="3111"/>
    </row>
    <row r="164" spans="1:5" s="1950" customFormat="1">
      <c r="A164" s="3111"/>
      <c r="C164" s="3112"/>
      <c r="E164" s="3111"/>
    </row>
    <row r="165" spans="1:5" s="1950" customFormat="1">
      <c r="A165" s="3111"/>
      <c r="C165" s="3112"/>
      <c r="E165" s="3111"/>
    </row>
    <row r="166" spans="1:5" s="1950" customFormat="1">
      <c r="A166" s="3111"/>
      <c r="C166" s="3112"/>
      <c r="E166" s="3111"/>
    </row>
    <row r="167" spans="1:5" s="1950" customFormat="1">
      <c r="A167" s="3111"/>
      <c r="C167" s="3112"/>
      <c r="E167" s="3111"/>
    </row>
    <row r="168" spans="1:5" s="1950" customFormat="1">
      <c r="A168" s="3111"/>
      <c r="C168" s="3112"/>
      <c r="E168" s="3111"/>
    </row>
    <row r="169" spans="1:5" s="1950" customFormat="1">
      <c r="A169" s="3111"/>
      <c r="C169" s="3112"/>
      <c r="E169" s="3111"/>
    </row>
    <row r="170" spans="1:5" s="1950" customFormat="1">
      <c r="A170" s="3111"/>
      <c r="C170" s="3112"/>
      <c r="E170" s="3111"/>
    </row>
    <row r="171" spans="1:5" s="1950" customFormat="1">
      <c r="A171" s="3111"/>
      <c r="C171" s="3112"/>
      <c r="E171" s="3111"/>
    </row>
    <row r="172" spans="1:5" s="1950" customFormat="1">
      <c r="A172" s="3111"/>
      <c r="C172" s="3112"/>
      <c r="E172" s="3111"/>
    </row>
    <row r="173" spans="1:5" s="1950" customFormat="1">
      <c r="A173" s="3111"/>
      <c r="C173" s="3112"/>
      <c r="E173" s="3111"/>
    </row>
    <row r="174" spans="1:5" s="1950" customFormat="1">
      <c r="A174" s="3111"/>
      <c r="C174" s="3112"/>
      <c r="E174" s="3111"/>
    </row>
    <row r="175" spans="1:5" s="1950" customFormat="1">
      <c r="A175" s="3111"/>
      <c r="C175" s="3112"/>
      <c r="E175" s="3111"/>
    </row>
    <row r="176" spans="1:5" s="1950" customFormat="1">
      <c r="A176" s="3111"/>
      <c r="C176" s="3112"/>
      <c r="E176" s="3111"/>
    </row>
    <row r="177" spans="1:5" s="1950" customFormat="1">
      <c r="A177" s="3111"/>
      <c r="C177" s="3112"/>
      <c r="E177" s="3111"/>
    </row>
    <row r="178" spans="1:5" s="1950" customFormat="1">
      <c r="A178" s="3111"/>
      <c r="C178" s="3112"/>
      <c r="E178" s="3111"/>
    </row>
    <row r="179" spans="1:5" s="1950" customFormat="1">
      <c r="A179" s="3111"/>
      <c r="C179" s="3112"/>
      <c r="E179" s="3111"/>
    </row>
    <row r="180" spans="1:5" s="1950" customFormat="1">
      <c r="A180" s="3111"/>
      <c r="C180" s="3112"/>
      <c r="E180" s="3111"/>
    </row>
    <row r="181" spans="1:5" s="1950" customFormat="1">
      <c r="A181" s="3111"/>
      <c r="C181" s="3112"/>
      <c r="E181" s="3111"/>
    </row>
    <row r="182" spans="1:5" s="1950" customFormat="1">
      <c r="A182" s="3111"/>
      <c r="C182" s="3112"/>
      <c r="E182" s="3111"/>
    </row>
    <row r="183" spans="1:5" s="1950" customFormat="1">
      <c r="A183" s="3111"/>
      <c r="C183" s="3112"/>
      <c r="E183" s="3111"/>
    </row>
    <row r="184" spans="1:5" s="1950" customFormat="1">
      <c r="A184" s="3111"/>
      <c r="C184" s="3112"/>
      <c r="E184" s="3111"/>
    </row>
    <row r="185" spans="1:5" s="1950" customFormat="1">
      <c r="A185" s="3111"/>
      <c r="C185" s="3112"/>
      <c r="E185" s="3111"/>
    </row>
    <row r="186" spans="1:5" s="1950" customFormat="1">
      <c r="A186" s="3111"/>
      <c r="C186" s="3112"/>
      <c r="E186" s="3111"/>
    </row>
    <row r="187" spans="1:5" s="1950" customFormat="1">
      <c r="A187" s="3111"/>
      <c r="C187" s="3112"/>
      <c r="E187" s="3111"/>
    </row>
    <row r="188" spans="1:5" s="1950" customFormat="1">
      <c r="A188" s="3111"/>
      <c r="C188" s="3112"/>
      <c r="E188" s="3111"/>
    </row>
    <row r="189" spans="1:5" s="1950" customFormat="1">
      <c r="A189" s="3111"/>
      <c r="C189" s="3112"/>
      <c r="E189" s="3111"/>
    </row>
    <row r="190" spans="1:5" s="1950" customFormat="1">
      <c r="A190" s="3111"/>
      <c r="C190" s="3112"/>
      <c r="E190" s="3111"/>
    </row>
    <row r="191" spans="1:5" s="1950" customFormat="1">
      <c r="A191" s="3111"/>
      <c r="C191" s="3112"/>
      <c r="E191" s="3111"/>
    </row>
    <row r="192" spans="1:5" s="1950" customFormat="1">
      <c r="A192" s="3111"/>
      <c r="C192" s="3112"/>
      <c r="E192" s="3111"/>
    </row>
    <row r="193" spans="1:5" s="1950" customFormat="1">
      <c r="A193" s="3111"/>
      <c r="C193" s="3112"/>
      <c r="E193" s="3111"/>
    </row>
    <row r="194" spans="1:5" s="1950" customFormat="1">
      <c r="A194" s="3111"/>
      <c r="C194" s="3112"/>
      <c r="E194" s="3111"/>
    </row>
    <row r="195" spans="1:5" s="1950" customFormat="1">
      <c r="A195" s="3111"/>
      <c r="C195" s="3112"/>
      <c r="E195" s="3111"/>
    </row>
    <row r="196" spans="1:5" s="1950" customFormat="1">
      <c r="A196" s="3111"/>
      <c r="C196" s="3112"/>
      <c r="E196" s="3111"/>
    </row>
    <row r="197" spans="1:5" s="1950" customFormat="1">
      <c r="A197" s="3111"/>
      <c r="C197" s="3112"/>
      <c r="E197" s="3111"/>
    </row>
    <row r="198" spans="1:5" s="1950" customFormat="1">
      <c r="A198" s="3111"/>
      <c r="C198" s="3112"/>
      <c r="E198" s="3111"/>
    </row>
    <row r="199" spans="1:5" s="1950" customFormat="1">
      <c r="A199" s="3111"/>
      <c r="C199" s="3112"/>
      <c r="E199" s="3111"/>
    </row>
    <row r="200" spans="1:5" s="1950" customFormat="1">
      <c r="A200" s="3111"/>
      <c r="C200" s="3112"/>
      <c r="E200" s="3111"/>
    </row>
    <row r="201" spans="1:5" s="1950" customFormat="1">
      <c r="A201" s="3111"/>
      <c r="C201" s="3112"/>
      <c r="E201" s="3111"/>
    </row>
    <row r="202" spans="1:5" s="1950" customFormat="1">
      <c r="A202" s="3111"/>
      <c r="C202" s="3112"/>
      <c r="E202" s="3111"/>
    </row>
    <row r="203" spans="1:5" s="1950" customFormat="1">
      <c r="A203" s="3111"/>
      <c r="C203" s="3112"/>
      <c r="E203" s="3111"/>
    </row>
    <row r="204" spans="1:5" s="1950" customFormat="1">
      <c r="A204" s="3111"/>
      <c r="C204" s="3112"/>
      <c r="E204" s="3111"/>
    </row>
    <row r="205" spans="1:5" s="1950" customFormat="1">
      <c r="A205" s="3111"/>
      <c r="C205" s="3112"/>
      <c r="E205" s="3111"/>
    </row>
    <row r="206" spans="1:5" s="1950" customFormat="1">
      <c r="A206" s="3111"/>
      <c r="C206" s="3112"/>
      <c r="E206" s="3111"/>
    </row>
    <row r="207" spans="1:5" s="1950" customFormat="1">
      <c r="A207" s="3111"/>
      <c r="C207" s="3112"/>
      <c r="E207" s="3111"/>
    </row>
    <row r="208" spans="1:5" s="1950" customFormat="1">
      <c r="A208" s="3111"/>
      <c r="C208" s="3112"/>
      <c r="E208" s="3111"/>
    </row>
    <row r="209" spans="1:5" s="1950" customFormat="1">
      <c r="A209" s="3111"/>
      <c r="C209" s="3112"/>
      <c r="E209" s="3111"/>
    </row>
    <row r="210" spans="1:5" s="1950" customFormat="1">
      <c r="A210" s="3111"/>
      <c r="C210" s="3112"/>
      <c r="E210" s="3111"/>
    </row>
    <row r="211" spans="1:5" s="1950" customFormat="1">
      <c r="A211" s="3111"/>
      <c r="C211" s="3112"/>
      <c r="E211" s="311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N29" sqref="N29"/>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0.25">
      <c r="A1" s="478" t="s">
        <v>499</v>
      </c>
      <c r="B1" s="479"/>
      <c r="C1" s="480" t="s">
        <v>500</v>
      </c>
      <c r="D1" s="481" t="s">
        <v>501</v>
      </c>
      <c r="E1" s="482"/>
      <c r="F1" s="421"/>
      <c r="G1" s="482"/>
      <c r="H1" s="482"/>
      <c r="I1" s="482"/>
      <c r="J1" s="482"/>
      <c r="K1" s="483"/>
      <c r="L1" s="3116"/>
      <c r="M1" s="3117"/>
      <c r="N1" s="3117"/>
      <c r="O1" s="3117"/>
      <c r="P1" s="1967"/>
      <c r="Q1" s="1967"/>
      <c r="R1" s="1967"/>
      <c r="S1" s="1967"/>
      <c r="T1" s="1967"/>
      <c r="U1" s="1967"/>
      <c r="V1" s="1967"/>
      <c r="W1" s="1967"/>
      <c r="X1" s="1967"/>
      <c r="Y1" s="1967"/>
      <c r="Z1" s="1967"/>
      <c r="AA1" s="1967"/>
      <c r="AB1" s="1967"/>
      <c r="AC1" s="3118"/>
      <c r="AD1" s="1243"/>
    </row>
    <row r="2" spans="1:30" s="1244" customFormat="1" ht="20.25">
      <c r="A2" s="416" t="s">
        <v>461</v>
      </c>
      <c r="B2" s="484">
        <f>F67</f>
        <v>41902</v>
      </c>
      <c r="C2" s="3126"/>
      <c r="D2" s="3126"/>
      <c r="E2" s="3128"/>
      <c r="F2" s="3129"/>
      <c r="G2" s="3128"/>
      <c r="H2" s="3128"/>
      <c r="I2" s="3128"/>
      <c r="J2" s="3128"/>
      <c r="K2" s="3130"/>
      <c r="L2" s="1966"/>
      <c r="M2" s="1967"/>
      <c r="N2" s="1967"/>
      <c r="O2" s="1967"/>
      <c r="P2" s="1967"/>
      <c r="Q2" s="1967"/>
      <c r="R2" s="1967"/>
      <c r="S2" s="1967"/>
      <c r="T2" s="1967"/>
      <c r="U2" s="1967"/>
      <c r="V2" s="1967"/>
      <c r="W2" s="1967"/>
      <c r="X2" s="1967"/>
      <c r="Y2" s="1967"/>
      <c r="Z2" s="1967"/>
      <c r="AA2" s="1967"/>
      <c r="AB2" s="1967"/>
      <c r="AC2" s="3118"/>
      <c r="AD2" s="1243"/>
    </row>
    <row r="3" spans="1:30" s="1244" customFormat="1" ht="20.25">
      <c r="A3" s="1285" t="s">
        <v>1484</v>
      </c>
      <c r="B3" s="486">
        <f>ROUND(B2*10000/'数据-汇总表'!E3,0)</f>
        <v>8124</v>
      </c>
      <c r="C3" s="3127"/>
      <c r="D3" s="3131"/>
      <c r="E3" s="3127"/>
      <c r="F3" s="3127"/>
      <c r="G3" s="3128"/>
      <c r="H3" s="3128"/>
      <c r="I3" s="3128"/>
      <c r="J3" s="3128"/>
      <c r="K3" s="3130"/>
      <c r="L3" s="1966"/>
      <c r="M3" s="1967"/>
      <c r="N3" s="1967"/>
      <c r="O3" s="1967"/>
      <c r="P3" s="1967"/>
      <c r="Q3" s="1967"/>
      <c r="R3" s="1967"/>
      <c r="S3" s="1967"/>
      <c r="T3" s="1967"/>
      <c r="U3" s="1967"/>
      <c r="V3" s="1967"/>
      <c r="W3" s="1967"/>
      <c r="X3" s="1967"/>
      <c r="Y3" s="1967"/>
      <c r="Z3" s="1967"/>
      <c r="AA3" s="1967"/>
      <c r="AB3" s="3119"/>
      <c r="AC3" s="1897"/>
    </row>
    <row r="4" spans="1:30" s="1244" customFormat="1" ht="20.25">
      <c r="A4" s="487" t="s">
        <v>503</v>
      </c>
      <c r="B4" s="420">
        <f>IF(B48="单位面积地价",C50,ROUND(B2*10000/'数据-汇总表'!D3,0))</f>
        <v>4299</v>
      </c>
      <c r="C4" s="3127"/>
      <c r="D4" s="3131"/>
      <c r="E4" s="3127"/>
      <c r="F4" s="3127"/>
      <c r="G4" s="3128"/>
      <c r="H4" s="3128"/>
      <c r="I4" s="3128"/>
      <c r="J4" s="3128"/>
      <c r="K4" s="3130"/>
      <c r="L4" s="1966"/>
      <c r="M4" s="1967"/>
      <c r="N4" s="1967"/>
      <c r="O4" s="1967"/>
      <c r="P4" s="1967"/>
      <c r="Q4" s="1967"/>
      <c r="R4" s="1967"/>
      <c r="S4" s="1967"/>
      <c r="T4" s="1967"/>
      <c r="U4" s="1967"/>
      <c r="V4" s="1967"/>
      <c r="W4" s="1967"/>
      <c r="X4" s="1967"/>
      <c r="Y4" s="1967"/>
      <c r="Z4" s="1967"/>
      <c r="AA4" s="1967"/>
      <c r="AB4" s="1967"/>
      <c r="AC4" s="1897"/>
    </row>
    <row r="5" spans="1:30" s="1244" customFormat="1" ht="21" thickBot="1">
      <c r="A5" s="422"/>
      <c r="B5" s="423">
        <f>ROUND(B2/('数据-汇总表'!D3/666.67),0)</f>
        <v>287</v>
      </c>
      <c r="C5" s="424" t="s">
        <v>463</v>
      </c>
      <c r="D5" s="3127"/>
      <c r="E5" s="3127"/>
      <c r="F5" s="3127"/>
      <c r="G5" s="3128"/>
      <c r="H5" s="3128"/>
      <c r="I5" s="3128"/>
      <c r="J5" s="3128"/>
      <c r="K5" s="3130"/>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68" t="s">
        <v>505</v>
      </c>
      <c r="D6" s="3669"/>
      <c r="E6" s="3668" t="s">
        <v>506</v>
      </c>
      <c r="F6" s="3669"/>
      <c r="G6" s="3668" t="s">
        <v>507</v>
      </c>
      <c r="H6" s="3669"/>
      <c r="I6" s="3668" t="s">
        <v>508</v>
      </c>
      <c r="J6" s="3669"/>
      <c r="K6" s="490" t="s">
        <v>509</v>
      </c>
      <c r="L6" s="1968"/>
      <c r="M6" s="1967"/>
      <c r="N6" s="1967"/>
      <c r="O6" s="1969"/>
      <c r="P6" s="3670" t="s">
        <v>510</v>
      </c>
      <c r="Q6" s="3671"/>
      <c r="R6" s="3654" t="s">
        <v>506</v>
      </c>
      <c r="S6" s="3655"/>
      <c r="T6" s="3654" t="s">
        <v>507</v>
      </c>
      <c r="U6" s="3655"/>
      <c r="V6" s="3676" t="s">
        <v>508</v>
      </c>
      <c r="W6" s="3676"/>
      <c r="X6" s="1456"/>
      <c r="Y6" s="3654" t="s">
        <v>510</v>
      </c>
      <c r="Z6" s="3655"/>
      <c r="AA6" s="3649" t="s">
        <v>506</v>
      </c>
      <c r="AB6" s="3650" t="s">
        <v>507</v>
      </c>
      <c r="AC6" s="3649" t="s">
        <v>508</v>
      </c>
    </row>
    <row r="7" spans="1:30" ht="25.5" customHeight="1">
      <c r="A7" s="491"/>
      <c r="B7" s="492"/>
      <c r="C7" s="3679" t="str">
        <f>'不动产比较法-车位'!C5:D5</f>
        <v>A0102</v>
      </c>
      <c r="D7" s="3680"/>
      <c r="E7" s="3679" t="str">
        <f>土地案例!A2</f>
        <v>海口市龙华区金牛岭南侧</v>
      </c>
      <c r="F7" s="3680"/>
      <c r="G7" s="3679" t="str">
        <f>土地案例!A3</f>
        <v xml:space="preserve">海口市和平大道东侧H0406地块   </v>
      </c>
      <c r="H7" s="3680"/>
      <c r="I7" s="3679" t="str">
        <f>土地案例!A4</f>
        <v>海口市坡博坡巷棚改片区C-7-6地块</v>
      </c>
      <c r="J7" s="3680"/>
      <c r="K7" s="490"/>
      <c r="L7" s="1968"/>
      <c r="M7" s="1967"/>
      <c r="N7" s="1967"/>
      <c r="O7" s="1969"/>
      <c r="P7" s="3672"/>
      <c r="Q7" s="3673"/>
      <c r="R7" s="3656"/>
      <c r="S7" s="3657"/>
      <c r="T7" s="3656"/>
      <c r="U7" s="3657"/>
      <c r="V7" s="3676"/>
      <c r="W7" s="3676"/>
      <c r="X7" s="1456"/>
      <c r="Y7" s="3656"/>
      <c r="Z7" s="3657"/>
      <c r="AA7" s="3650"/>
      <c r="AB7" s="3650"/>
      <c r="AC7" s="3650"/>
    </row>
    <row r="8" spans="1:30" ht="21" thickBot="1">
      <c r="A8" s="491"/>
      <c r="B8" s="492"/>
      <c r="C8" s="3681" t="s">
        <v>4157</v>
      </c>
      <c r="D8" s="3682"/>
      <c r="E8" s="3681" t="s">
        <v>4159</v>
      </c>
      <c r="F8" s="3682"/>
      <c r="G8" s="3677" t="s">
        <v>4158</v>
      </c>
      <c r="H8" s="3678"/>
      <c r="I8" s="3677" t="s">
        <v>4159</v>
      </c>
      <c r="J8" s="3678"/>
      <c r="K8" s="490" t="s">
        <v>511</v>
      </c>
      <c r="L8" s="1968"/>
      <c r="M8" s="1967"/>
      <c r="N8" s="1967"/>
      <c r="O8" s="1969"/>
      <c r="P8" s="3674"/>
      <c r="Q8" s="3675"/>
      <c r="R8" s="3656"/>
      <c r="S8" s="3657"/>
      <c r="T8" s="3658"/>
      <c r="U8" s="3659"/>
      <c r="V8" s="3676"/>
      <c r="W8" s="3676"/>
      <c r="X8" s="1456"/>
      <c r="Y8" s="3658"/>
      <c r="Z8" s="3659"/>
      <c r="AA8" s="3651"/>
      <c r="AB8" s="3651"/>
      <c r="AC8" s="3651"/>
    </row>
    <row r="9" spans="1:30" s="1165" customFormat="1" ht="21" thickBot="1">
      <c r="A9" s="2550"/>
      <c r="B9" s="2557" t="s">
        <v>512</v>
      </c>
      <c r="C9" s="2549">
        <f>'数据-取费表'!B2</f>
        <v>44735</v>
      </c>
      <c r="D9" s="496">
        <v>100</v>
      </c>
      <c r="E9" s="497">
        <f>土地案例!AB2</f>
        <v>44631</v>
      </c>
      <c r="F9" s="498">
        <f>SUMIF(71:71,YEAR(E9)&amp;"-"&amp;INT((MONTH(E9)+2)/3),72:72)</f>
        <v>99.5</v>
      </c>
      <c r="G9" s="499">
        <f>土地案例!AB3</f>
        <v>44581</v>
      </c>
      <c r="H9" s="496">
        <f>SUMIF(71:71,YEAR(G9)&amp;"-"&amp;INT((MONTH(G9)+2)/3),72:72)</f>
        <v>99.5</v>
      </c>
      <c r="I9" s="499">
        <f>土地案例!AB4</f>
        <v>44070</v>
      </c>
      <c r="J9" s="496">
        <f>SUMIF(71:71,YEAR(I9)&amp;"-"&amp;INT((MONTH(I9)+2)/3),72:72)</f>
        <v>96.5</v>
      </c>
      <c r="K9" s="500"/>
      <c r="L9" s="1970"/>
      <c r="M9" s="1967"/>
      <c r="N9" s="1967"/>
      <c r="O9" s="1971"/>
      <c r="P9" s="3652" t="s">
        <v>513</v>
      </c>
      <c r="Q9" s="3661"/>
      <c r="R9" s="1457" t="s">
        <v>8</v>
      </c>
      <c r="S9" s="1458">
        <f t="shared" ref="S9:S17" si="0">F9</f>
        <v>99.5</v>
      </c>
      <c r="T9" s="1457" t="s">
        <v>8</v>
      </c>
      <c r="U9" s="1458">
        <f t="shared" ref="U9:U17" si="1">H9</f>
        <v>99.5</v>
      </c>
      <c r="V9" s="1457" t="s">
        <v>8</v>
      </c>
      <c r="W9" s="1458">
        <f t="shared" ref="W9:W17" si="2">J9</f>
        <v>96.5</v>
      </c>
      <c r="X9" s="1459"/>
      <c r="Y9" s="3652" t="s">
        <v>513</v>
      </c>
      <c r="Z9" s="3653"/>
      <c r="AA9" s="1460">
        <f>D9/F9</f>
        <v>1.0050251256281406</v>
      </c>
      <c r="AB9" s="1460">
        <f>D9/H9</f>
        <v>1.0050251256281406</v>
      </c>
      <c r="AC9" s="1460">
        <f>D9/J9</f>
        <v>1.0362694300518134</v>
      </c>
    </row>
    <row r="10" spans="1:30" s="1165" customFormat="1" ht="21" thickBot="1">
      <c r="A10" s="2551"/>
      <c r="B10" s="2558" t="s">
        <v>514</v>
      </c>
      <c r="C10" s="827" t="s">
        <v>515</v>
      </c>
      <c r="D10" s="496">
        <v>100</v>
      </c>
      <c r="E10" s="827" t="s">
        <v>515</v>
      </c>
      <c r="F10" s="498">
        <f>SUMIF(74:74,E10,75:75)-SUMIF(74:74,C10,75:75)+100</f>
        <v>100</v>
      </c>
      <c r="G10" s="827" t="s">
        <v>515</v>
      </c>
      <c r="H10" s="496">
        <f>SUMIF(74:74,G10,75:75)-SUMIF(74:74,C10,75:75)+100</f>
        <v>100</v>
      </c>
      <c r="I10" s="827" t="s">
        <v>515</v>
      </c>
      <c r="J10" s="496">
        <f>SUMIF(74:74,I10,75:75)-SUMIF(74:74,C10,75:75)+100</f>
        <v>100</v>
      </c>
      <c r="K10" s="500"/>
      <c r="L10" s="1970"/>
      <c r="M10" s="1967"/>
      <c r="N10" s="1967"/>
      <c r="O10" s="1971"/>
      <c r="P10" s="3652" t="s">
        <v>516</v>
      </c>
      <c r="Q10" s="3653"/>
      <c r="R10" s="1457" t="s">
        <v>8</v>
      </c>
      <c r="S10" s="1458">
        <f t="shared" si="0"/>
        <v>100</v>
      </c>
      <c r="T10" s="1457" t="s">
        <v>8</v>
      </c>
      <c r="U10" s="1458">
        <f t="shared" si="1"/>
        <v>100</v>
      </c>
      <c r="V10" s="1457" t="s">
        <v>8</v>
      </c>
      <c r="W10" s="1458">
        <f t="shared" si="2"/>
        <v>100</v>
      </c>
      <c r="X10" s="1459"/>
      <c r="Y10" s="3652" t="s">
        <v>516</v>
      </c>
      <c r="Z10" s="3653"/>
      <c r="AA10" s="1460">
        <f t="shared" ref="AA10:AA47" si="3">D10/F10</f>
        <v>1</v>
      </c>
      <c r="AB10" s="1460">
        <f t="shared" ref="AB10:AB47" si="4">D10/H10</f>
        <v>1</v>
      </c>
      <c r="AC10" s="1460">
        <f t="shared" ref="AC10:AC47" si="5">D10/J10</f>
        <v>1</v>
      </c>
    </row>
    <row r="11" spans="1:30" s="1165" customFormat="1" ht="20.25">
      <c r="A11" s="2552"/>
      <c r="B11" s="2559" t="s">
        <v>2473</v>
      </c>
      <c r="C11" s="2546" t="s">
        <v>902</v>
      </c>
      <c r="D11" s="251">
        <v>100</v>
      </c>
      <c r="E11" s="2546" t="s">
        <v>902</v>
      </c>
      <c r="F11" s="251">
        <f>SUMIF(76:76,E11,77:77)-SUMIF(76:76,C11,77:77)+100</f>
        <v>100</v>
      </c>
      <c r="G11" s="2546" t="s">
        <v>902</v>
      </c>
      <c r="H11" s="251">
        <f>SUMIF(76:76,G11,77:77)-SUMIF(76:76,C11,77:77)+100</f>
        <v>100</v>
      </c>
      <c r="I11" s="2546" t="s">
        <v>902</v>
      </c>
      <c r="J11" s="251">
        <f>SUMIF(76:76,I11,77:77)-SUMIF(76:76,C11,77:77)+100</f>
        <v>100</v>
      </c>
      <c r="K11" s="500"/>
      <c r="L11" s="1970"/>
      <c r="M11" s="1967"/>
      <c r="N11" s="1967"/>
      <c r="O11" s="1972"/>
      <c r="P11" s="3660" t="s">
        <v>518</v>
      </c>
      <c r="Q11" s="1096" t="str">
        <f t="shared" ref="Q11:Q17" si="6">B11</f>
        <v>用途</v>
      </c>
      <c r="R11" s="1457" t="s">
        <v>8</v>
      </c>
      <c r="S11" s="1458">
        <f t="shared" si="0"/>
        <v>100</v>
      </c>
      <c r="T11" s="1457" t="s">
        <v>8</v>
      </c>
      <c r="U11" s="1458">
        <f t="shared" si="1"/>
        <v>100</v>
      </c>
      <c r="V11" s="1457" t="s">
        <v>8</v>
      </c>
      <c r="W11" s="1458">
        <f t="shared" si="2"/>
        <v>100</v>
      </c>
      <c r="X11" s="1459"/>
      <c r="Y11" s="3608" t="s">
        <v>519</v>
      </c>
      <c r="Z11" s="1095" t="str">
        <f t="shared" ref="Z11:Z17" si="7">Q11</f>
        <v>用途</v>
      </c>
      <c r="AA11" s="1460">
        <f t="shared" si="3"/>
        <v>1</v>
      </c>
      <c r="AB11" s="1460">
        <f t="shared" si="4"/>
        <v>1</v>
      </c>
      <c r="AC11" s="1460">
        <f t="shared" si="5"/>
        <v>1</v>
      </c>
    </row>
    <row r="12" spans="1:30" s="1246" customFormat="1" ht="27">
      <c r="A12" s="2553"/>
      <c r="B12" s="2558" t="s">
        <v>2474</v>
      </c>
      <c r="C12" s="880">
        <f>项目基本情况!D19</f>
        <v>55.25</v>
      </c>
      <c r="D12" s="252">
        <v>100</v>
      </c>
      <c r="E12" s="505" t="s">
        <v>4219</v>
      </c>
      <c r="F12" s="252">
        <f>ROUND(100/'数据-取费表'!G16,0)</f>
        <v>106</v>
      </c>
      <c r="G12" s="506" t="s">
        <v>4219</v>
      </c>
      <c r="H12" s="252">
        <f>ROUND(100/'数据-取费表'!G16,0)</f>
        <v>106</v>
      </c>
      <c r="I12" s="506" t="s">
        <v>4219</v>
      </c>
      <c r="J12" s="252">
        <f>ROUND(100/'数据-取费表'!G16,0)</f>
        <v>106</v>
      </c>
      <c r="K12" s="507"/>
      <c r="L12" s="1973"/>
      <c r="M12" s="1967"/>
      <c r="N12" s="1967"/>
      <c r="O12" s="1974"/>
      <c r="P12" s="3660"/>
      <c r="Q12" s="1096" t="str">
        <f t="shared" si="6"/>
        <v>土地使用年限（年）</v>
      </c>
      <c r="R12" s="1457" t="s">
        <v>8</v>
      </c>
      <c r="S12" s="1458">
        <f t="shared" si="0"/>
        <v>106</v>
      </c>
      <c r="T12" s="1457" t="s">
        <v>8</v>
      </c>
      <c r="U12" s="1458">
        <f t="shared" si="1"/>
        <v>106</v>
      </c>
      <c r="V12" s="1457" t="s">
        <v>8</v>
      </c>
      <c r="W12" s="1458">
        <f t="shared" si="2"/>
        <v>106</v>
      </c>
      <c r="X12" s="1459"/>
      <c r="Y12" s="3608"/>
      <c r="Z12" s="1095" t="str">
        <f t="shared" si="7"/>
        <v>土地使用年限（年）</v>
      </c>
      <c r="AA12" s="1460">
        <f t="shared" si="3"/>
        <v>0.94339622641509435</v>
      </c>
      <c r="AB12" s="1460">
        <f t="shared" si="4"/>
        <v>0.94339622641509435</v>
      </c>
      <c r="AC12" s="1460">
        <f t="shared" si="5"/>
        <v>0.94339622641509435</v>
      </c>
    </row>
    <row r="13" spans="1:30" ht="21" thickBot="1">
      <c r="A13" s="2554"/>
      <c r="B13" s="2558" t="s">
        <v>2475</v>
      </c>
      <c r="C13" s="510">
        <f>'数据-汇总表'!I6</f>
        <v>0.45</v>
      </c>
      <c r="D13" s="252">
        <v>100</v>
      </c>
      <c r="E13" s="509">
        <v>2.6</v>
      </c>
      <c r="F13" s="252">
        <f>LOOKUP(E13,81:81,82:82)-LOOKUP(C13,81:81,82:82)+100</f>
        <v>90</v>
      </c>
      <c r="G13" s="510">
        <v>2</v>
      </c>
      <c r="H13" s="252">
        <f>LOOKUP(G13,81:81,82:82)-LOOKUP(C13,81:81,82:82)+100</f>
        <v>90</v>
      </c>
      <c r="I13" s="509">
        <v>3</v>
      </c>
      <c r="J13" s="252">
        <f>LOOKUP(I13,81:81,82:82)-LOOKUP(C13,81:81,82:82)+100</f>
        <v>85</v>
      </c>
      <c r="K13" s="511">
        <v>5</v>
      </c>
      <c r="L13" s="1975"/>
      <c r="M13" s="1967"/>
      <c r="N13" s="1967"/>
      <c r="O13" s="1976"/>
      <c r="P13" s="3660"/>
      <c r="Q13" s="1096" t="str">
        <f t="shared" si="6"/>
        <v>容积率</v>
      </c>
      <c r="R13" s="1457" t="s">
        <v>8</v>
      </c>
      <c r="S13" s="1458">
        <f t="shared" si="0"/>
        <v>90</v>
      </c>
      <c r="T13" s="1457" t="s">
        <v>8</v>
      </c>
      <c r="U13" s="1458">
        <f t="shared" si="1"/>
        <v>90</v>
      </c>
      <c r="V13" s="1457" t="s">
        <v>8</v>
      </c>
      <c r="W13" s="1458">
        <f t="shared" si="2"/>
        <v>85</v>
      </c>
      <c r="X13" s="1459"/>
      <c r="Y13" s="3608"/>
      <c r="Z13" s="1095" t="str">
        <f t="shared" si="7"/>
        <v>容积率</v>
      </c>
      <c r="AA13" s="1460">
        <f t="shared" si="3"/>
        <v>1.1111111111111112</v>
      </c>
      <c r="AB13" s="1460">
        <f t="shared" si="4"/>
        <v>1.1111111111111112</v>
      </c>
      <c r="AC13" s="1460">
        <f t="shared" si="5"/>
        <v>1.1764705882352942</v>
      </c>
    </row>
    <row r="14" spans="1:30" s="1165" customFormat="1" ht="20.25" hidden="1">
      <c r="A14" s="2551"/>
      <c r="B14" s="2560" t="s">
        <v>2476</v>
      </c>
      <c r="C14" s="2547"/>
      <c r="D14" s="514">
        <v>100</v>
      </c>
      <c r="E14" s="1280"/>
      <c r="F14" s="252">
        <f>SUMIF(83:83,E14,84:84)-SUMIF(83:83,C14,84:84)+100</f>
        <v>100</v>
      </c>
      <c r="G14" s="506"/>
      <c r="H14" s="252">
        <f>SUMIF(83:83,G14,84:84)-SUMIF(83:83,C14,84:84)+100</f>
        <v>100</v>
      </c>
      <c r="I14" s="505"/>
      <c r="J14" s="252">
        <f>SUMIF(83:83,I14,84:84)-SUMIF(83:83,C14,84:84)+100</f>
        <v>100</v>
      </c>
      <c r="K14" s="507"/>
      <c r="L14" s="1970"/>
      <c r="M14" s="1967"/>
      <c r="N14" s="1967"/>
      <c r="O14" s="1972"/>
      <c r="P14" s="3660"/>
      <c r="Q14" s="1096" t="str">
        <f t="shared" si="6"/>
        <v>配建</v>
      </c>
      <c r="R14" s="1457" t="s">
        <v>8</v>
      </c>
      <c r="S14" s="1458">
        <f t="shared" si="0"/>
        <v>100</v>
      </c>
      <c r="T14" s="1457" t="s">
        <v>8</v>
      </c>
      <c r="U14" s="1458">
        <f t="shared" si="1"/>
        <v>100</v>
      </c>
      <c r="V14" s="1457" t="s">
        <v>8</v>
      </c>
      <c r="W14" s="1458">
        <f t="shared" si="2"/>
        <v>100</v>
      </c>
      <c r="X14" s="1459"/>
      <c r="Y14" s="3608"/>
      <c r="Z14" s="1095" t="str">
        <f t="shared" si="7"/>
        <v>配建</v>
      </c>
      <c r="AA14" s="1460">
        <f>D14/F14</f>
        <v>1</v>
      </c>
      <c r="AB14" s="1460">
        <f>D14/H14</f>
        <v>1</v>
      </c>
      <c r="AC14" s="1460">
        <f>D14/J14</f>
        <v>1</v>
      </c>
    </row>
    <row r="15" spans="1:30" ht="20.25" hidden="1">
      <c r="A15" s="2555"/>
      <c r="B15" s="2561">
        <v>111</v>
      </c>
      <c r="C15" s="882"/>
      <c r="D15" s="516">
        <v>100</v>
      </c>
      <c r="E15" s="517"/>
      <c r="F15" s="252">
        <f>SUMIF(85:85,E15,86:86)-SUMIF(85:85,C15,86:86)+100</f>
        <v>100</v>
      </c>
      <c r="G15" s="518"/>
      <c r="H15" s="516">
        <f>SUMIF(85:85,G15,86:86)-SUMIF(85:85,C15,86:86)+100</f>
        <v>100</v>
      </c>
      <c r="I15" s="518"/>
      <c r="J15" s="516">
        <f>SUMIF(85:85,I15,86:86)-SUMIF(85:85,C15,86:86)+100</f>
        <v>100</v>
      </c>
      <c r="K15" s="507"/>
      <c r="L15" s="1977"/>
      <c r="M15" s="1967"/>
      <c r="N15" s="1967"/>
      <c r="O15" s="1976"/>
      <c r="P15" s="3660"/>
      <c r="Q15" s="1096">
        <f t="shared" si="6"/>
        <v>111</v>
      </c>
      <c r="R15" s="1457" t="s">
        <v>8</v>
      </c>
      <c r="S15" s="1458">
        <f t="shared" si="0"/>
        <v>100</v>
      </c>
      <c r="T15" s="1457" t="s">
        <v>8</v>
      </c>
      <c r="U15" s="1458">
        <f t="shared" si="1"/>
        <v>100</v>
      </c>
      <c r="V15" s="1457" t="s">
        <v>8</v>
      </c>
      <c r="W15" s="1458">
        <f t="shared" si="2"/>
        <v>100</v>
      </c>
      <c r="X15" s="1459"/>
      <c r="Y15" s="3608"/>
      <c r="Z15" s="1095">
        <f t="shared" si="7"/>
        <v>111</v>
      </c>
      <c r="AA15" s="1460">
        <f>D15/F15</f>
        <v>1</v>
      </c>
      <c r="AB15" s="1460">
        <f>D15/H15</f>
        <v>1</v>
      </c>
      <c r="AC15" s="1460">
        <f>D15/J15</f>
        <v>1</v>
      </c>
    </row>
    <row r="16" spans="1:30" ht="21" hidden="1" thickBot="1">
      <c r="A16" s="2556"/>
      <c r="B16" s="2562">
        <v>111</v>
      </c>
      <c r="C16" s="885"/>
      <c r="D16" s="522">
        <v>100</v>
      </c>
      <c r="E16" s="517"/>
      <c r="F16" s="522">
        <f>SUMIF(87:87,E16,88:88)-SUMIF(87:87,C16,88:88)+100</f>
        <v>100</v>
      </c>
      <c r="G16" s="518"/>
      <c r="H16" s="522">
        <f>SUMIF(87:87,G16,88:88)-SUMIF(87:87,C16,88:88)+100</f>
        <v>100</v>
      </c>
      <c r="I16" s="518"/>
      <c r="J16" s="522">
        <f>SUMIF(87:87,I16,88:88)-SUMIF(87:87,C16,88:88)+100</f>
        <v>100</v>
      </c>
      <c r="K16" s="507"/>
      <c r="L16" s="1977"/>
      <c r="M16" s="1967"/>
      <c r="N16" s="1967"/>
      <c r="O16" s="1976"/>
      <c r="P16" s="3660"/>
      <c r="Q16" s="1096">
        <f t="shared" si="6"/>
        <v>111</v>
      </c>
      <c r="R16" s="1457" t="s">
        <v>8</v>
      </c>
      <c r="S16" s="1458">
        <f t="shared" si="0"/>
        <v>100</v>
      </c>
      <c r="T16" s="1457" t="s">
        <v>8</v>
      </c>
      <c r="U16" s="1458">
        <f t="shared" si="1"/>
        <v>100</v>
      </c>
      <c r="V16" s="1457" t="s">
        <v>8</v>
      </c>
      <c r="W16" s="1458">
        <f t="shared" si="2"/>
        <v>100</v>
      </c>
      <c r="X16" s="1459"/>
      <c r="Y16" s="3608"/>
      <c r="Z16" s="1095">
        <f t="shared" si="7"/>
        <v>111</v>
      </c>
      <c r="AA16" s="1460">
        <f>D16/F16</f>
        <v>1</v>
      </c>
      <c r="AB16" s="1460">
        <f>D16/H16</f>
        <v>1</v>
      </c>
      <c r="AC16" s="1460">
        <f>D16/J16</f>
        <v>1</v>
      </c>
    </row>
    <row r="17" spans="1:29" ht="20.25">
      <c r="A17" s="2548" t="s">
        <v>2471</v>
      </c>
      <c r="B17" s="554" t="s">
        <v>295</v>
      </c>
      <c r="C17" s="524">
        <f>估价对象房地状况!C15</f>
        <v>0</v>
      </c>
      <c r="D17" s="527">
        <v>100</v>
      </c>
      <c r="E17" s="528"/>
      <c r="F17" s="525">
        <f>SUMIF(89:89,E18,90:90)-SUMIF(89:89,C18,90:90)+100</f>
        <v>110</v>
      </c>
      <c r="G17" s="526"/>
      <c r="H17" s="525">
        <f>SUMIF(89:89,G18,90:90)-SUMIF(89:89,C18,90:90)+100</f>
        <v>110</v>
      </c>
      <c r="I17" s="528"/>
      <c r="J17" s="525">
        <f>SUMIF(89:89,I18,90:90)-SUMIF(89:89,C18,90:90)+100</f>
        <v>110</v>
      </c>
      <c r="K17" s="511">
        <v>5</v>
      </c>
      <c r="L17" s="1977"/>
      <c r="M17" s="1967"/>
      <c r="N17" s="1967"/>
      <c r="O17" s="1976"/>
      <c r="P17" s="3662" t="s">
        <v>523</v>
      </c>
      <c r="Q17" s="1461" t="str">
        <f t="shared" si="6"/>
        <v>居住社区成熟度</v>
      </c>
      <c r="R17" s="1462" t="s">
        <v>8</v>
      </c>
      <c r="S17" s="1463">
        <f t="shared" si="0"/>
        <v>110</v>
      </c>
      <c r="T17" s="1462" t="s">
        <v>8</v>
      </c>
      <c r="U17" s="1463">
        <f t="shared" si="1"/>
        <v>110</v>
      </c>
      <c r="V17" s="1462" t="s">
        <v>8</v>
      </c>
      <c r="W17" s="1463">
        <f t="shared" si="2"/>
        <v>110</v>
      </c>
      <c r="X17" s="1456"/>
      <c r="Y17" s="3662" t="s">
        <v>523</v>
      </c>
      <c r="Z17" s="1464" t="str">
        <f t="shared" si="7"/>
        <v>居住社区成熟度</v>
      </c>
      <c r="AA17" s="1465">
        <f t="shared" si="3"/>
        <v>0.90909090909090906</v>
      </c>
      <c r="AB17" s="1465">
        <f t="shared" si="4"/>
        <v>0.90909090909090906</v>
      </c>
      <c r="AC17" s="1465">
        <f t="shared" si="5"/>
        <v>0.90909090909090906</v>
      </c>
    </row>
    <row r="18" spans="1:29" ht="20.25">
      <c r="A18" s="508"/>
      <c r="B18" s="529"/>
      <c r="C18" s="530" t="s">
        <v>3237</v>
      </c>
      <c r="D18" s="533"/>
      <c r="E18" s="534" t="s">
        <v>4190</v>
      </c>
      <c r="F18" s="531"/>
      <c r="G18" s="534" t="s">
        <v>4190</v>
      </c>
      <c r="H18" s="535"/>
      <c r="I18" s="534" t="s">
        <v>4190</v>
      </c>
      <c r="J18" s="531"/>
      <c r="K18" s="507"/>
      <c r="L18" s="1977"/>
      <c r="M18" s="1967"/>
      <c r="N18" s="1967"/>
      <c r="O18" s="1976"/>
      <c r="P18" s="3663"/>
      <c r="Q18" s="1461"/>
      <c r="R18" s="1462"/>
      <c r="S18" s="1463"/>
      <c r="T18" s="1462"/>
      <c r="U18" s="1463"/>
      <c r="V18" s="1462"/>
      <c r="W18" s="1463"/>
      <c r="X18" s="1456"/>
      <c r="Y18" s="3663"/>
      <c r="Z18" s="1464"/>
      <c r="AA18" s="1465">
        <v>1</v>
      </c>
      <c r="AB18" s="1465">
        <v>1</v>
      </c>
      <c r="AC18" s="1465">
        <v>1</v>
      </c>
    </row>
    <row r="19" spans="1:29" ht="20.25">
      <c r="A19" s="508"/>
      <c r="B19" s="536" t="s">
        <v>524</v>
      </c>
      <c r="C19" s="537">
        <f>估价对象房地状况!C16</f>
        <v>0</v>
      </c>
      <c r="D19" s="539">
        <v>100</v>
      </c>
      <c r="E19" s="540"/>
      <c r="F19" s="535">
        <f>SUMIF(91:91,E20,92:92)-SUMIF(91:91,C20,92:92)+100</f>
        <v>100</v>
      </c>
      <c r="G19" s="538"/>
      <c r="H19" s="541">
        <f>SUMIF(91:91,G20,92:92)-SUMIF(91:91,C20,92:92)+100</f>
        <v>100</v>
      </c>
      <c r="I19" s="540"/>
      <c r="J19" s="541">
        <f>SUMIF(91:91,I20,92:92)-SUMIF(91:91,C20,92:92)+100</f>
        <v>100</v>
      </c>
      <c r="K19" s="511"/>
      <c r="L19" s="1977"/>
      <c r="M19" s="1967"/>
      <c r="N19" s="1967"/>
      <c r="O19" s="1976"/>
      <c r="P19" s="3663"/>
      <c r="Q19" s="1461" t="str">
        <f>B19</f>
        <v>商业繁华度</v>
      </c>
      <c r="R19" s="1462" t="s">
        <v>8</v>
      </c>
      <c r="S19" s="1463">
        <f>F19</f>
        <v>100</v>
      </c>
      <c r="T19" s="1462" t="s">
        <v>8</v>
      </c>
      <c r="U19" s="1463">
        <f>H19</f>
        <v>100</v>
      </c>
      <c r="V19" s="1462" t="s">
        <v>8</v>
      </c>
      <c r="W19" s="1463">
        <f>J19</f>
        <v>100</v>
      </c>
      <c r="X19" s="1456"/>
      <c r="Y19" s="3663"/>
      <c r="Z19" s="1464" t="str">
        <f>Q19</f>
        <v>商业繁华度</v>
      </c>
      <c r="AA19" s="1465">
        <f t="shared" si="3"/>
        <v>1</v>
      </c>
      <c r="AB19" s="1465">
        <f t="shared" si="4"/>
        <v>1</v>
      </c>
      <c r="AC19" s="1465">
        <f t="shared" si="5"/>
        <v>1</v>
      </c>
    </row>
    <row r="20" spans="1:29" ht="20.25">
      <c r="A20" s="508"/>
      <c r="B20" s="542"/>
      <c r="C20" s="543"/>
      <c r="D20" s="539"/>
      <c r="E20" s="545"/>
      <c r="F20" s="535"/>
      <c r="G20" s="544"/>
      <c r="H20" s="531"/>
      <c r="I20" s="545"/>
      <c r="J20" s="531"/>
      <c r="K20" s="507"/>
      <c r="L20" s="1977"/>
      <c r="M20" s="1967"/>
      <c r="N20" s="1967"/>
      <c r="O20" s="1976"/>
      <c r="P20" s="3663"/>
      <c r="Q20" s="1461"/>
      <c r="R20" s="1462"/>
      <c r="S20" s="1463"/>
      <c r="T20" s="1462"/>
      <c r="U20" s="1463"/>
      <c r="V20" s="1462"/>
      <c r="W20" s="1463"/>
      <c r="X20" s="1456"/>
      <c r="Y20" s="3663"/>
      <c r="Z20" s="1464"/>
      <c r="AA20" s="1465">
        <v>1</v>
      </c>
      <c r="AB20" s="1465">
        <v>1</v>
      </c>
      <c r="AC20" s="1465">
        <v>1</v>
      </c>
    </row>
    <row r="21" spans="1:29" ht="20.25">
      <c r="A21" s="508"/>
      <c r="B21" s="536" t="s">
        <v>525</v>
      </c>
      <c r="C21" s="537">
        <f>估价对象房地状况!C17</f>
        <v>0</v>
      </c>
      <c r="D21" s="547">
        <v>100</v>
      </c>
      <c r="E21" s="548"/>
      <c r="F21" s="541">
        <f>SUMIF(93:93,E22,94:94)-SUMIF(93:93,C22,94:94)+100</f>
        <v>100</v>
      </c>
      <c r="G21" s="546"/>
      <c r="H21" s="535">
        <f>SUMIF(93:93,G22,94:94)-SUMIF(93:93,C22,94:94)+100</f>
        <v>100</v>
      </c>
      <c r="I21" s="548"/>
      <c r="J21" s="535">
        <f>SUMIF(93:93,I22,94:94)-SUMIF(93:93,C22,94:94)+100</f>
        <v>100</v>
      </c>
      <c r="K21" s="511"/>
      <c r="L21" s="1977"/>
      <c r="M21" s="1967"/>
      <c r="N21" s="1967"/>
      <c r="O21" s="1976"/>
      <c r="P21" s="3663"/>
      <c r="Q21" s="1461" t="str">
        <f>B21</f>
        <v>办公集聚程度</v>
      </c>
      <c r="R21" s="1462" t="s">
        <v>8</v>
      </c>
      <c r="S21" s="1463">
        <f>F21</f>
        <v>100</v>
      </c>
      <c r="T21" s="1462" t="s">
        <v>8</v>
      </c>
      <c r="U21" s="1463">
        <f>H21</f>
        <v>100</v>
      </c>
      <c r="V21" s="1462" t="s">
        <v>8</v>
      </c>
      <c r="W21" s="1463">
        <f>J21</f>
        <v>100</v>
      </c>
      <c r="X21" s="1456"/>
      <c r="Y21" s="3663"/>
      <c r="Z21" s="1464" t="str">
        <f>Q21</f>
        <v>办公集聚程度</v>
      </c>
      <c r="AA21" s="1465">
        <f t="shared" si="3"/>
        <v>1</v>
      </c>
      <c r="AB21" s="1465">
        <f t="shared" si="4"/>
        <v>1</v>
      </c>
      <c r="AC21" s="1465">
        <f t="shared" si="5"/>
        <v>1</v>
      </c>
    </row>
    <row r="22" spans="1:29" ht="20.25">
      <c r="A22" s="508"/>
      <c r="B22" s="542"/>
      <c r="C22" s="530"/>
      <c r="D22" s="533"/>
      <c r="E22" s="534"/>
      <c r="F22" s="531"/>
      <c r="G22" s="532"/>
      <c r="H22" s="531"/>
      <c r="I22" s="534"/>
      <c r="J22" s="531"/>
      <c r="K22" s="507"/>
      <c r="L22" s="1977"/>
      <c r="M22" s="1967"/>
      <c r="N22" s="1967"/>
      <c r="O22" s="1976"/>
      <c r="P22" s="3663"/>
      <c r="Q22" s="1461"/>
      <c r="R22" s="1462"/>
      <c r="S22" s="1463"/>
      <c r="T22" s="1462"/>
      <c r="U22" s="1463"/>
      <c r="V22" s="1462"/>
      <c r="W22" s="1463"/>
      <c r="X22" s="1456"/>
      <c r="Y22" s="3663"/>
      <c r="Z22" s="1464"/>
      <c r="AA22" s="1465">
        <v>1</v>
      </c>
      <c r="AB22" s="1465">
        <v>1</v>
      </c>
      <c r="AC22" s="1465">
        <v>1</v>
      </c>
    </row>
    <row r="23" spans="1:29" ht="20.25">
      <c r="A23" s="508"/>
      <c r="B23" s="536" t="s">
        <v>526</v>
      </c>
      <c r="C23" s="549">
        <f>估价对象房地状况!C18</f>
        <v>0</v>
      </c>
      <c r="D23" s="539">
        <v>100</v>
      </c>
      <c r="E23" s="540"/>
      <c r="F23" s="541">
        <f>SUMIF(95:95,E24,96:96)-SUMIF(95:95,C24,96:96)+100</f>
        <v>105</v>
      </c>
      <c r="G23" s="538"/>
      <c r="H23" s="535">
        <f>SUMIF(95:95,G24,96:96)-SUMIF(95:95,C24,96:96)+100</f>
        <v>105</v>
      </c>
      <c r="I23" s="540"/>
      <c r="J23" s="535">
        <f>SUMIF(95:95,I24,96:96)-SUMIF(95:95,C24,96:96)+100</f>
        <v>105</v>
      </c>
      <c r="K23" s="511">
        <v>5</v>
      </c>
      <c r="L23" s="1977"/>
      <c r="M23" s="1967"/>
      <c r="N23" s="1967"/>
      <c r="O23" s="1976"/>
      <c r="P23" s="3663"/>
      <c r="Q23" s="1461" t="str">
        <f>B23</f>
        <v>交通便捷度</v>
      </c>
      <c r="R23" s="1462" t="s">
        <v>8</v>
      </c>
      <c r="S23" s="1463">
        <f>F23</f>
        <v>105</v>
      </c>
      <c r="T23" s="1462" t="s">
        <v>8</v>
      </c>
      <c r="U23" s="1463">
        <f>H23</f>
        <v>105</v>
      </c>
      <c r="V23" s="1462" t="s">
        <v>8</v>
      </c>
      <c r="W23" s="1463">
        <f>J23</f>
        <v>105</v>
      </c>
      <c r="X23" s="1456"/>
      <c r="Y23" s="3663"/>
      <c r="Z23" s="1464" t="str">
        <f>Q23</f>
        <v>交通便捷度</v>
      </c>
      <c r="AA23" s="1465">
        <f t="shared" si="3"/>
        <v>0.95238095238095233</v>
      </c>
      <c r="AB23" s="1465">
        <f t="shared" si="4"/>
        <v>0.95238095238095233</v>
      </c>
      <c r="AC23" s="1465">
        <f t="shared" si="5"/>
        <v>0.95238095238095233</v>
      </c>
    </row>
    <row r="24" spans="1:29" ht="20.25">
      <c r="A24" s="508"/>
      <c r="B24" s="554"/>
      <c r="C24" s="530" t="s">
        <v>3237</v>
      </c>
      <c r="D24" s="533"/>
      <c r="E24" s="534" t="s">
        <v>3257</v>
      </c>
      <c r="F24" s="531"/>
      <c r="G24" s="534" t="s">
        <v>3257</v>
      </c>
      <c r="H24" s="531"/>
      <c r="I24" s="534" t="s">
        <v>3257</v>
      </c>
      <c r="J24" s="531"/>
      <c r="K24" s="507"/>
      <c r="L24" s="1977"/>
      <c r="M24" s="1967"/>
      <c r="N24" s="1967"/>
      <c r="O24" s="1976"/>
      <c r="P24" s="3663"/>
      <c r="Q24" s="1461"/>
      <c r="R24" s="1462"/>
      <c r="S24" s="1463"/>
      <c r="T24" s="1462"/>
      <c r="U24" s="1463"/>
      <c r="V24" s="1462"/>
      <c r="W24" s="1463"/>
      <c r="X24" s="1456"/>
      <c r="Y24" s="3663"/>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7"/>
      <c r="M25" s="1967"/>
      <c r="N25" s="1967"/>
      <c r="O25" s="1976"/>
      <c r="P25" s="3663"/>
      <c r="Q25" s="1461" t="str">
        <f t="shared" ref="Q25:Q39" si="8">B25</f>
        <v>区域土地利用方向</v>
      </c>
      <c r="R25" s="1462" t="s">
        <v>8</v>
      </c>
      <c r="S25" s="1463">
        <f>F25</f>
        <v>100</v>
      </c>
      <c r="T25" s="1462" t="s">
        <v>8</v>
      </c>
      <c r="U25" s="1463">
        <f>H25</f>
        <v>100</v>
      </c>
      <c r="V25" s="1462" t="s">
        <v>8</v>
      </c>
      <c r="W25" s="1463">
        <f>J25</f>
        <v>100</v>
      </c>
      <c r="X25" s="1456"/>
      <c r="Y25" s="3663"/>
      <c r="Z25" s="1464" t="str">
        <f>Q25</f>
        <v>区域土地利用方向</v>
      </c>
      <c r="AA25" s="1465">
        <f t="shared" si="3"/>
        <v>1</v>
      </c>
      <c r="AB25" s="1465">
        <f t="shared" si="4"/>
        <v>1</v>
      </c>
      <c r="AC25" s="1465">
        <f t="shared" si="5"/>
        <v>1</v>
      </c>
    </row>
    <row r="26" spans="1:29" ht="20.25">
      <c r="A26" s="491"/>
      <c r="B26" s="975"/>
      <c r="C26" s="530" t="s">
        <v>3257</v>
      </c>
      <c r="D26" s="533"/>
      <c r="E26" s="530" t="s">
        <v>3257</v>
      </c>
      <c r="F26" s="531"/>
      <c r="G26" s="530" t="s">
        <v>3257</v>
      </c>
      <c r="H26" s="531"/>
      <c r="I26" s="530" t="s">
        <v>3257</v>
      </c>
      <c r="J26" s="531"/>
      <c r="K26" s="507"/>
      <c r="L26" s="1977"/>
      <c r="M26" s="1967"/>
      <c r="N26" s="1967"/>
      <c r="O26" s="1976"/>
      <c r="P26" s="3663"/>
      <c r="Q26" s="1461"/>
      <c r="R26" s="1462"/>
      <c r="S26" s="1463"/>
      <c r="T26" s="1462"/>
      <c r="U26" s="1463"/>
      <c r="V26" s="1462"/>
      <c r="W26" s="1463"/>
      <c r="X26" s="1456"/>
      <c r="Y26" s="3663"/>
      <c r="Z26" s="1464"/>
      <c r="AA26" s="1465"/>
      <c r="AB26" s="1465"/>
      <c r="AC26" s="1465"/>
    </row>
    <row r="27" spans="1:29" ht="27">
      <c r="A27" s="491"/>
      <c r="B27" s="554" t="s">
        <v>528</v>
      </c>
      <c r="C27" s="537">
        <f>估价对象房地状况!C20</f>
        <v>0</v>
      </c>
      <c r="D27" s="539">
        <v>100</v>
      </c>
      <c r="E27" s="540"/>
      <c r="F27" s="535">
        <f>SUMIF(99:99,E28,100:100)-SUMIF(99:99,C28,100:100)+100</f>
        <v>103</v>
      </c>
      <c r="G27" s="538"/>
      <c r="H27" s="535">
        <f>SUMIF(99:99,G28,100:100)-SUMIF(99:99,C28,100:100)+100</f>
        <v>103</v>
      </c>
      <c r="I27" s="540"/>
      <c r="J27" s="535">
        <f>SUMIF(99:99,I28,100:100)-SUMIF(99:99,C28,100:100)+100</f>
        <v>103</v>
      </c>
      <c r="K27" s="511">
        <v>3</v>
      </c>
      <c r="L27" s="1977"/>
      <c r="M27" s="1967"/>
      <c r="N27" s="1967"/>
      <c r="O27" s="1976"/>
      <c r="P27" s="3663"/>
      <c r="Q27" s="1461" t="str">
        <f t="shared" si="8"/>
        <v>自然及人文环境状况</v>
      </c>
      <c r="R27" s="1462" t="s">
        <v>8</v>
      </c>
      <c r="S27" s="1463">
        <f>F27</f>
        <v>103</v>
      </c>
      <c r="T27" s="1462" t="s">
        <v>8</v>
      </c>
      <c r="U27" s="1463">
        <f>H27</f>
        <v>103</v>
      </c>
      <c r="V27" s="1462" t="s">
        <v>8</v>
      </c>
      <c r="W27" s="1463">
        <f>J27</f>
        <v>103</v>
      </c>
      <c r="X27" s="1456"/>
      <c r="Y27" s="3663"/>
      <c r="Z27" s="1464" t="str">
        <f>Q27</f>
        <v>自然及人文环境状况</v>
      </c>
      <c r="AA27" s="1465">
        <f t="shared" si="3"/>
        <v>0.970873786407767</v>
      </c>
      <c r="AB27" s="1465">
        <f t="shared" si="4"/>
        <v>0.970873786407767</v>
      </c>
      <c r="AC27" s="1465">
        <f t="shared" si="5"/>
        <v>0.970873786407767</v>
      </c>
    </row>
    <row r="28" spans="1:29" ht="20.25">
      <c r="A28" s="491"/>
      <c r="B28" s="542"/>
      <c r="C28" s="530" t="s">
        <v>3237</v>
      </c>
      <c r="D28" s="533"/>
      <c r="E28" s="552" t="s">
        <v>3257</v>
      </c>
      <c r="F28" s="531"/>
      <c r="G28" s="552" t="s">
        <v>3257</v>
      </c>
      <c r="H28" s="531"/>
      <c r="I28" s="552" t="s">
        <v>3257</v>
      </c>
      <c r="J28" s="531"/>
      <c r="K28" s="507"/>
      <c r="L28" s="1977"/>
      <c r="M28" s="1967"/>
      <c r="N28" s="1967"/>
      <c r="O28" s="1976"/>
      <c r="P28" s="3663"/>
      <c r="Q28" s="1461"/>
      <c r="R28" s="1462"/>
      <c r="S28" s="1463"/>
      <c r="T28" s="1462"/>
      <c r="U28" s="1463"/>
      <c r="V28" s="1462"/>
      <c r="W28" s="1463"/>
      <c r="X28" s="1456"/>
      <c r="Y28" s="3663"/>
      <c r="Z28" s="1464"/>
      <c r="AA28" s="1465">
        <v>1</v>
      </c>
      <c r="AB28" s="1465">
        <v>1</v>
      </c>
      <c r="AC28" s="1465">
        <v>1</v>
      </c>
    </row>
    <row r="29" spans="1:29" s="1165" customFormat="1" ht="20.25">
      <c r="A29" s="553"/>
      <c r="B29" s="2356" t="s">
        <v>2266</v>
      </c>
      <c r="C29" s="549">
        <f>估价对象房地状况!C21</f>
        <v>0</v>
      </c>
      <c r="D29" s="539">
        <v>100</v>
      </c>
      <c r="E29" s="540"/>
      <c r="F29" s="535">
        <f>SUMIF(101:101,E30,102:102)-SUMIF(101:101,C30,102:102)+100</f>
        <v>103</v>
      </c>
      <c r="G29" s="538"/>
      <c r="H29" s="535">
        <f>SUMIF(101:101,G30,102:102)-SUMIF(101:101,C30,102:102)+100</f>
        <v>103</v>
      </c>
      <c r="I29" s="540"/>
      <c r="J29" s="535">
        <f>SUMIF(101:101,I30,102:102)-SUMIF(101:101,C30,102:102)+100</f>
        <v>103</v>
      </c>
      <c r="K29" s="511">
        <v>3</v>
      </c>
      <c r="L29" s="1970"/>
      <c r="M29" s="1967"/>
      <c r="N29" s="1967"/>
      <c r="O29" s="1972"/>
      <c r="P29" s="3663"/>
      <c r="Q29" s="1096" t="str">
        <f t="shared" si="8"/>
        <v>公共配套设施</v>
      </c>
      <c r="R29" s="1457" t="s">
        <v>8</v>
      </c>
      <c r="S29" s="1458">
        <f>F29</f>
        <v>103</v>
      </c>
      <c r="T29" s="1457" t="s">
        <v>8</v>
      </c>
      <c r="U29" s="1458">
        <f>H29</f>
        <v>103</v>
      </c>
      <c r="V29" s="1457" t="s">
        <v>8</v>
      </c>
      <c r="W29" s="1458">
        <f>J29</f>
        <v>103</v>
      </c>
      <c r="X29" s="1459"/>
      <c r="Y29" s="3663"/>
      <c r="Z29" s="1095" t="str">
        <f>Q29</f>
        <v>公共配套设施</v>
      </c>
      <c r="AA29" s="1465">
        <f>D29/F29</f>
        <v>0.970873786407767</v>
      </c>
      <c r="AB29" s="1465">
        <f>D29/H29</f>
        <v>0.970873786407767</v>
      </c>
      <c r="AC29" s="1465">
        <f>D29/J29</f>
        <v>0.970873786407767</v>
      </c>
    </row>
    <row r="30" spans="1:29" s="1165" customFormat="1" ht="20.25">
      <c r="A30" s="553"/>
      <c r="B30" s="542"/>
      <c r="C30" s="555" t="s">
        <v>3237</v>
      </c>
      <c r="D30" s="533"/>
      <c r="E30" s="552" t="s">
        <v>3257</v>
      </c>
      <c r="F30" s="531"/>
      <c r="G30" s="552" t="s">
        <v>3257</v>
      </c>
      <c r="H30" s="531"/>
      <c r="I30" s="552" t="s">
        <v>3257</v>
      </c>
      <c r="J30" s="531"/>
      <c r="K30" s="507"/>
      <c r="L30" s="1970"/>
      <c r="M30" s="1967"/>
      <c r="N30" s="1967"/>
      <c r="O30" s="1972"/>
      <c r="P30" s="3663"/>
      <c r="Q30" s="1096"/>
      <c r="R30" s="1457"/>
      <c r="S30" s="1458"/>
      <c r="T30" s="1457"/>
      <c r="U30" s="1458"/>
      <c r="V30" s="1457"/>
      <c r="W30" s="1458"/>
      <c r="X30" s="1459"/>
      <c r="Y30" s="3663"/>
      <c r="Z30" s="1095"/>
      <c r="AA30" s="1465">
        <v>1</v>
      </c>
      <c r="AB30" s="1465">
        <v>1</v>
      </c>
      <c r="AC30" s="1465">
        <v>1</v>
      </c>
    </row>
    <row r="31" spans="1:29" s="1165" customFormat="1" ht="20.25">
      <c r="A31" s="553"/>
      <c r="B31" s="2356" t="s">
        <v>2267</v>
      </c>
      <c r="C31" s="549">
        <f>估价对象房地状况!C22</f>
        <v>0</v>
      </c>
      <c r="D31" s="539">
        <v>100</v>
      </c>
      <c r="E31" s="540"/>
      <c r="F31" s="535">
        <f>SUMIF(103:103,E32,104:104)-SUMIF(103:103,C32,104:104)+100</f>
        <v>100</v>
      </c>
      <c r="G31" s="538"/>
      <c r="H31" s="535">
        <f>SUMIF(103:103,G32,104:104)-SUMIF(103:103,C32,104:104)+100</f>
        <v>100</v>
      </c>
      <c r="I31" s="540"/>
      <c r="J31" s="535">
        <f>SUMIF(103:103,I32,104:104)-SUMIF(103:103,C32,104:104)+100</f>
        <v>100</v>
      </c>
      <c r="K31" s="511">
        <v>1</v>
      </c>
      <c r="L31" s="1970"/>
      <c r="M31" s="1967"/>
      <c r="N31" s="1967"/>
      <c r="O31" s="1972"/>
      <c r="P31" s="3663"/>
      <c r="Q31" s="2349" t="str">
        <f t="shared" ref="Q31" si="9">B31</f>
        <v>基础设施水平</v>
      </c>
      <c r="R31" s="1457" t="s">
        <v>8</v>
      </c>
      <c r="S31" s="1458">
        <f>F31</f>
        <v>100</v>
      </c>
      <c r="T31" s="1457" t="s">
        <v>8</v>
      </c>
      <c r="U31" s="1458">
        <f>H31</f>
        <v>100</v>
      </c>
      <c r="V31" s="1457" t="s">
        <v>8</v>
      </c>
      <c r="W31" s="1458">
        <f>J31</f>
        <v>100</v>
      </c>
      <c r="X31" s="1459"/>
      <c r="Y31" s="3663"/>
      <c r="Z31" s="2348" t="str">
        <f>Q31</f>
        <v>基础设施水平</v>
      </c>
      <c r="AA31" s="1465">
        <f>D31/F31</f>
        <v>1</v>
      </c>
      <c r="AB31" s="1465">
        <f>D31/H31</f>
        <v>1</v>
      </c>
      <c r="AC31" s="1465">
        <f>D31/J31</f>
        <v>1</v>
      </c>
    </row>
    <row r="32" spans="1:29" s="1165" customFormat="1" ht="21" thickBot="1">
      <c r="A32" s="553"/>
      <c r="B32" s="542"/>
      <c r="C32" s="555" t="s">
        <v>3238</v>
      </c>
      <c r="D32" s="533"/>
      <c r="E32" s="555" t="s">
        <v>3238</v>
      </c>
      <c r="F32" s="531"/>
      <c r="G32" s="555" t="s">
        <v>3238</v>
      </c>
      <c r="H32" s="531"/>
      <c r="I32" s="555" t="s">
        <v>3238</v>
      </c>
      <c r="J32" s="531"/>
      <c r="K32" s="507"/>
      <c r="L32" s="1970"/>
      <c r="M32" s="1967"/>
      <c r="N32" s="1967"/>
      <c r="O32" s="1972"/>
      <c r="P32" s="3663"/>
      <c r="Q32" s="2349"/>
      <c r="R32" s="1457"/>
      <c r="S32" s="1458"/>
      <c r="T32" s="1457"/>
      <c r="U32" s="1458"/>
      <c r="V32" s="1457"/>
      <c r="W32" s="1458"/>
      <c r="X32" s="1459"/>
      <c r="Y32" s="3663"/>
      <c r="Z32" s="2348"/>
      <c r="AA32" s="1465">
        <v>1</v>
      </c>
      <c r="AB32" s="1465">
        <v>1</v>
      </c>
      <c r="AC32" s="1465">
        <v>1</v>
      </c>
    </row>
    <row r="33" spans="1:29" ht="20.25" hidden="1">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7"/>
      <c r="M33" s="1967"/>
      <c r="N33" s="1967"/>
      <c r="O33" s="1976"/>
      <c r="P33" s="3663"/>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63"/>
      <c r="Z33" s="1464" t="str">
        <f t="shared" ref="Z33:Z47" si="13">Q33</f>
        <v>临街状况</v>
      </c>
      <c r="AA33" s="1465">
        <f t="shared" si="3"/>
        <v>1</v>
      </c>
      <c r="AB33" s="1465">
        <f t="shared" si="4"/>
        <v>1</v>
      </c>
      <c r="AC33" s="1465">
        <f t="shared" si="5"/>
        <v>1</v>
      </c>
    </row>
    <row r="34" spans="1:29" ht="27" hidden="1">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7"/>
      <c r="M34" s="1967"/>
      <c r="N34" s="1967"/>
      <c r="O34" s="1976"/>
      <c r="P34" s="3663"/>
      <c r="Q34" s="1461" t="str">
        <f t="shared" si="8"/>
        <v>毗邻道路的类型与等级</v>
      </c>
      <c r="R34" s="1462" t="s">
        <v>8</v>
      </c>
      <c r="S34" s="1463">
        <f t="shared" si="10"/>
        <v>100</v>
      </c>
      <c r="T34" s="1462" t="s">
        <v>8</v>
      </c>
      <c r="U34" s="1463">
        <f t="shared" si="11"/>
        <v>100</v>
      </c>
      <c r="V34" s="1462" t="s">
        <v>8</v>
      </c>
      <c r="W34" s="1463">
        <f t="shared" si="12"/>
        <v>100</v>
      </c>
      <c r="X34" s="1456"/>
      <c r="Y34" s="3663"/>
      <c r="Z34" s="1464" t="str">
        <f t="shared" si="13"/>
        <v>毗邻道路的类型与等级</v>
      </c>
      <c r="AA34" s="1465">
        <f t="shared" si="3"/>
        <v>1</v>
      </c>
      <c r="AB34" s="1465">
        <f t="shared" si="4"/>
        <v>1</v>
      </c>
      <c r="AC34" s="1465">
        <f t="shared" si="5"/>
        <v>1</v>
      </c>
    </row>
    <row r="35" spans="1:29" ht="20.25" hidden="1">
      <c r="A35" s="508"/>
      <c r="B35" s="542"/>
      <c r="C35" s="530"/>
      <c r="D35" s="533"/>
      <c r="E35" s="552"/>
      <c r="F35" s="531"/>
      <c r="G35" s="530"/>
      <c r="H35" s="531"/>
      <c r="I35" s="552"/>
      <c r="J35" s="531"/>
      <c r="K35" s="557"/>
      <c r="L35" s="1977"/>
      <c r="M35" s="1967"/>
      <c r="N35" s="1967"/>
      <c r="O35" s="1976"/>
      <c r="P35" s="3663"/>
      <c r="Q35" s="1461"/>
      <c r="R35" s="1462"/>
      <c r="S35" s="1463"/>
      <c r="T35" s="1462"/>
      <c r="U35" s="1463"/>
      <c r="V35" s="1462"/>
      <c r="W35" s="1463"/>
      <c r="X35" s="1456"/>
      <c r="Y35" s="3663"/>
      <c r="Z35" s="1464"/>
      <c r="AA35" s="1465">
        <v>1</v>
      </c>
      <c r="AB35" s="1465">
        <v>1</v>
      </c>
      <c r="AC35" s="1465">
        <v>1</v>
      </c>
    </row>
    <row r="36" spans="1:29" ht="20.25" hidden="1">
      <c r="A36" s="508"/>
      <c r="B36" s="558" t="s">
        <v>532</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7"/>
      <c r="M36" s="1967"/>
      <c r="N36" s="1967"/>
      <c r="O36" s="1976"/>
      <c r="P36" s="3663"/>
      <c r="Q36" s="1461" t="str">
        <f t="shared" si="8"/>
        <v>土地级别</v>
      </c>
      <c r="R36" s="1462" t="s">
        <v>8</v>
      </c>
      <c r="S36" s="1463">
        <f t="shared" si="10"/>
        <v>100</v>
      </c>
      <c r="T36" s="1462" t="s">
        <v>8</v>
      </c>
      <c r="U36" s="1463">
        <f t="shared" si="11"/>
        <v>100</v>
      </c>
      <c r="V36" s="1462" t="s">
        <v>8</v>
      </c>
      <c r="W36" s="1463">
        <f t="shared" si="12"/>
        <v>100</v>
      </c>
      <c r="X36" s="1456"/>
      <c r="Y36" s="3663"/>
      <c r="Z36" s="1464" t="str">
        <f t="shared" si="13"/>
        <v>土地级别</v>
      </c>
      <c r="AA36" s="1465">
        <f t="shared" si="3"/>
        <v>1</v>
      </c>
      <c r="AB36" s="1465">
        <f t="shared" si="4"/>
        <v>1</v>
      </c>
      <c r="AC36" s="1465">
        <f t="shared" si="5"/>
        <v>1</v>
      </c>
    </row>
    <row r="37" spans="1:29" ht="20.25" hidden="1">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63"/>
      <c r="Q37" s="1461">
        <f t="shared" si="8"/>
        <v>111</v>
      </c>
      <c r="R37" s="1462" t="s">
        <v>8</v>
      </c>
      <c r="S37" s="1463">
        <f t="shared" si="10"/>
        <v>100</v>
      </c>
      <c r="T37" s="1462" t="s">
        <v>8</v>
      </c>
      <c r="U37" s="1463">
        <f t="shared" si="11"/>
        <v>100</v>
      </c>
      <c r="V37" s="1462" t="s">
        <v>8</v>
      </c>
      <c r="W37" s="1463">
        <f t="shared" si="12"/>
        <v>100</v>
      </c>
      <c r="X37" s="1456"/>
      <c r="Y37" s="3663"/>
      <c r="Z37" s="1464">
        <f t="shared" si="13"/>
        <v>111</v>
      </c>
      <c r="AA37" s="1465">
        <f t="shared" si="3"/>
        <v>1</v>
      </c>
      <c r="AB37" s="1465">
        <f t="shared" si="4"/>
        <v>1</v>
      </c>
      <c r="AC37" s="1465">
        <f t="shared" si="5"/>
        <v>1</v>
      </c>
    </row>
    <row r="38" spans="1:29" ht="20.25" hidden="1">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64" t="s">
        <v>533</v>
      </c>
      <c r="Q38" s="1461">
        <f t="shared" si="8"/>
        <v>111</v>
      </c>
      <c r="R38" s="1462" t="s">
        <v>8</v>
      </c>
      <c r="S38" s="1463">
        <f t="shared" si="10"/>
        <v>100</v>
      </c>
      <c r="T38" s="1462" t="s">
        <v>8</v>
      </c>
      <c r="U38" s="1463">
        <f t="shared" si="11"/>
        <v>100</v>
      </c>
      <c r="V38" s="1462" t="s">
        <v>8</v>
      </c>
      <c r="W38" s="1463">
        <f t="shared" si="12"/>
        <v>100</v>
      </c>
      <c r="X38" s="1456"/>
      <c r="Y38" s="3665" t="s">
        <v>533</v>
      </c>
      <c r="Z38" s="1464">
        <f t="shared" si="13"/>
        <v>111</v>
      </c>
      <c r="AA38" s="1465">
        <f t="shared" si="3"/>
        <v>1</v>
      </c>
      <c r="AB38" s="1465">
        <f t="shared" si="4"/>
        <v>1</v>
      </c>
      <c r="AC38" s="1465">
        <f t="shared" si="5"/>
        <v>1</v>
      </c>
    </row>
    <row r="39" spans="1:29" s="1247" customFormat="1" ht="21" hidden="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65"/>
      <c r="Q39" s="1461">
        <f t="shared" si="8"/>
        <v>111</v>
      </c>
      <c r="R39" s="1466" t="s">
        <v>8</v>
      </c>
      <c r="S39" s="1467">
        <f t="shared" si="10"/>
        <v>100</v>
      </c>
      <c r="T39" s="1466" t="s">
        <v>8</v>
      </c>
      <c r="U39" s="1467">
        <f t="shared" si="11"/>
        <v>100</v>
      </c>
      <c r="V39" s="1466" t="s">
        <v>8</v>
      </c>
      <c r="W39" s="1467">
        <f t="shared" si="12"/>
        <v>100</v>
      </c>
      <c r="X39" s="1468"/>
      <c r="Y39" s="3665"/>
      <c r="Z39" s="1469">
        <f t="shared" si="13"/>
        <v>111</v>
      </c>
      <c r="AA39" s="1465">
        <f t="shared" si="3"/>
        <v>1</v>
      </c>
      <c r="AB39" s="1465">
        <f t="shared" si="4"/>
        <v>1</v>
      </c>
      <c r="AC39" s="1465">
        <f t="shared" si="5"/>
        <v>1</v>
      </c>
    </row>
    <row r="40" spans="1:29" ht="20.25">
      <c r="A40" s="2545" t="s">
        <v>2472</v>
      </c>
      <c r="B40" s="571" t="s">
        <v>535</v>
      </c>
      <c r="C40" s="572">
        <f>'数据-汇总表'!D3</f>
        <v>97473.98</v>
      </c>
      <c r="D40" s="573">
        <v>100</v>
      </c>
      <c r="E40" s="572">
        <f>土地案例!I2</f>
        <v>19759</v>
      </c>
      <c r="F40" s="573">
        <f>LOOKUP(E40,118:118,119:119)-LOOKUP(C40,118:118,119:119)+100</f>
        <v>98</v>
      </c>
      <c r="G40" s="572">
        <f>土地案例!I3</f>
        <v>6068.29</v>
      </c>
      <c r="H40" s="573">
        <f>LOOKUP(G40,118:118,119:119)-LOOKUP(C40,118:118,119:119)+100</f>
        <v>98</v>
      </c>
      <c r="I40" s="574">
        <f>土地案例!I4</f>
        <v>29450</v>
      </c>
      <c r="J40" s="573">
        <f>LOOKUP(I40,118:118,119:119)-LOOKUP(C40,118:118,119:119)+100</f>
        <v>98.5</v>
      </c>
      <c r="K40" s="557"/>
      <c r="L40" s="1977"/>
      <c r="M40" s="1967"/>
      <c r="N40" s="1967"/>
      <c r="O40" s="1976"/>
      <c r="P40" s="3665"/>
      <c r="Q40" s="1461" t="str">
        <f>B40</f>
        <v>宗地面积</v>
      </c>
      <c r="R40" s="1462" t="s">
        <v>8</v>
      </c>
      <c r="S40" s="1463">
        <f t="shared" si="10"/>
        <v>98</v>
      </c>
      <c r="T40" s="1462" t="s">
        <v>8</v>
      </c>
      <c r="U40" s="1463">
        <f t="shared" si="11"/>
        <v>98</v>
      </c>
      <c r="V40" s="1462" t="s">
        <v>8</v>
      </c>
      <c r="W40" s="1463">
        <f t="shared" si="12"/>
        <v>98.5</v>
      </c>
      <c r="X40" s="1456"/>
      <c r="Y40" s="3665"/>
      <c r="Z40" s="1464" t="str">
        <f t="shared" si="13"/>
        <v>宗地面积</v>
      </c>
      <c r="AA40" s="1465">
        <f t="shared" si="3"/>
        <v>1.0204081632653061</v>
      </c>
      <c r="AB40" s="1465">
        <f t="shared" si="4"/>
        <v>1.0204081632653061</v>
      </c>
      <c r="AC40" s="1465">
        <f t="shared" si="5"/>
        <v>1.015228426395939</v>
      </c>
    </row>
    <row r="41" spans="1:29" ht="20.25">
      <c r="A41" s="570"/>
      <c r="B41" s="503" t="s">
        <v>536</v>
      </c>
      <c r="C41" s="575" t="s">
        <v>4191</v>
      </c>
      <c r="D41" s="516">
        <v>100</v>
      </c>
      <c r="E41" s="575" t="s">
        <v>4191</v>
      </c>
      <c r="F41" s="516">
        <f>SUMIF(120:120,E41,121:121)-SUMIF(120:120,C41,121:121)+100</f>
        <v>100</v>
      </c>
      <c r="G41" s="575" t="s">
        <v>4191</v>
      </c>
      <c r="H41" s="516">
        <f>SUMIF(120:120,G41,121:121)-SUMIF(120:120,C41,121:121)+100</f>
        <v>100</v>
      </c>
      <c r="I41" s="575" t="s">
        <v>4191</v>
      </c>
      <c r="J41" s="516">
        <f>SUMIF(120:120,I41,121:121)-SUMIF(120:120,C41,121:121)+100</f>
        <v>100</v>
      </c>
      <c r="K41" s="560">
        <v>1</v>
      </c>
      <c r="L41" s="1977"/>
      <c r="M41" s="1967"/>
      <c r="N41" s="1967"/>
      <c r="O41" s="1976"/>
      <c r="P41" s="3665"/>
      <c r="Q41" s="1461" t="str">
        <f t="shared" ref="Q41:Q47" si="14">B41</f>
        <v>宗地形状</v>
      </c>
      <c r="R41" s="1462" t="s">
        <v>8</v>
      </c>
      <c r="S41" s="1463">
        <f t="shared" si="10"/>
        <v>100</v>
      </c>
      <c r="T41" s="1462" t="s">
        <v>8</v>
      </c>
      <c r="U41" s="1463">
        <f t="shared" si="11"/>
        <v>100</v>
      </c>
      <c r="V41" s="1462" t="s">
        <v>8</v>
      </c>
      <c r="W41" s="1463">
        <f t="shared" si="12"/>
        <v>100</v>
      </c>
      <c r="X41" s="1456"/>
      <c r="Y41" s="3665"/>
      <c r="Z41" s="1464" t="str">
        <f t="shared" si="13"/>
        <v>宗地形状</v>
      </c>
      <c r="AA41" s="1465">
        <f t="shared" si="3"/>
        <v>1</v>
      </c>
      <c r="AB41" s="1465">
        <f t="shared" si="4"/>
        <v>1</v>
      </c>
      <c r="AC41" s="1465">
        <f t="shared" si="5"/>
        <v>1</v>
      </c>
    </row>
    <row r="42" spans="1:29" ht="20.25">
      <c r="A42" s="570"/>
      <c r="B42" s="503" t="s">
        <v>537</v>
      </c>
      <c r="C42" s="575" t="s">
        <v>4193</v>
      </c>
      <c r="D42" s="516">
        <v>100</v>
      </c>
      <c r="E42" s="575" t="s">
        <v>4193</v>
      </c>
      <c r="F42" s="516">
        <f>SUMIF(122:122,E42,123:123)-SUMIF(122:122,C42,123:123)+100</f>
        <v>100</v>
      </c>
      <c r="G42" s="575" t="s">
        <v>4193</v>
      </c>
      <c r="H42" s="516">
        <f>SUMIF(122:122,G42,123:123)-SUMIF(122:122,C42,123:123)+100</f>
        <v>100</v>
      </c>
      <c r="I42" s="575" t="s">
        <v>4193</v>
      </c>
      <c r="J42" s="516">
        <f>SUMIF(122:122,I42,123:123)-SUMIF(122:122,C42,123:123)+100</f>
        <v>100</v>
      </c>
      <c r="K42" s="560">
        <v>1</v>
      </c>
      <c r="L42" s="1977"/>
      <c r="M42" s="1967"/>
      <c r="N42" s="1967"/>
      <c r="O42" s="1976"/>
      <c r="P42" s="3665"/>
      <c r="Q42" s="1461" t="str">
        <f t="shared" si="14"/>
        <v>临街宽度及深度</v>
      </c>
      <c r="R42" s="1462" t="s">
        <v>8</v>
      </c>
      <c r="S42" s="1463">
        <f t="shared" si="10"/>
        <v>100</v>
      </c>
      <c r="T42" s="1462" t="s">
        <v>8</v>
      </c>
      <c r="U42" s="1463">
        <f t="shared" si="11"/>
        <v>100</v>
      </c>
      <c r="V42" s="1462" t="s">
        <v>8</v>
      </c>
      <c r="W42" s="1463">
        <f t="shared" si="12"/>
        <v>100</v>
      </c>
      <c r="X42" s="1456"/>
      <c r="Y42" s="3665"/>
      <c r="Z42" s="1464" t="str">
        <f t="shared" si="13"/>
        <v>临街宽度及深度</v>
      </c>
      <c r="AA42" s="1465">
        <f t="shared" si="3"/>
        <v>1</v>
      </c>
      <c r="AB42" s="1465">
        <f t="shared" si="4"/>
        <v>1</v>
      </c>
      <c r="AC42" s="1465">
        <f t="shared" si="5"/>
        <v>1</v>
      </c>
    </row>
    <row r="43" spans="1:29" s="1165" customFormat="1" ht="20.25">
      <c r="A43" s="576"/>
      <c r="B43" s="1763" t="s">
        <v>2211</v>
      </c>
      <c r="C43" s="577" t="s">
        <v>4220</v>
      </c>
      <c r="D43" s="252">
        <v>100</v>
      </c>
      <c r="E43" s="577" t="s">
        <v>3238</v>
      </c>
      <c r="F43" s="516">
        <f>SUMIF(124:124,E43,125:125)-SUMIF(124:124,C43,125:125)+100</f>
        <v>101</v>
      </c>
      <c r="G43" s="577" t="s">
        <v>3238</v>
      </c>
      <c r="H43" s="516">
        <f>SUMIF(124:124,G43,125:125)-SUMIF(124:124,C43,125:125)+100</f>
        <v>101</v>
      </c>
      <c r="I43" s="577" t="s">
        <v>3238</v>
      </c>
      <c r="J43" s="516">
        <f>SUMIF(124:124,I43,125:125)-SUMIF(124:124,C43,125:125)+100</f>
        <v>101</v>
      </c>
      <c r="K43" s="560">
        <v>1</v>
      </c>
      <c r="L43" s="1970"/>
      <c r="M43" s="1967"/>
      <c r="N43" s="1967"/>
      <c r="O43" s="1972"/>
      <c r="P43" s="3665"/>
      <c r="Q43" s="1461" t="str">
        <f t="shared" si="14"/>
        <v>宗地开发程度</v>
      </c>
      <c r="R43" s="1457" t="s">
        <v>8</v>
      </c>
      <c r="S43" s="1458">
        <f t="shared" si="10"/>
        <v>101</v>
      </c>
      <c r="T43" s="1457" t="s">
        <v>8</v>
      </c>
      <c r="U43" s="1458">
        <f t="shared" si="11"/>
        <v>101</v>
      </c>
      <c r="V43" s="1457" t="s">
        <v>8</v>
      </c>
      <c r="W43" s="1458">
        <f t="shared" si="12"/>
        <v>101</v>
      </c>
      <c r="X43" s="1459"/>
      <c r="Y43" s="3665"/>
      <c r="Z43" s="1095" t="str">
        <f t="shared" si="13"/>
        <v>宗地开发程度</v>
      </c>
      <c r="AA43" s="1460">
        <f t="shared" si="3"/>
        <v>0.99009900990099009</v>
      </c>
      <c r="AB43" s="1460">
        <f t="shared" si="4"/>
        <v>0.99009900990099009</v>
      </c>
      <c r="AC43" s="1460">
        <f t="shared" si="5"/>
        <v>0.99009900990099009</v>
      </c>
    </row>
    <row r="44" spans="1:29" ht="21" thickBot="1">
      <c r="A44" s="570"/>
      <c r="B44" s="503" t="s">
        <v>538</v>
      </c>
      <c r="C44" s="575" t="s">
        <v>3257</v>
      </c>
      <c r="D44" s="516">
        <v>100</v>
      </c>
      <c r="E44" s="575" t="s">
        <v>3257</v>
      </c>
      <c r="F44" s="516">
        <f>SUMIF(126:126,E44,127:127)-SUMIF(126:126,C44,127:127)+100</f>
        <v>100</v>
      </c>
      <c r="G44" s="575" t="s">
        <v>3257</v>
      </c>
      <c r="H44" s="516">
        <f>SUMIF(126:126,G44,127:127)-SUMIF(126:126,C44,127:127)+100</f>
        <v>100</v>
      </c>
      <c r="I44" s="575" t="s">
        <v>3257</v>
      </c>
      <c r="J44" s="516">
        <f>SUMIF(126:126,I44,127:127)-SUMIF(126:126,C44,127:127)+100</f>
        <v>100</v>
      </c>
      <c r="K44" s="560">
        <v>1</v>
      </c>
      <c r="L44" s="1977"/>
      <c r="M44" s="1967"/>
      <c r="N44" s="1967"/>
      <c r="O44" s="1976"/>
      <c r="P44" s="3665" t="s">
        <v>533</v>
      </c>
      <c r="Q44" s="1461" t="str">
        <f t="shared" si="14"/>
        <v>工程地质条件</v>
      </c>
      <c r="R44" s="1462" t="s">
        <v>8</v>
      </c>
      <c r="S44" s="1463">
        <f t="shared" si="10"/>
        <v>100</v>
      </c>
      <c r="T44" s="1462" t="s">
        <v>8</v>
      </c>
      <c r="U44" s="1463">
        <f t="shared" si="11"/>
        <v>100</v>
      </c>
      <c r="V44" s="1462" t="s">
        <v>8</v>
      </c>
      <c r="W44" s="1463">
        <f t="shared" si="12"/>
        <v>100</v>
      </c>
      <c r="X44" s="1456"/>
      <c r="Y44" s="3665" t="s">
        <v>533</v>
      </c>
      <c r="Z44" s="1464" t="str">
        <f t="shared" si="13"/>
        <v>工程地质条件</v>
      </c>
      <c r="AA44" s="1465">
        <f t="shared" si="3"/>
        <v>1</v>
      </c>
      <c r="AB44" s="1465">
        <f t="shared" si="4"/>
        <v>1</v>
      </c>
      <c r="AC44" s="1465">
        <f t="shared" si="5"/>
        <v>1</v>
      </c>
    </row>
    <row r="45" spans="1:29" ht="20.25" hidden="1">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65"/>
      <c r="Q45" s="1461">
        <f t="shared" si="14"/>
        <v>111</v>
      </c>
      <c r="R45" s="1462" t="s">
        <v>8</v>
      </c>
      <c r="S45" s="1463">
        <f t="shared" si="10"/>
        <v>100</v>
      </c>
      <c r="T45" s="1462" t="s">
        <v>8</v>
      </c>
      <c r="U45" s="1463">
        <f t="shared" si="11"/>
        <v>100</v>
      </c>
      <c r="V45" s="1462" t="s">
        <v>8</v>
      </c>
      <c r="W45" s="1463">
        <f t="shared" si="12"/>
        <v>100</v>
      </c>
      <c r="X45" s="1456"/>
      <c r="Y45" s="3665"/>
      <c r="Z45" s="1464">
        <f t="shared" si="13"/>
        <v>111</v>
      </c>
      <c r="AA45" s="1465">
        <f t="shared" si="3"/>
        <v>1</v>
      </c>
      <c r="AB45" s="1465">
        <f t="shared" si="4"/>
        <v>1</v>
      </c>
      <c r="AC45" s="1465">
        <f t="shared" si="5"/>
        <v>1</v>
      </c>
    </row>
    <row r="46" spans="1:29" ht="20.25" hidden="1">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65"/>
      <c r="Q46" s="1461">
        <f t="shared" si="14"/>
        <v>111</v>
      </c>
      <c r="R46" s="1462" t="s">
        <v>8</v>
      </c>
      <c r="S46" s="1463">
        <f t="shared" si="10"/>
        <v>100</v>
      </c>
      <c r="T46" s="1462" t="s">
        <v>8</v>
      </c>
      <c r="U46" s="1463">
        <f t="shared" si="11"/>
        <v>100</v>
      </c>
      <c r="V46" s="1462" t="s">
        <v>8</v>
      </c>
      <c r="W46" s="1463">
        <f t="shared" si="12"/>
        <v>100</v>
      </c>
      <c r="X46" s="1456"/>
      <c r="Y46" s="3665"/>
      <c r="Z46" s="1464">
        <f t="shared" si="13"/>
        <v>111</v>
      </c>
      <c r="AA46" s="1465">
        <f t="shared" si="3"/>
        <v>1</v>
      </c>
      <c r="AB46" s="1465">
        <f t="shared" si="4"/>
        <v>1</v>
      </c>
      <c r="AC46" s="1465">
        <f t="shared" si="5"/>
        <v>1</v>
      </c>
    </row>
    <row r="47" spans="1:29" s="1247" customFormat="1" ht="21" hidden="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65"/>
      <c r="Q47" s="1461">
        <f t="shared" si="14"/>
        <v>111</v>
      </c>
      <c r="R47" s="1466" t="s">
        <v>8</v>
      </c>
      <c r="S47" s="1467">
        <f t="shared" si="10"/>
        <v>100</v>
      </c>
      <c r="T47" s="1466" t="s">
        <v>8</v>
      </c>
      <c r="U47" s="1467">
        <f t="shared" si="11"/>
        <v>100</v>
      </c>
      <c r="V47" s="1466" t="s">
        <v>8</v>
      </c>
      <c r="W47" s="1467">
        <f t="shared" si="12"/>
        <v>100</v>
      </c>
      <c r="X47" s="1468"/>
      <c r="Y47" s="3665"/>
      <c r="Z47" s="1469">
        <f t="shared" si="13"/>
        <v>111</v>
      </c>
      <c r="AA47" s="1465">
        <f t="shared" si="3"/>
        <v>1</v>
      </c>
      <c r="AB47" s="1465">
        <f t="shared" si="4"/>
        <v>1</v>
      </c>
      <c r="AC47" s="1465">
        <f t="shared" si="5"/>
        <v>1</v>
      </c>
    </row>
    <row r="48" spans="1:29" ht="20.25">
      <c r="A48" s="583" t="s">
        <v>539</v>
      </c>
      <c r="B48" s="584" t="s">
        <v>4189</v>
      </c>
      <c r="C48" s="585" t="s">
        <v>1</v>
      </c>
      <c r="D48" s="586"/>
      <c r="E48" s="587">
        <f>土地案例!AN2</f>
        <v>10000</v>
      </c>
      <c r="F48" s="588"/>
      <c r="G48" s="589">
        <f>土地案例!AN3</f>
        <v>10350</v>
      </c>
      <c r="H48" s="590"/>
      <c r="I48" s="587">
        <f>土地案例!AN4</f>
        <v>11886</v>
      </c>
      <c r="J48" s="590"/>
      <c r="K48" s="1248"/>
      <c r="L48" s="1979"/>
      <c r="M48" s="1967"/>
      <c r="N48" s="1967"/>
      <c r="O48" s="1980"/>
      <c r="P48" s="3660" t="str">
        <f>A48</f>
        <v>成交单价</v>
      </c>
      <c r="Q48" s="3660"/>
      <c r="R48" s="3676">
        <f>E48</f>
        <v>10000</v>
      </c>
      <c r="S48" s="3676"/>
      <c r="T48" s="3676">
        <f>G48</f>
        <v>10350</v>
      </c>
      <c r="U48" s="3676"/>
      <c r="V48" s="3676">
        <f>I48</f>
        <v>11886</v>
      </c>
      <c r="W48" s="3676"/>
      <c r="X48" s="1451"/>
      <c r="Y48" s="1470"/>
      <c r="Z48" s="1451"/>
      <c r="AA48" s="1451"/>
      <c r="AB48" s="1451"/>
      <c r="AC48" s="1451"/>
    </row>
    <row r="49" spans="1:29" ht="21" thickBot="1">
      <c r="A49" s="591" t="s">
        <v>2410</v>
      </c>
      <c r="B49" s="592"/>
      <c r="C49" s="593">
        <f>R50</f>
        <v>9630</v>
      </c>
      <c r="D49" s="2920" t="s">
        <v>2697</v>
      </c>
      <c r="E49" s="593">
        <f>R49</f>
        <v>8686</v>
      </c>
      <c r="F49" s="2921"/>
      <c r="G49" s="594">
        <f>T49</f>
        <v>8990</v>
      </c>
      <c r="H49" s="2921"/>
      <c r="I49" s="593">
        <f>V49</f>
        <v>11214</v>
      </c>
      <c r="J49" s="2921"/>
      <c r="K49" s="2922">
        <f>F49+H49+J49</f>
        <v>0</v>
      </c>
      <c r="L49" s="1979"/>
      <c r="M49" s="1967"/>
      <c r="N49" s="1967"/>
      <c r="O49" s="1980"/>
      <c r="P49" s="3660" t="str">
        <f>A49</f>
        <v>比较价格（元/平方米）</v>
      </c>
      <c r="Q49" s="3660"/>
      <c r="R49" s="3684">
        <f>ROUND(PRODUCT(R48,AA9:AA47),0)</f>
        <v>8686</v>
      </c>
      <c r="S49" s="3684"/>
      <c r="T49" s="3684">
        <f>ROUND(PRODUCT(T48,AB9:AB47),0)</f>
        <v>8990</v>
      </c>
      <c r="U49" s="3684"/>
      <c r="V49" s="3684">
        <f>ROUND(PRODUCT(V48,AC9:AC47),0)</f>
        <v>11214</v>
      </c>
      <c r="W49" s="3684"/>
      <c r="X49" s="1451"/>
      <c r="Y49" s="1451"/>
      <c r="Z49" s="1451"/>
      <c r="AA49" s="1451"/>
      <c r="AB49" s="1451"/>
      <c r="AC49" s="1451"/>
    </row>
    <row r="50" spans="1:29" ht="21" thickBot="1">
      <c r="A50" s="595" t="s">
        <v>2632</v>
      </c>
      <c r="B50" s="596"/>
      <c r="C50" s="597">
        <f>R50</f>
        <v>9630</v>
      </c>
      <c r="D50" s="597"/>
      <c r="E50" s="597"/>
      <c r="F50" s="597"/>
      <c r="G50" s="597"/>
      <c r="H50" s="597"/>
      <c r="I50" s="597"/>
      <c r="J50" s="597"/>
      <c r="K50" s="1249"/>
      <c r="L50" s="1979"/>
      <c r="M50" s="1967"/>
      <c r="N50" s="1967"/>
      <c r="O50" s="1980"/>
      <c r="P50" s="3666" t="str">
        <f>A50</f>
        <v>估价对象XX用房的比较价格（楼面单价，元/平方米）</v>
      </c>
      <c r="Q50" s="3667"/>
      <c r="R50" s="3683">
        <f>ROUND(IF(D49="简单平均",AVERAGE(R49:W49),R49*F49+T49*H49+V49*J49),0)</f>
        <v>9630</v>
      </c>
      <c r="S50" s="3683"/>
      <c r="T50" s="3683"/>
      <c r="U50" s="3683"/>
      <c r="V50" s="3683"/>
      <c r="W50" s="3683"/>
      <c r="X50" s="1451"/>
      <c r="Y50" s="1451"/>
      <c r="Z50" s="1451"/>
      <c r="AA50" s="1451"/>
      <c r="AB50" s="1451"/>
      <c r="AC50" s="1451"/>
    </row>
    <row r="51" spans="1:29" ht="20.25">
      <c r="A51" s="3120"/>
      <c r="B51" s="3120"/>
      <c r="C51" s="3120"/>
      <c r="D51" s="3120"/>
      <c r="E51" s="3120"/>
      <c r="F51" s="3120"/>
      <c r="G51" s="3122"/>
      <c r="H51" s="3120"/>
      <c r="I51" s="3120"/>
      <c r="J51" s="3120"/>
      <c r="K51" s="3123"/>
      <c r="L51" s="1984"/>
      <c r="M51" s="1967"/>
      <c r="N51" s="1967"/>
      <c r="O51" s="1980"/>
      <c r="P51" s="1980"/>
      <c r="Q51" s="1980"/>
      <c r="R51" s="1980"/>
      <c r="S51" s="1980"/>
      <c r="T51" s="1980"/>
      <c r="U51" s="1980"/>
      <c r="V51" s="1980"/>
      <c r="W51" s="1980"/>
      <c r="X51" s="1980"/>
      <c r="Y51" s="1980"/>
      <c r="Z51" s="1980"/>
      <c r="AA51" s="1980"/>
      <c r="AB51" s="1980"/>
      <c r="AC51" s="1980"/>
    </row>
    <row r="52" spans="1:29" ht="20.25">
      <c r="A52" s="3120"/>
      <c r="B52" s="3120"/>
      <c r="C52" s="3120"/>
      <c r="D52" s="3120"/>
      <c r="E52" s="3120"/>
      <c r="F52" s="3120"/>
      <c r="G52" s="3120"/>
      <c r="H52" s="3120"/>
      <c r="I52" s="3120"/>
      <c r="J52" s="3120"/>
      <c r="K52" s="3123"/>
      <c r="L52" s="1984"/>
      <c r="M52" s="1967"/>
      <c r="N52" s="1967"/>
      <c r="O52" s="1980"/>
      <c r="P52" s="1980"/>
      <c r="Q52" s="1980"/>
      <c r="R52" s="1980"/>
      <c r="S52" s="1980"/>
      <c r="T52" s="1980"/>
      <c r="U52" s="1980"/>
      <c r="V52" s="1980"/>
      <c r="W52" s="1980"/>
      <c r="X52" s="1980"/>
      <c r="Y52" s="1980"/>
      <c r="Z52" s="1980"/>
      <c r="AA52" s="1980"/>
      <c r="AB52" s="1980"/>
      <c r="AC52" s="1980"/>
    </row>
    <row r="53" spans="1:29" ht="20.25">
      <c r="A53" s="3120"/>
      <c r="B53" s="3120"/>
      <c r="C53" s="598" t="s">
        <v>540</v>
      </c>
      <c r="D53" s="599"/>
      <c r="E53" s="600">
        <f>IF(E48&lt;E49,E49/E48-1,E48/E49-1)</f>
        <v>0.15127791848952343</v>
      </c>
      <c r="F53" s="601" t="str">
        <f>IF(OR(E53&gt;=0.3,E53&lt;=-0.3),"超过30%","")</f>
        <v/>
      </c>
      <c r="G53" s="600">
        <f>IF(G48&lt;G49,G49/G48-1,G48/G49-1)</f>
        <v>0.15127919911012233</v>
      </c>
      <c r="H53" s="601" t="str">
        <f>IF(OR(G53&gt;=0.3,G53&lt;=-0.3),"超过30%","")</f>
        <v/>
      </c>
      <c r="I53" s="600">
        <f>IF(I48&lt;I49,I49/I48-1,I48/I49-1)</f>
        <v>5.9925093632958726E-2</v>
      </c>
      <c r="J53" s="601" t="str">
        <f>IF(OR(I53&gt;=0.3,I53&lt;=-0.3),"超过30%","")</f>
        <v/>
      </c>
      <c r="K53" s="3123"/>
      <c r="L53" s="1984"/>
      <c r="M53" s="1967"/>
      <c r="N53" s="1967"/>
      <c r="O53" s="1980"/>
      <c r="P53" s="1980"/>
      <c r="Q53" s="1980"/>
      <c r="R53" s="1980"/>
      <c r="S53" s="1980"/>
      <c r="T53" s="1980"/>
      <c r="U53" s="1980"/>
      <c r="V53" s="1980"/>
      <c r="W53" s="1980"/>
      <c r="X53" s="1980"/>
      <c r="Y53" s="1980"/>
      <c r="Z53" s="1980"/>
      <c r="AA53" s="1980"/>
      <c r="AB53" s="1980"/>
      <c r="AC53" s="1980"/>
    </row>
    <row r="54" spans="1:29" ht="20.25">
      <c r="A54" s="3120"/>
      <c r="B54" s="3120"/>
      <c r="C54" s="598" t="s">
        <v>541</v>
      </c>
      <c r="D54" s="602"/>
      <c r="E54" s="600">
        <f>IF(E49&lt;G49,G49/E49-1,E49/G49-1)</f>
        <v>3.4998848722081588E-2</v>
      </c>
      <c r="F54" s="601" t="str">
        <f>IF(OR(E54&gt;=0.2,E54&lt;=-0.2),"超过20%","")</f>
        <v/>
      </c>
      <c r="G54" s="600">
        <f>IF(G49&lt;I49,I49/G49-1,G49/I49-1)</f>
        <v>0.24738598442714133</v>
      </c>
      <c r="H54" s="601" t="str">
        <f>IF(OR(G54&gt;=0.2,G54&lt;=-0.2),"超过20%","")</f>
        <v>超过20%</v>
      </c>
      <c r="I54" s="600">
        <f>IF(I49&lt;E49,E49/I49-1,I49/E49-1)</f>
        <v>0.29104305779415141</v>
      </c>
      <c r="J54" s="601" t="str">
        <f>IF(OR(I54&gt;=0.2,I54&lt;=-0.2),"超过20%","")</f>
        <v>超过20%</v>
      </c>
      <c r="K54" s="3123"/>
      <c r="L54" s="1984"/>
      <c r="M54" s="1967"/>
      <c r="N54" s="1967"/>
      <c r="O54" s="1980"/>
      <c r="P54" s="1980"/>
      <c r="Q54" s="1980"/>
      <c r="R54" s="1980"/>
      <c r="S54" s="1980"/>
      <c r="T54" s="1980"/>
      <c r="U54" s="1980"/>
      <c r="V54" s="1980"/>
      <c r="W54" s="1980"/>
      <c r="X54" s="1980"/>
      <c r="Y54" s="1980"/>
      <c r="Z54" s="1980"/>
      <c r="AA54" s="1980"/>
      <c r="AB54" s="1980"/>
      <c r="AC54" s="1980"/>
    </row>
    <row r="55" spans="1:29" s="1252" customFormat="1" ht="20.25">
      <c r="A55" s="3121"/>
      <c r="B55" s="3121"/>
      <c r="C55" s="598" t="s">
        <v>542</v>
      </c>
      <c r="D55" s="602"/>
      <c r="E55" s="600">
        <f>IF(E48&lt;G48,G48/E48-1,E48/G48-1)</f>
        <v>3.499999999999992E-2</v>
      </c>
      <c r="F55" s="601" t="str">
        <f>IF(OR(E55&gt;=0.3,E55&lt;=-0.3),"超过30%","")</f>
        <v/>
      </c>
      <c r="G55" s="600">
        <f>IF(G48&lt;I48,I48/G48-1,G48/I48-1)</f>
        <v>0.14840579710144919</v>
      </c>
      <c r="H55" s="601" t="str">
        <f>IF(OR(G55&gt;=0.3,G55&lt;=-0.3),"超过30%","")</f>
        <v/>
      </c>
      <c r="I55" s="600">
        <f>IF(I48&lt;E48,E48/I48-1,I48/E48-1)</f>
        <v>0.1886000000000001</v>
      </c>
      <c r="J55" s="601" t="str">
        <f>IF(OR(I55&gt;=0.3,I55&lt;=-0.3),"超过30%","")</f>
        <v/>
      </c>
      <c r="K55" s="3124"/>
      <c r="L55" s="1987"/>
      <c r="M55" s="1967"/>
      <c r="N55" s="1967"/>
      <c r="O55" s="1981"/>
      <c r="P55" s="1981"/>
      <c r="Q55" s="1981"/>
      <c r="R55" s="1981"/>
      <c r="S55" s="1981"/>
      <c r="T55" s="1981"/>
      <c r="U55" s="1981"/>
      <c r="V55" s="1981"/>
      <c r="W55" s="1981"/>
      <c r="X55" s="1981"/>
      <c r="Y55" s="1981"/>
      <c r="Z55" s="1981"/>
      <c r="AA55" s="1981"/>
      <c r="AB55" s="1981"/>
      <c r="AC55" s="1981"/>
    </row>
    <row r="56" spans="1:29" s="1252" customFormat="1" ht="21" thickBot="1">
      <c r="A56" s="1981"/>
      <c r="B56" s="1982"/>
      <c r="C56" s="1985"/>
      <c r="D56" s="1981"/>
      <c r="E56" s="1981"/>
      <c r="F56" s="1981"/>
      <c r="G56" s="1981"/>
      <c r="H56" s="1981"/>
      <c r="I56" s="1981"/>
      <c r="J56" s="1981"/>
      <c r="K56" s="3124"/>
      <c r="L56" s="1987"/>
      <c r="M56" s="1967"/>
      <c r="N56" s="1967"/>
      <c r="O56" s="1981"/>
      <c r="P56" s="1981"/>
      <c r="Q56" s="1981"/>
      <c r="R56" s="1981"/>
      <c r="S56" s="1981"/>
      <c r="T56" s="1981"/>
      <c r="U56" s="1981"/>
      <c r="V56" s="1981"/>
      <c r="W56" s="1981"/>
      <c r="X56" s="1981"/>
      <c r="Y56" s="1981"/>
      <c r="Z56" s="1981"/>
      <c r="AA56" s="1981"/>
      <c r="AB56" s="1981"/>
      <c r="AC56" s="1981"/>
    </row>
    <row r="57" spans="1:29" ht="27">
      <c r="A57" s="603" t="s">
        <v>543</v>
      </c>
      <c r="B57" s="604" t="s">
        <v>544</v>
      </c>
      <c r="C57" s="1452" t="s">
        <v>1524</v>
      </c>
      <c r="D57" s="2060" t="s">
        <v>2083</v>
      </c>
      <c r="E57" s="605" t="s">
        <v>545</v>
      </c>
      <c r="F57" s="606" t="s">
        <v>546</v>
      </c>
      <c r="G57" s="3645" t="s">
        <v>2072</v>
      </c>
      <c r="H57" s="3646"/>
      <c r="I57" s="1448" t="s">
        <v>1522</v>
      </c>
      <c r="J57" s="1448" t="str">
        <f>项目基本情况!F41</f>
        <v>海南省</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3" customFormat="1" ht="12.75">
      <c r="A58" s="607" t="s">
        <v>547</v>
      </c>
      <c r="B58" s="608">
        <f>C50</f>
        <v>9630</v>
      </c>
      <c r="C58" s="609">
        <v>1</v>
      </c>
      <c r="D58" s="2061">
        <v>1</v>
      </c>
      <c r="E58" s="609">
        <f>'数据-汇总表'!E8+'数据-汇总表'!E9</f>
        <v>43511.83</v>
      </c>
      <c r="F58" s="610">
        <f t="shared" ref="F58:F66" si="15">ROUND(B58*E58/10000,0)</f>
        <v>41902</v>
      </c>
      <c r="G58" s="3647"/>
      <c r="H58" s="3648"/>
      <c r="I58" s="1449">
        <v>1</v>
      </c>
      <c r="J58" s="1449">
        <v>1</v>
      </c>
      <c r="K58" s="3125"/>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548</v>
      </c>
      <c r="B59" s="612">
        <f>ROUND($C$50*C59*D59,0)</f>
        <v>0</v>
      </c>
      <c r="C59" s="371">
        <f t="shared" ref="C59:C66" si="16">IF($C$57="北京市系数",I59,J59)</f>
        <v>0</v>
      </c>
      <c r="D59" s="2062">
        <v>0.25</v>
      </c>
      <c r="E59" s="613">
        <v>0</v>
      </c>
      <c r="F59" s="610">
        <f t="shared" si="15"/>
        <v>0</v>
      </c>
      <c r="G59" s="3441" t="s">
        <v>2073</v>
      </c>
      <c r="H59" s="1816">
        <f>项目基本情况!B43</f>
        <v>0</v>
      </c>
      <c r="I59" s="1449">
        <f>SUMIF(修正!$A$57:$A$68,H59,修正!B57:B68)</f>
        <v>0</v>
      </c>
      <c r="J59" s="1450"/>
      <c r="K59" s="3125"/>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549</v>
      </c>
      <c r="B60" s="612">
        <f t="shared" ref="B60:B66" si="17">ROUND($C$50*C60*D60,0)</f>
        <v>0</v>
      </c>
      <c r="C60" s="371">
        <f t="shared" si="16"/>
        <v>0</v>
      </c>
      <c r="D60" s="2062">
        <v>0.25</v>
      </c>
      <c r="E60" s="613">
        <v>0</v>
      </c>
      <c r="F60" s="610">
        <f t="shared" si="15"/>
        <v>0</v>
      </c>
      <c r="G60" s="3442"/>
      <c r="H60" s="1816">
        <f>项目基本情况!B43</f>
        <v>0</v>
      </c>
      <c r="I60" s="1449">
        <f>SUMIF(修正!$A$57:$A$68,H60,修正!C57:C68)</f>
        <v>0</v>
      </c>
      <c r="J60" s="1450"/>
      <c r="K60" s="3125"/>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2.75">
      <c r="A61" s="611" t="s">
        <v>550</v>
      </c>
      <c r="B61" s="612">
        <f t="shared" si="17"/>
        <v>0</v>
      </c>
      <c r="C61" s="371">
        <f t="shared" si="16"/>
        <v>0</v>
      </c>
      <c r="D61" s="2062">
        <v>0.25</v>
      </c>
      <c r="E61" s="613">
        <v>0</v>
      </c>
      <c r="F61" s="610">
        <f t="shared" si="15"/>
        <v>0</v>
      </c>
      <c r="G61" s="3442"/>
      <c r="H61" s="1816">
        <f>项目基本情况!B43</f>
        <v>0</v>
      </c>
      <c r="I61" s="1449">
        <f>SUMIF(修正!$A$57:$A$68,H61,修正!D57:D68)</f>
        <v>0</v>
      </c>
      <c r="J61" s="1450"/>
      <c r="K61" s="3125"/>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2.75">
      <c r="A62" s="2164" t="s">
        <v>2118</v>
      </c>
      <c r="B62" s="612">
        <f t="shared" si="17"/>
        <v>0</v>
      </c>
      <c r="C62" s="371">
        <f t="shared" si="16"/>
        <v>0</v>
      </c>
      <c r="D62" s="2062">
        <v>0.25</v>
      </c>
      <c r="E62" s="615">
        <f>'数据-汇总表'!E11</f>
        <v>0</v>
      </c>
      <c r="F62" s="610">
        <f t="shared" si="15"/>
        <v>0</v>
      </c>
      <c r="G62" s="1813" t="s">
        <v>2074</v>
      </c>
      <c r="H62" s="1816">
        <f>项目基本情况!C43</f>
        <v>0</v>
      </c>
      <c r="I62" s="1449">
        <f>SUMIF(修正!$A$57:$A$68,H62,修正!E57:E68)</f>
        <v>0</v>
      </c>
      <c r="J62" s="1450"/>
      <c r="K62" s="3125"/>
      <c r="L62" s="1989"/>
      <c r="M62" s="1989"/>
      <c r="N62" s="1989"/>
      <c r="O62" s="1989"/>
      <c r="P62" s="1989"/>
      <c r="Q62" s="1989"/>
      <c r="R62" s="1989"/>
      <c r="S62" s="1989"/>
      <c r="T62" s="1989"/>
      <c r="U62" s="1989"/>
      <c r="V62" s="1989"/>
      <c r="W62" s="1989"/>
      <c r="X62" s="1989"/>
      <c r="Y62" s="1989"/>
      <c r="Z62" s="1989"/>
      <c r="AA62" s="1989"/>
      <c r="AB62" s="1989"/>
      <c r="AC62" s="1989"/>
    </row>
    <row r="63" spans="1:29" s="1253" customFormat="1" ht="12.75">
      <c r="A63" s="611" t="s">
        <v>551</v>
      </c>
      <c r="B63" s="612">
        <f t="shared" si="17"/>
        <v>0</v>
      </c>
      <c r="C63" s="371">
        <f t="shared" si="16"/>
        <v>0</v>
      </c>
      <c r="D63" s="2062">
        <v>0.25</v>
      </c>
      <c r="E63" s="615">
        <f>'数据-汇总表'!E12</f>
        <v>0</v>
      </c>
      <c r="F63" s="610">
        <f t="shared" si="15"/>
        <v>0</v>
      </c>
      <c r="G63" s="1814" t="s">
        <v>1477</v>
      </c>
      <c r="H63" s="1812">
        <f>IF(G63="商业",项目基本情况!B43,IF(G63="办公",项目基本情况!C43,IF(G63="住宅",项目基本情况!D43,项目基本情况!E43)))</f>
        <v>0</v>
      </c>
      <c r="I63" s="1449">
        <f>SUMIF(修正!$A$57:$A$68,H63,修正!F57:F68)</f>
        <v>0</v>
      </c>
      <c r="J63" s="1450"/>
      <c r="K63" s="3125"/>
      <c r="L63" s="1989"/>
      <c r="M63" s="1989"/>
      <c r="N63" s="1989"/>
      <c r="O63" s="1989"/>
      <c r="P63" s="1989"/>
      <c r="Q63" s="1989"/>
      <c r="R63" s="1989"/>
      <c r="S63" s="1989"/>
      <c r="T63" s="1989"/>
      <c r="U63" s="1989"/>
      <c r="V63" s="1989"/>
      <c r="W63" s="1989"/>
      <c r="X63" s="1989"/>
      <c r="Y63" s="1989"/>
      <c r="Z63" s="1989"/>
      <c r="AA63" s="1989"/>
      <c r="AB63" s="1989"/>
      <c r="AC63" s="1989"/>
    </row>
    <row r="64" spans="1:29" s="1253" customFormat="1" ht="12.75">
      <c r="A64" s="611" t="s">
        <v>552</v>
      </c>
      <c r="B64" s="612">
        <f t="shared" si="17"/>
        <v>0</v>
      </c>
      <c r="C64" s="371">
        <f t="shared" si="16"/>
        <v>0</v>
      </c>
      <c r="D64" s="2062">
        <v>0.25</v>
      </c>
      <c r="E64" s="615">
        <f>'数据-汇总表'!E13</f>
        <v>7725.79</v>
      </c>
      <c r="F64" s="610">
        <f t="shared" si="15"/>
        <v>0</v>
      </c>
      <c r="G64" s="1814" t="s">
        <v>902</v>
      </c>
      <c r="H64" s="1812">
        <f>IF(G64="商业",项目基本情况!B43,IF(G64="办公",项目基本情况!C43,IF(G64="住宅",项目基本情况!D43,项目基本情况!E43)))</f>
        <v>0</v>
      </c>
      <c r="I64" s="1449">
        <f>SUMIF(修正!$A$57:$A$68,H64,修正!G57:G68)</f>
        <v>0</v>
      </c>
      <c r="J64" s="1450"/>
      <c r="K64" s="3125"/>
      <c r="L64" s="1989"/>
      <c r="M64" s="1989"/>
      <c r="N64" s="1989"/>
      <c r="O64" s="1989"/>
      <c r="P64" s="1989"/>
      <c r="Q64" s="1989"/>
      <c r="R64" s="1989"/>
      <c r="S64" s="1989"/>
      <c r="T64" s="1989"/>
      <c r="U64" s="1989"/>
      <c r="V64" s="1989"/>
      <c r="W64" s="1989"/>
      <c r="X64" s="1989"/>
      <c r="Y64" s="1989"/>
      <c r="Z64" s="1989"/>
      <c r="AA64" s="1989"/>
      <c r="AB64" s="1989"/>
      <c r="AC64" s="1989"/>
    </row>
    <row r="65" spans="1:29" s="1253"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5"/>
      <c r="L65" s="1989"/>
      <c r="M65" s="1989"/>
      <c r="N65" s="1989"/>
      <c r="O65" s="1989"/>
      <c r="P65" s="1989"/>
      <c r="Q65" s="1989"/>
      <c r="R65" s="1989"/>
      <c r="S65" s="1989"/>
      <c r="T65" s="1989"/>
      <c r="U65" s="1989"/>
      <c r="V65" s="1989"/>
      <c r="W65" s="1989"/>
      <c r="X65" s="1989"/>
      <c r="Y65" s="1989"/>
      <c r="Z65" s="1989"/>
      <c r="AA65" s="1989"/>
      <c r="AB65" s="1989"/>
      <c r="AC65" s="1989"/>
    </row>
    <row r="66" spans="1:29" s="1253"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5"/>
      <c r="L66" s="1989"/>
      <c r="M66" s="1989"/>
      <c r="N66" s="1989"/>
      <c r="O66" s="1989"/>
      <c r="P66" s="1989"/>
      <c r="Q66" s="1989"/>
      <c r="R66" s="1989"/>
      <c r="S66" s="1989"/>
      <c r="T66" s="1989"/>
      <c r="U66" s="1989"/>
      <c r="V66" s="1989"/>
      <c r="W66" s="1989"/>
      <c r="X66" s="1989"/>
      <c r="Y66" s="1989"/>
      <c r="Z66" s="1989"/>
      <c r="AA66" s="1989"/>
      <c r="AB66" s="1989"/>
      <c r="AC66" s="1989"/>
    </row>
    <row r="67" spans="1:29" s="1253" customFormat="1" ht="13.5" thickBot="1">
      <c r="A67" s="616" t="s">
        <v>555</v>
      </c>
      <c r="B67" s="617" t="s">
        <v>17</v>
      </c>
      <c r="C67" s="617" t="s">
        <v>18</v>
      </c>
      <c r="D67" s="617" t="s">
        <v>2084</v>
      </c>
      <c r="E67" s="617">
        <f>IF(B48="楼面地价",SUM(E58:E66),'数据-汇总表'!D3)</f>
        <v>51237.62</v>
      </c>
      <c r="F67" s="618">
        <f>IF(B48="楼面地价",SUM(F58:F66),ROUND(C50*E67/10000,0))</f>
        <v>41902</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2022-6-1</v>
      </c>
      <c r="D69" s="2437">
        <f>EDATE(C69,-3)</f>
        <v>44621</v>
      </c>
      <c r="E69" s="2437">
        <f t="shared" ref="E69:N69" si="18">EDATE(D69,-3)</f>
        <v>44531</v>
      </c>
      <c r="F69" s="2437">
        <f t="shared" si="18"/>
        <v>44440</v>
      </c>
      <c r="G69" s="2437">
        <f t="shared" si="18"/>
        <v>44348</v>
      </c>
      <c r="H69" s="2437">
        <f t="shared" si="18"/>
        <v>44256</v>
      </c>
      <c r="I69" s="2437">
        <f t="shared" si="18"/>
        <v>44166</v>
      </c>
      <c r="J69" s="2437">
        <f t="shared" si="18"/>
        <v>44075</v>
      </c>
      <c r="K69" s="2437">
        <f t="shared" si="18"/>
        <v>43983</v>
      </c>
      <c r="L69" s="2437">
        <f t="shared" si="18"/>
        <v>43891</v>
      </c>
      <c r="M69" s="2437">
        <f t="shared" si="18"/>
        <v>43800</v>
      </c>
      <c r="N69" s="2437">
        <f t="shared" si="18"/>
        <v>43709</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4" customFormat="1" ht="15">
      <c r="A71" s="2342" t="s">
        <v>2250</v>
      </c>
      <c r="B71" s="2343"/>
      <c r="C71" s="2434" t="str">
        <f>YEAR(C69)&amp;"-"&amp;ROUNDUP(MONTH(C69)/3,0)</f>
        <v>2022-2</v>
      </c>
      <c r="D71" s="2439" t="str">
        <f>YEAR(D69)&amp;"-"&amp;ROUNDUP(MONTH(D69)/3,0)</f>
        <v>2022-1</v>
      </c>
      <c r="E71" s="2439" t="str">
        <f t="shared" ref="E71:N71" si="19">YEAR(E69)&amp;"-"&amp;ROUNDUP(MONTH(E69)/3,0)</f>
        <v>2021-4</v>
      </c>
      <c r="F71" s="2439" t="str">
        <f t="shared" si="19"/>
        <v>2021-3</v>
      </c>
      <c r="G71" s="2439" t="str">
        <f t="shared" si="19"/>
        <v>2021-2</v>
      </c>
      <c r="H71" s="2439" t="str">
        <f t="shared" si="19"/>
        <v>2021-1</v>
      </c>
      <c r="I71" s="2439" t="str">
        <f t="shared" si="19"/>
        <v>2020-4</v>
      </c>
      <c r="J71" s="2439" t="str">
        <f t="shared" si="19"/>
        <v>2020-3</v>
      </c>
      <c r="K71" s="2439" t="str">
        <f t="shared" si="19"/>
        <v>2020-2</v>
      </c>
      <c r="L71" s="2439" t="str">
        <f t="shared" si="19"/>
        <v>2020-1</v>
      </c>
      <c r="M71" s="2439" t="str">
        <f t="shared" si="19"/>
        <v>2019-4</v>
      </c>
      <c r="N71" s="2439" t="str">
        <f t="shared" si="19"/>
        <v>2019-3</v>
      </c>
      <c r="O71" s="1993"/>
      <c r="P71" s="1994"/>
      <c r="Q71" s="1995"/>
      <c r="R71" s="1995"/>
      <c r="S71" s="1995"/>
      <c r="T71" s="1995"/>
      <c r="U71" s="1995"/>
      <c r="V71" s="1995"/>
      <c r="W71" s="1995"/>
      <c r="X71" s="1995"/>
      <c r="Y71" s="1995"/>
      <c r="Z71" s="1995"/>
      <c r="AA71" s="1995"/>
      <c r="AB71" s="1995"/>
      <c r="AC71" s="1995"/>
    </row>
    <row r="72" spans="1:29" s="1165" customFormat="1" ht="30">
      <c r="A72" s="2444" t="s">
        <v>2364</v>
      </c>
      <c r="B72" s="471" t="str">
        <f>"北京市平均增长率"&amp;TEXT(SUMIF(基准地价!N21:N25,A72,基准地价!P21:P25),"0.00%")</f>
        <v>北京市平均增长率1.60%</v>
      </c>
      <c r="C72" s="864">
        <v>100</v>
      </c>
      <c r="D72" s="704">
        <f>C72-0.5</f>
        <v>99.5</v>
      </c>
      <c r="E72" s="704">
        <f t="shared" ref="E72:N72" si="20">D72-0.5</f>
        <v>99</v>
      </c>
      <c r="F72" s="704">
        <f t="shared" si="20"/>
        <v>98.5</v>
      </c>
      <c r="G72" s="704">
        <f t="shared" si="20"/>
        <v>98</v>
      </c>
      <c r="H72" s="704">
        <f t="shared" si="20"/>
        <v>97.5</v>
      </c>
      <c r="I72" s="704">
        <f t="shared" si="20"/>
        <v>97</v>
      </c>
      <c r="J72" s="704">
        <f t="shared" si="20"/>
        <v>96.5</v>
      </c>
      <c r="K72" s="704">
        <f t="shared" si="20"/>
        <v>96</v>
      </c>
      <c r="L72" s="704">
        <f t="shared" si="20"/>
        <v>95.5</v>
      </c>
      <c r="M72" s="704">
        <f t="shared" si="20"/>
        <v>95</v>
      </c>
      <c r="N72" s="704">
        <f t="shared" si="20"/>
        <v>94.5</v>
      </c>
      <c r="O72" s="1996"/>
      <c r="P72" s="1992"/>
      <c r="Q72" s="1858"/>
      <c r="R72" s="1858"/>
      <c r="S72" s="1858"/>
      <c r="T72" s="1858"/>
      <c r="U72" s="1858"/>
      <c r="V72" s="1858"/>
      <c r="W72" s="1858"/>
      <c r="X72" s="1858"/>
      <c r="Y72" s="1858"/>
      <c r="Z72" s="1858"/>
      <c r="AA72" s="1858"/>
      <c r="AB72" s="1858"/>
      <c r="AC72" s="1858"/>
    </row>
    <row r="73" spans="1:29" s="1165" customFormat="1" ht="15.75"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5"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5"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3452" t="s">
        <v>4188</v>
      </c>
      <c r="D76" s="574"/>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v>100</v>
      </c>
      <c r="D77" s="645"/>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0（含）-1</v>
      </c>
      <c r="D80" s="656" t="str">
        <f t="shared" ref="D80:L80" si="21">D81&amp;"（含）"&amp;"-"&amp;E81</f>
        <v>1（含）-2</v>
      </c>
      <c r="E80" s="656" t="str">
        <f t="shared" si="21"/>
        <v>2（含）-3</v>
      </c>
      <c r="F80" s="656" t="str">
        <f t="shared" si="21"/>
        <v>3（含）-4</v>
      </c>
      <c r="G80" s="656" t="str">
        <f t="shared" si="21"/>
        <v>4（含）-5</v>
      </c>
      <c r="H80" s="656" t="str">
        <f t="shared" si="21"/>
        <v>5（含）-</v>
      </c>
      <c r="I80" s="656" t="str">
        <f t="shared" si="21"/>
        <v>（含）-</v>
      </c>
      <c r="J80" s="656" t="str">
        <f t="shared" si="21"/>
        <v>（含）-</v>
      </c>
      <c r="K80" s="656" t="str">
        <f t="shared" si="21"/>
        <v>（含）-</v>
      </c>
      <c r="L80" s="656" t="str">
        <f t="shared" si="21"/>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1</v>
      </c>
      <c r="E81" s="517">
        <v>2</v>
      </c>
      <c r="F81" s="517">
        <v>3</v>
      </c>
      <c r="G81" s="517">
        <v>4</v>
      </c>
      <c r="H81" s="517">
        <v>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2">IF($B$48="单位面积地价",C82+$K13,C82-$K13)</f>
        <v>95</v>
      </c>
      <c r="E82" s="653">
        <f t="shared" si="22"/>
        <v>90</v>
      </c>
      <c r="F82" s="653">
        <f t="shared" si="22"/>
        <v>85</v>
      </c>
      <c r="G82" s="653">
        <f t="shared" si="22"/>
        <v>80</v>
      </c>
      <c r="H82" s="653">
        <f t="shared" si="22"/>
        <v>75</v>
      </c>
      <c r="I82" s="653">
        <f t="shared" si="22"/>
        <v>70</v>
      </c>
      <c r="J82" s="653">
        <f t="shared" si="22"/>
        <v>65</v>
      </c>
      <c r="K82" s="653">
        <f t="shared" si="22"/>
        <v>60</v>
      </c>
      <c r="L82" s="653">
        <f t="shared" si="22"/>
        <v>55</v>
      </c>
      <c r="M82" s="653">
        <f t="shared" si="22"/>
        <v>50</v>
      </c>
      <c r="N82" s="2000"/>
      <c r="O82" s="2000"/>
      <c r="P82" s="1999"/>
      <c r="Q82" s="1992"/>
      <c r="R82" s="1980"/>
      <c r="S82" s="1980"/>
      <c r="T82" s="1980"/>
      <c r="U82" s="1980"/>
      <c r="V82" s="1980"/>
      <c r="W82" s="1980"/>
      <c r="X82" s="1980"/>
      <c r="Y82" s="1980"/>
      <c r="Z82" s="1980"/>
      <c r="AA82" s="1980"/>
      <c r="AB82" s="1980"/>
      <c r="AC82" s="1980"/>
    </row>
    <row r="83" spans="1:29" s="1247" customFormat="1" ht="15.75" thickTop="1">
      <c r="A83" s="661"/>
      <c r="B83" s="647" t="str">
        <f>B14</f>
        <v>配建</v>
      </c>
      <c r="C83" s="662"/>
      <c r="D83" s="1281"/>
      <c r="E83" s="1282"/>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7"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7" customFormat="1" ht="15.75" thickTop="1">
      <c r="A85" s="661"/>
      <c r="B85" s="647">
        <f>B15</f>
        <v>111</v>
      </c>
      <c r="C85" s="662"/>
      <c r="D85" s="662"/>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7" customFormat="1" ht="15.75" thickBot="1">
      <c r="A86" s="661"/>
      <c r="B86" s="652"/>
      <c r="C86" s="666"/>
      <c r="D86" s="666"/>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7" customFormat="1" ht="15.75" thickTop="1">
      <c r="A87" s="661"/>
      <c r="B87" s="655">
        <f>B16</f>
        <v>111</v>
      </c>
      <c r="C87" s="635"/>
      <c r="D87" s="635"/>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7" customFormat="1" ht="15.75" thickBot="1">
      <c r="A88" s="672"/>
      <c r="B88" s="673"/>
      <c r="C88" s="674"/>
      <c r="D88" s="674"/>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95</v>
      </c>
      <c r="E90" s="653">
        <f>D90-$K17</f>
        <v>90</v>
      </c>
      <c r="F90" s="653">
        <f>E90-$K17</f>
        <v>85</v>
      </c>
      <c r="G90" s="653">
        <f>F90-$K17</f>
        <v>80</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100</v>
      </c>
      <c r="E92" s="653">
        <f>D92-$K19</f>
        <v>100</v>
      </c>
      <c r="F92" s="653">
        <f>E92-$K19</f>
        <v>100</v>
      </c>
      <c r="G92" s="653">
        <f>F92-$K19</f>
        <v>100</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100</v>
      </c>
      <c r="E94" s="653">
        <f>D94-$K21</f>
        <v>100</v>
      </c>
      <c r="F94" s="653">
        <f>E94-$K21</f>
        <v>100</v>
      </c>
      <c r="G94" s="653">
        <f>F94-$K21</f>
        <v>100</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95</v>
      </c>
      <c r="E96" s="653">
        <f>D96-$K23</f>
        <v>90</v>
      </c>
      <c r="F96" s="653">
        <f>E96-$K23</f>
        <v>85</v>
      </c>
      <c r="G96" s="653">
        <f>F96-$K23</f>
        <v>80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5"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5" customFormat="1" ht="15.75" thickBot="1">
      <c r="A98" s="683"/>
      <c r="B98" s="652"/>
      <c r="C98" s="686">
        <v>100</v>
      </c>
      <c r="D98" s="653">
        <f>C98-$K25</f>
        <v>98</v>
      </c>
      <c r="E98" s="653">
        <f>D98-$K25</f>
        <v>96</v>
      </c>
      <c r="F98" s="653">
        <f>E98-$K25</f>
        <v>94</v>
      </c>
      <c r="G98" s="653">
        <f>F98-$K25</f>
        <v>92</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5"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5" customFormat="1" ht="15.75" thickBot="1">
      <c r="A100" s="683"/>
      <c r="B100" s="652"/>
      <c r="C100" s="653">
        <v>100</v>
      </c>
      <c r="D100" s="653">
        <f>C100-$K27</f>
        <v>97</v>
      </c>
      <c r="E100" s="653">
        <f>D100-$K27</f>
        <v>94</v>
      </c>
      <c r="F100" s="653">
        <f>E100-$K27</f>
        <v>91</v>
      </c>
      <c r="G100" s="653">
        <f>F100-$K27</f>
        <v>88</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7"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7" customFormat="1" ht="15.75" thickBot="1">
      <c r="A102" s="661"/>
      <c r="B102" s="652"/>
      <c r="C102" s="653">
        <v>100</v>
      </c>
      <c r="D102" s="653">
        <f>C102-$K29</f>
        <v>97</v>
      </c>
      <c r="E102" s="653">
        <f>D102-$K29</f>
        <v>94</v>
      </c>
      <c r="F102" s="653">
        <f>E102-$K29</f>
        <v>91</v>
      </c>
      <c r="G102" s="653">
        <f>F102-$K29</f>
        <v>88</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7"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5"/>
      <c r="C104" s="653">
        <v>100</v>
      </c>
      <c r="D104" s="653">
        <f>C104-$K31</f>
        <v>99</v>
      </c>
      <c r="E104" s="653">
        <f>D104-$K31</f>
        <v>98</v>
      </c>
      <c r="F104" s="653">
        <f>E104-$K31</f>
        <v>97</v>
      </c>
      <c r="G104" s="653">
        <f>F104-$K31</f>
        <v>96</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662"/>
      <c r="D107" s="662"/>
      <c r="E107" s="662"/>
      <c r="F107" s="662"/>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C108-$K34</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3">
        <f t="shared" si="24"/>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692"/>
      <c r="D109" s="692"/>
      <c r="E109" s="69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5">C110-$K36</f>
        <v>100</v>
      </c>
      <c r="E110" s="653">
        <f t="shared" si="25"/>
        <v>100</v>
      </c>
      <c r="F110" s="653">
        <f t="shared" si="25"/>
        <v>100</v>
      </c>
      <c r="G110" s="653">
        <f t="shared" si="25"/>
        <v>100</v>
      </c>
      <c r="H110" s="653">
        <f t="shared" si="25"/>
        <v>100</v>
      </c>
      <c r="I110" s="653">
        <f t="shared" si="25"/>
        <v>100</v>
      </c>
      <c r="J110" s="653">
        <f t="shared" si="25"/>
        <v>100</v>
      </c>
      <c r="K110" s="653">
        <f t="shared" si="25"/>
        <v>100</v>
      </c>
      <c r="L110" s="653">
        <f t="shared" si="25"/>
        <v>100</v>
      </c>
      <c r="M110" s="653">
        <f t="shared" si="25"/>
        <v>100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7"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7"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6">C118&amp;"(含)"&amp;"-"&amp;D118</f>
        <v>0(含)-20000</v>
      </c>
      <c r="D117" s="678" t="str">
        <f t="shared" si="26"/>
        <v>20000(含)-40000</v>
      </c>
      <c r="E117" s="678" t="str">
        <f t="shared" si="26"/>
        <v>40000(含)-60000</v>
      </c>
      <c r="F117" s="678" t="str">
        <f t="shared" si="26"/>
        <v>60000(含)-80000</v>
      </c>
      <c r="G117" s="678" t="str">
        <f t="shared" si="26"/>
        <v>80000(含)-100000</v>
      </c>
      <c r="H117" s="678" t="str">
        <f t="shared" si="26"/>
        <v>100000(含)-120000</v>
      </c>
      <c r="I117" s="678" t="str">
        <f t="shared" si="26"/>
        <v>120000(含)-140000</v>
      </c>
      <c r="J117" s="2696" t="str">
        <f t="shared" si="26"/>
        <v>140000(含)-</v>
      </c>
      <c r="K117" s="2696" t="str">
        <f t="shared" si="26"/>
        <v>(含)-</v>
      </c>
      <c r="L117" s="2697" t="str">
        <f t="shared" si="26"/>
        <v>(含)-</v>
      </c>
      <c r="M117" s="2698"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f>C118+20000</f>
        <v>20000</v>
      </c>
      <c r="E118" s="704">
        <f t="shared" ref="E118:J118" si="27">D118+20000</f>
        <v>40000</v>
      </c>
      <c r="F118" s="704">
        <f t="shared" si="27"/>
        <v>60000</v>
      </c>
      <c r="G118" s="704">
        <f t="shared" si="27"/>
        <v>80000</v>
      </c>
      <c r="H118" s="704">
        <f t="shared" si="27"/>
        <v>100000</v>
      </c>
      <c r="I118" s="704">
        <f t="shared" si="27"/>
        <v>120000</v>
      </c>
      <c r="J118" s="704">
        <f t="shared" si="27"/>
        <v>140000</v>
      </c>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f>C119+0.5</f>
        <v>100.5</v>
      </c>
      <c r="E119" s="700">
        <f t="shared" ref="E119:J119" si="28">D119+0.5</f>
        <v>101</v>
      </c>
      <c r="F119" s="700">
        <f t="shared" si="28"/>
        <v>101.5</v>
      </c>
      <c r="G119" s="700">
        <f t="shared" si="28"/>
        <v>102</v>
      </c>
      <c r="H119" s="700">
        <f t="shared" si="28"/>
        <v>102.5</v>
      </c>
      <c r="I119" s="700">
        <f t="shared" si="28"/>
        <v>103</v>
      </c>
      <c r="J119" s="700">
        <f t="shared" si="28"/>
        <v>103.5</v>
      </c>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3451" t="s">
        <v>4192</v>
      </c>
      <c r="D120" s="692"/>
      <c r="E120" s="692"/>
      <c r="F120" s="692"/>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9">C121-$K41</f>
        <v>99</v>
      </c>
      <c r="E121" s="653">
        <f t="shared" si="29"/>
        <v>98</v>
      </c>
      <c r="F121" s="653">
        <f t="shared" si="29"/>
        <v>97</v>
      </c>
      <c r="G121" s="653">
        <f t="shared" si="29"/>
        <v>96</v>
      </c>
      <c r="H121" s="653">
        <f t="shared" si="29"/>
        <v>95</v>
      </c>
      <c r="I121" s="653">
        <f t="shared" si="29"/>
        <v>94</v>
      </c>
      <c r="J121" s="653">
        <f t="shared" si="29"/>
        <v>93</v>
      </c>
      <c r="K121" s="653">
        <f t="shared" si="29"/>
        <v>92</v>
      </c>
      <c r="L121" s="653">
        <f t="shared" si="29"/>
        <v>91</v>
      </c>
      <c r="M121" s="654">
        <f t="shared" si="29"/>
        <v>90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3450" t="s">
        <v>4194</v>
      </c>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30">C123-$K42</f>
        <v>99</v>
      </c>
      <c r="E123" s="653">
        <f t="shared" si="30"/>
        <v>98</v>
      </c>
      <c r="F123" s="653">
        <f t="shared" si="30"/>
        <v>97</v>
      </c>
      <c r="G123" s="653">
        <f t="shared" si="30"/>
        <v>96</v>
      </c>
      <c r="H123" s="653">
        <f t="shared" si="30"/>
        <v>95</v>
      </c>
      <c r="I123" s="653">
        <f t="shared" si="30"/>
        <v>94</v>
      </c>
      <c r="J123" s="653">
        <f t="shared" si="30"/>
        <v>93</v>
      </c>
      <c r="K123" s="653">
        <f t="shared" si="30"/>
        <v>92</v>
      </c>
      <c r="L123" s="653">
        <f t="shared" si="30"/>
        <v>91</v>
      </c>
      <c r="M123" s="654">
        <f t="shared" si="30"/>
        <v>90</v>
      </c>
      <c r="N123" s="2000"/>
      <c r="O123" s="2000"/>
      <c r="P123" s="1999"/>
      <c r="Q123" s="1992"/>
      <c r="R123" s="1980"/>
      <c r="S123" s="1980"/>
      <c r="T123" s="1980"/>
      <c r="U123" s="1980"/>
      <c r="V123" s="1980"/>
      <c r="W123" s="1980"/>
      <c r="X123" s="1980"/>
      <c r="Y123" s="1980"/>
      <c r="Z123" s="1980"/>
      <c r="AA123" s="1980"/>
      <c r="AB123" s="1980"/>
      <c r="AC123" s="1980"/>
    </row>
    <row r="124" spans="1:29" s="1247" customFormat="1" ht="15" thickTop="1">
      <c r="A124" s="702"/>
      <c r="B124" s="1764" t="s">
        <v>2212</v>
      </c>
      <c r="C124" s="1281" t="s">
        <v>4195</v>
      </c>
      <c r="D124" s="1281" t="s">
        <v>4221</v>
      </c>
      <c r="E124" s="1281"/>
      <c r="F124" s="1281"/>
      <c r="G124" s="1281"/>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7" customFormat="1" ht="15.75" thickBot="1">
      <c r="A125" s="661"/>
      <c r="B125" s="652"/>
      <c r="C125" s="653">
        <v>100</v>
      </c>
      <c r="D125" s="653">
        <f t="shared" ref="D125:M125" si="31">C125-$K43</f>
        <v>99</v>
      </c>
      <c r="E125" s="653">
        <f t="shared" si="31"/>
        <v>98</v>
      </c>
      <c r="F125" s="653">
        <f t="shared" si="31"/>
        <v>97</v>
      </c>
      <c r="G125" s="653">
        <f t="shared" si="31"/>
        <v>96</v>
      </c>
      <c r="H125" s="653">
        <f t="shared" si="31"/>
        <v>95</v>
      </c>
      <c r="I125" s="653">
        <f t="shared" si="31"/>
        <v>94</v>
      </c>
      <c r="J125" s="653">
        <f t="shared" si="31"/>
        <v>93</v>
      </c>
      <c r="K125" s="653">
        <f t="shared" si="31"/>
        <v>92</v>
      </c>
      <c r="L125" s="653">
        <f t="shared" si="31"/>
        <v>91</v>
      </c>
      <c r="M125" s="654">
        <f t="shared" si="31"/>
        <v>90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3450" t="s">
        <v>4196</v>
      </c>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32">C127-$K44</f>
        <v>99</v>
      </c>
      <c r="E127" s="653">
        <f t="shared" si="32"/>
        <v>98</v>
      </c>
      <c r="F127" s="653">
        <f t="shared" si="32"/>
        <v>97</v>
      </c>
      <c r="G127" s="653">
        <f t="shared" si="32"/>
        <v>96</v>
      </c>
      <c r="H127" s="653">
        <f t="shared" si="32"/>
        <v>95</v>
      </c>
      <c r="I127" s="653">
        <f t="shared" si="32"/>
        <v>94</v>
      </c>
      <c r="J127" s="653">
        <f t="shared" si="32"/>
        <v>93</v>
      </c>
      <c r="K127" s="653">
        <f t="shared" si="32"/>
        <v>92</v>
      </c>
      <c r="L127" s="653">
        <f t="shared" si="32"/>
        <v>91</v>
      </c>
      <c r="M127" s="654">
        <f t="shared" si="32"/>
        <v>90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7"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7"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6" t="s">
        <v>461</v>
      </c>
      <c r="B2" s="484" t="e">
        <f>F62</f>
        <v>#DIV/0!</v>
      </c>
      <c r="C2" s="3128"/>
      <c r="D2" s="3128"/>
      <c r="E2" s="3128"/>
      <c r="F2" s="3129"/>
      <c r="G2" s="3128"/>
      <c r="H2" s="3128"/>
      <c r="I2" s="3128"/>
      <c r="J2" s="3128"/>
      <c r="K2" s="3130"/>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c r="A3" s="1286" t="s">
        <v>1485</v>
      </c>
      <c r="B3" s="486" t="e">
        <f>ROUND(B2*10000/'数据-汇总表'!E3,0)</f>
        <v>#DIV/0!</v>
      </c>
      <c r="C3" s="3127"/>
      <c r="D3" s="3127"/>
      <c r="E3" s="3127"/>
      <c r="F3" s="3127"/>
      <c r="G3" s="3128"/>
      <c r="H3" s="3128"/>
      <c r="I3" s="3128"/>
      <c r="J3" s="3128"/>
      <c r="K3" s="3130"/>
      <c r="L3" s="1966"/>
      <c r="M3" s="1967"/>
      <c r="N3" s="1967"/>
      <c r="O3" s="1967"/>
      <c r="P3" s="1967"/>
      <c r="Q3" s="1967"/>
      <c r="R3" s="1967"/>
      <c r="S3" s="1967"/>
      <c r="T3" s="1967"/>
      <c r="U3" s="1967"/>
      <c r="V3" s="1967"/>
      <c r="W3" s="1967"/>
      <c r="X3" s="1967"/>
      <c r="Y3" s="1967"/>
      <c r="Z3" s="1967"/>
      <c r="AA3" s="1967"/>
      <c r="AB3" s="1897"/>
      <c r="AC3" s="1897"/>
    </row>
    <row r="4" spans="1:29" s="1244" customFormat="1" ht="28.5" customHeight="1">
      <c r="A4" s="487" t="s">
        <v>503</v>
      </c>
      <c r="B4" s="420" t="e">
        <f>IF(B43="单位面积地价",C45,ROUND(B2*10000/'数据-汇总表'!D3,0))</f>
        <v>#DIV/0!</v>
      </c>
      <c r="C4" s="3127"/>
      <c r="D4" s="3127"/>
      <c r="E4" s="3127"/>
      <c r="F4" s="3127"/>
      <c r="G4" s="3128"/>
      <c r="H4" s="3128"/>
      <c r="I4" s="3128"/>
      <c r="J4" s="3128"/>
      <c r="K4" s="3130"/>
      <c r="L4" s="1966"/>
      <c r="M4" s="1967"/>
      <c r="N4" s="1967"/>
      <c r="O4" s="1967"/>
      <c r="P4" s="1967"/>
      <c r="Q4" s="1967"/>
      <c r="R4" s="1967"/>
      <c r="S4" s="1967"/>
      <c r="T4" s="1967"/>
      <c r="U4" s="1967"/>
      <c r="V4" s="1967"/>
      <c r="W4" s="1967"/>
      <c r="X4" s="1967"/>
      <c r="Y4" s="1967"/>
      <c r="Z4" s="1967"/>
      <c r="AA4" s="1967"/>
      <c r="AB4" s="1967"/>
      <c r="AC4" s="1897"/>
    </row>
    <row r="5" spans="1:29" s="1244" customFormat="1" ht="28.5" customHeight="1" thickBot="1">
      <c r="A5" s="422"/>
      <c r="B5" s="423" t="e">
        <f>ROUND(B2/('数据-汇总表'!D3/666.67),0)</f>
        <v>#DIV/0!</v>
      </c>
      <c r="C5" s="424" t="s">
        <v>463</v>
      </c>
      <c r="D5" s="3127"/>
      <c r="E5" s="3127"/>
      <c r="F5" s="3127"/>
      <c r="G5" s="3128"/>
      <c r="H5" s="3128"/>
      <c r="I5" s="3128"/>
      <c r="J5" s="3128"/>
      <c r="K5" s="3130"/>
      <c r="L5" s="1966"/>
      <c r="M5" s="1967"/>
      <c r="N5" s="1967"/>
      <c r="O5" s="1967"/>
      <c r="P5" s="1967"/>
      <c r="Q5" s="1967"/>
      <c r="R5" s="1967"/>
      <c r="S5" s="1967"/>
      <c r="T5" s="1967"/>
      <c r="U5" s="1967"/>
      <c r="V5" s="1967"/>
      <c r="W5" s="1967"/>
      <c r="X5" s="1967"/>
      <c r="Y5" s="1967"/>
      <c r="Z5" s="1967"/>
      <c r="AA5" s="1967"/>
      <c r="AB5" s="3119"/>
      <c r="AC5" s="1897"/>
    </row>
    <row r="6" spans="1:29" ht="15">
      <c r="A6" s="488" t="s">
        <v>504</v>
      </c>
      <c r="B6" s="489"/>
      <c r="C6" s="3668" t="s">
        <v>505</v>
      </c>
      <c r="D6" s="3669"/>
      <c r="E6" s="3690" t="s">
        <v>506</v>
      </c>
      <c r="F6" s="3691"/>
      <c r="G6" s="3668" t="s">
        <v>507</v>
      </c>
      <c r="H6" s="3669"/>
      <c r="I6" s="3668" t="s">
        <v>508</v>
      </c>
      <c r="J6" s="3669"/>
      <c r="K6" s="490" t="s">
        <v>509</v>
      </c>
      <c r="L6" s="1968"/>
      <c r="M6" s="1969"/>
      <c r="N6" s="1969"/>
      <c r="O6" s="1969"/>
      <c r="P6" s="3670" t="s">
        <v>510</v>
      </c>
      <c r="Q6" s="3671"/>
      <c r="R6" s="3654" t="s">
        <v>506</v>
      </c>
      <c r="S6" s="3655"/>
      <c r="T6" s="3654" t="s">
        <v>507</v>
      </c>
      <c r="U6" s="3655"/>
      <c r="V6" s="3676" t="s">
        <v>508</v>
      </c>
      <c r="W6" s="3676"/>
      <c r="X6" s="1456"/>
      <c r="Y6" s="3654" t="s">
        <v>510</v>
      </c>
      <c r="Z6" s="3655"/>
      <c r="AA6" s="3649" t="s">
        <v>506</v>
      </c>
      <c r="AB6" s="3650" t="s">
        <v>507</v>
      </c>
      <c r="AC6" s="3649" t="s">
        <v>508</v>
      </c>
    </row>
    <row r="7" spans="1:29" ht="15">
      <c r="A7" s="491"/>
      <c r="B7" s="492"/>
      <c r="C7" s="3679" t="s">
        <v>2626</v>
      </c>
      <c r="D7" s="3680"/>
      <c r="E7" s="3692" t="s">
        <v>2627</v>
      </c>
      <c r="F7" s="3693"/>
      <c r="G7" s="3679" t="s">
        <v>2628</v>
      </c>
      <c r="H7" s="3680"/>
      <c r="I7" s="3679" t="s">
        <v>2629</v>
      </c>
      <c r="J7" s="3680"/>
      <c r="K7" s="490"/>
      <c r="L7" s="1968"/>
      <c r="M7" s="1969"/>
      <c r="N7" s="1969"/>
      <c r="O7" s="1969"/>
      <c r="P7" s="3672"/>
      <c r="Q7" s="3673"/>
      <c r="R7" s="3656"/>
      <c r="S7" s="3657"/>
      <c r="T7" s="3656"/>
      <c r="U7" s="3657"/>
      <c r="V7" s="3676"/>
      <c r="W7" s="3676"/>
      <c r="X7" s="1456"/>
      <c r="Y7" s="3656"/>
      <c r="Z7" s="3657"/>
      <c r="AA7" s="3650"/>
      <c r="AB7" s="3650"/>
      <c r="AC7" s="3650"/>
    </row>
    <row r="8" spans="1:29" ht="15.75" thickBot="1">
      <c r="A8" s="493"/>
      <c r="B8" s="494"/>
      <c r="C8" s="3694" t="s">
        <v>2630</v>
      </c>
      <c r="D8" s="3678"/>
      <c r="E8" s="3695" t="s">
        <v>2630</v>
      </c>
      <c r="F8" s="3696"/>
      <c r="G8" s="3694" t="s">
        <v>2630</v>
      </c>
      <c r="H8" s="3678"/>
      <c r="I8" s="3694" t="s">
        <v>2630</v>
      </c>
      <c r="J8" s="3678"/>
      <c r="K8" s="490" t="s">
        <v>511</v>
      </c>
      <c r="L8" s="1968"/>
      <c r="M8" s="1969"/>
      <c r="N8" s="1969"/>
      <c r="O8" s="1969"/>
      <c r="P8" s="3674"/>
      <c r="Q8" s="3675"/>
      <c r="R8" s="3656"/>
      <c r="S8" s="3657"/>
      <c r="T8" s="3658"/>
      <c r="U8" s="3659"/>
      <c r="V8" s="3676"/>
      <c r="W8" s="3676"/>
      <c r="X8" s="1456"/>
      <c r="Y8" s="3658"/>
      <c r="Z8" s="3659"/>
      <c r="AA8" s="3651"/>
      <c r="AB8" s="3651"/>
      <c r="AC8" s="3651"/>
    </row>
    <row r="9" spans="1:29" s="1165" customFormat="1" ht="15.75" thickBot="1">
      <c r="A9" s="2550"/>
      <c r="B9" s="2557" t="s">
        <v>512</v>
      </c>
      <c r="C9" s="495">
        <f>'数据-取费表'!B2</f>
        <v>44735</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52" t="s">
        <v>513</v>
      </c>
      <c r="Q9" s="3661"/>
      <c r="R9" s="1457" t="s">
        <v>8</v>
      </c>
      <c r="S9" s="1458">
        <f t="shared" ref="S9:S17" si="0">F9</f>
        <v>0</v>
      </c>
      <c r="T9" s="1457" t="s">
        <v>8</v>
      </c>
      <c r="U9" s="1458">
        <f t="shared" ref="U9:U17" si="1">H9</f>
        <v>0</v>
      </c>
      <c r="V9" s="1457" t="s">
        <v>8</v>
      </c>
      <c r="W9" s="1458">
        <f t="shared" ref="W9:W17" si="2">J9</f>
        <v>0</v>
      </c>
      <c r="X9" s="1459"/>
      <c r="Y9" s="3652" t="s">
        <v>513</v>
      </c>
      <c r="Z9" s="3653"/>
      <c r="AA9" s="1460" t="e">
        <f>D9/F9</f>
        <v>#DIV/0!</v>
      </c>
      <c r="AB9" s="1460" t="e">
        <f>D9/H9</f>
        <v>#DIV/0!</v>
      </c>
      <c r="AC9" s="1460" t="e">
        <f>D9/J9</f>
        <v>#DIV/0!</v>
      </c>
    </row>
    <row r="10" spans="1:29" s="1165" customFormat="1" ht="15.75" thickBot="1">
      <c r="A10" s="2551"/>
      <c r="B10" s="2558"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52" t="s">
        <v>516</v>
      </c>
      <c r="Q10" s="3653"/>
      <c r="R10" s="1457" t="s">
        <v>8</v>
      </c>
      <c r="S10" s="1458">
        <f t="shared" si="0"/>
        <v>0</v>
      </c>
      <c r="T10" s="1457" t="s">
        <v>8</v>
      </c>
      <c r="U10" s="1458">
        <f t="shared" si="1"/>
        <v>0</v>
      </c>
      <c r="V10" s="1457" t="s">
        <v>8</v>
      </c>
      <c r="W10" s="1458">
        <f t="shared" si="2"/>
        <v>0</v>
      </c>
      <c r="X10" s="1459"/>
      <c r="Y10" s="3652" t="s">
        <v>516</v>
      </c>
      <c r="Z10" s="3653"/>
      <c r="AA10" s="1460" t="e">
        <f t="shared" ref="AA10:AA42" si="3">D10/F10</f>
        <v>#DIV/0!</v>
      </c>
      <c r="AB10" s="1460" t="e">
        <f t="shared" ref="AB10:AB42" si="4">D10/H10</f>
        <v>#DIV/0!</v>
      </c>
      <c r="AC10" s="1460" t="e">
        <f t="shared" ref="AC10:AC42" si="5">D10/J10</f>
        <v>#DIV/0!</v>
      </c>
    </row>
    <row r="11" spans="1:29" s="1165" customFormat="1" ht="15">
      <c r="A11" s="2552"/>
      <c r="B11" s="2559"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60" t="s">
        <v>518</v>
      </c>
      <c r="Q11" s="1096" t="str">
        <f t="shared" ref="Q11:Q17" si="6">B11</f>
        <v>用途</v>
      </c>
      <c r="R11" s="1457" t="s">
        <v>8</v>
      </c>
      <c r="S11" s="1458">
        <f t="shared" si="0"/>
        <v>100</v>
      </c>
      <c r="T11" s="1457" t="s">
        <v>8</v>
      </c>
      <c r="U11" s="1458">
        <f t="shared" si="1"/>
        <v>100</v>
      </c>
      <c r="V11" s="1457" t="s">
        <v>8</v>
      </c>
      <c r="W11" s="1458">
        <f t="shared" si="2"/>
        <v>100</v>
      </c>
      <c r="X11" s="1459"/>
      <c r="Y11" s="3608" t="s">
        <v>519</v>
      </c>
      <c r="Z11" s="1095" t="str">
        <f t="shared" ref="Z11:Z17" si="7">Q11</f>
        <v>用途</v>
      </c>
      <c r="AA11" s="1460">
        <f t="shared" si="3"/>
        <v>1</v>
      </c>
      <c r="AB11" s="1460">
        <f t="shared" si="4"/>
        <v>1</v>
      </c>
      <c r="AC11" s="1460">
        <f t="shared" si="5"/>
        <v>1</v>
      </c>
    </row>
    <row r="12" spans="1:29" s="1246" customFormat="1" ht="27">
      <c r="A12" s="2553"/>
      <c r="B12" s="2558" t="s">
        <v>2474</v>
      </c>
      <c r="C12" s="504"/>
      <c r="D12" s="252">
        <v>100</v>
      </c>
      <c r="E12" s="504"/>
      <c r="F12" s="252">
        <f>ROUND(100/'数据-取费表'!G16,0)</f>
        <v>106</v>
      </c>
      <c r="G12" s="504"/>
      <c r="H12" s="252">
        <f>ROUND(100/'数据-取费表'!G16,0)</f>
        <v>106</v>
      </c>
      <c r="I12" s="504"/>
      <c r="J12" s="252">
        <f>ROUND(100/'数据-取费表'!G16,0)</f>
        <v>106</v>
      </c>
      <c r="K12" s="507"/>
      <c r="L12" s="1973"/>
      <c r="M12" s="2012"/>
      <c r="N12" s="2012"/>
      <c r="O12" s="1974"/>
      <c r="P12" s="3660"/>
      <c r="Q12" s="1096" t="str">
        <f t="shared" si="6"/>
        <v>土地使用年限（年）</v>
      </c>
      <c r="R12" s="1457" t="s">
        <v>8</v>
      </c>
      <c r="S12" s="1458">
        <f t="shared" si="0"/>
        <v>106</v>
      </c>
      <c r="T12" s="1457" t="s">
        <v>8</v>
      </c>
      <c r="U12" s="1458">
        <f t="shared" si="1"/>
        <v>106</v>
      </c>
      <c r="V12" s="1457" t="s">
        <v>8</v>
      </c>
      <c r="W12" s="1458">
        <f t="shared" si="2"/>
        <v>106</v>
      </c>
      <c r="X12" s="1459"/>
      <c r="Y12" s="3608"/>
      <c r="Z12" s="1095" t="str">
        <f t="shared" si="7"/>
        <v>土地使用年限（年）</v>
      </c>
      <c r="AA12" s="1460">
        <f t="shared" si="3"/>
        <v>0.94339622641509435</v>
      </c>
      <c r="AB12" s="1460">
        <f t="shared" si="4"/>
        <v>0.94339622641509435</v>
      </c>
      <c r="AC12" s="1460">
        <f t="shared" si="5"/>
        <v>0.94339622641509435</v>
      </c>
    </row>
    <row r="13" spans="1:29" ht="15">
      <c r="A13" s="2554"/>
      <c r="B13" s="2558"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60"/>
      <c r="Q13" s="1096" t="str">
        <f t="shared" si="6"/>
        <v>容积率</v>
      </c>
      <c r="R13" s="1457" t="s">
        <v>8</v>
      </c>
      <c r="S13" s="1458" t="e">
        <f t="shared" si="0"/>
        <v>#N/A</v>
      </c>
      <c r="T13" s="1457" t="s">
        <v>8</v>
      </c>
      <c r="U13" s="1458" t="e">
        <f t="shared" si="1"/>
        <v>#N/A</v>
      </c>
      <c r="V13" s="1457" t="s">
        <v>8</v>
      </c>
      <c r="W13" s="1458" t="e">
        <f t="shared" si="2"/>
        <v>#N/A</v>
      </c>
      <c r="X13" s="1459"/>
      <c r="Y13" s="3608"/>
      <c r="Z13" s="1095" t="str">
        <f t="shared" si="7"/>
        <v>容积率</v>
      </c>
      <c r="AA13" s="1460" t="e">
        <f t="shared" si="3"/>
        <v>#N/A</v>
      </c>
      <c r="AB13" s="1460" t="e">
        <f t="shared" si="4"/>
        <v>#N/A</v>
      </c>
      <c r="AC13" s="1460" t="e">
        <f t="shared" si="5"/>
        <v>#N/A</v>
      </c>
    </row>
    <row r="14" spans="1:29" s="1165" customFormat="1" ht="15">
      <c r="A14" s="2555"/>
      <c r="B14" s="2561">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60"/>
      <c r="Q14" s="1096">
        <f t="shared" si="6"/>
        <v>111</v>
      </c>
      <c r="R14" s="1457" t="s">
        <v>8</v>
      </c>
      <c r="S14" s="1458">
        <f t="shared" si="0"/>
        <v>100</v>
      </c>
      <c r="T14" s="1457" t="s">
        <v>8</v>
      </c>
      <c r="U14" s="1458">
        <f t="shared" si="1"/>
        <v>100</v>
      </c>
      <c r="V14" s="1457" t="s">
        <v>8</v>
      </c>
      <c r="W14" s="1458">
        <f t="shared" si="2"/>
        <v>100</v>
      </c>
      <c r="X14" s="1459"/>
      <c r="Y14" s="3608"/>
      <c r="Z14" s="1095">
        <f t="shared" si="7"/>
        <v>111</v>
      </c>
      <c r="AA14" s="1460">
        <f>D14/F14</f>
        <v>1</v>
      </c>
      <c r="AB14" s="1460">
        <f>D14/H14</f>
        <v>1</v>
      </c>
      <c r="AC14" s="1460">
        <f>D14/J14</f>
        <v>1</v>
      </c>
    </row>
    <row r="15" spans="1:29" ht="15">
      <c r="A15" s="2555"/>
      <c r="B15" s="2561">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60"/>
      <c r="Q15" s="1096">
        <f t="shared" si="6"/>
        <v>111</v>
      </c>
      <c r="R15" s="1457" t="s">
        <v>8</v>
      </c>
      <c r="S15" s="1458">
        <f t="shared" si="0"/>
        <v>100</v>
      </c>
      <c r="T15" s="1457" t="s">
        <v>8</v>
      </c>
      <c r="U15" s="1458">
        <f t="shared" si="1"/>
        <v>100</v>
      </c>
      <c r="V15" s="1457" t="s">
        <v>8</v>
      </c>
      <c r="W15" s="1458">
        <f t="shared" si="2"/>
        <v>100</v>
      </c>
      <c r="X15" s="1459"/>
      <c r="Y15" s="3608"/>
      <c r="Z15" s="1095">
        <f t="shared" si="7"/>
        <v>111</v>
      </c>
      <c r="AA15" s="1460">
        <f t="shared" si="3"/>
        <v>1</v>
      </c>
      <c r="AB15" s="1460">
        <f t="shared" si="4"/>
        <v>1</v>
      </c>
      <c r="AC15" s="1460">
        <f t="shared" si="5"/>
        <v>1</v>
      </c>
    </row>
    <row r="16" spans="1:29" ht="15.75" thickBot="1">
      <c r="A16" s="2556"/>
      <c r="B16" s="2562">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60"/>
      <c r="Q16" s="1096">
        <f t="shared" si="6"/>
        <v>111</v>
      </c>
      <c r="R16" s="1457" t="s">
        <v>8</v>
      </c>
      <c r="S16" s="1458">
        <f t="shared" si="0"/>
        <v>100</v>
      </c>
      <c r="T16" s="1457" t="s">
        <v>8</v>
      </c>
      <c r="U16" s="1458">
        <f t="shared" si="1"/>
        <v>100</v>
      </c>
      <c r="V16" s="1457" t="s">
        <v>8</v>
      </c>
      <c r="W16" s="1458">
        <f t="shared" si="2"/>
        <v>100</v>
      </c>
      <c r="X16" s="1459"/>
      <c r="Y16" s="3608"/>
      <c r="Z16" s="1095">
        <f t="shared" si="7"/>
        <v>111</v>
      </c>
      <c r="AA16" s="1460">
        <f t="shared" si="3"/>
        <v>1</v>
      </c>
      <c r="AB16" s="1460">
        <f t="shared" si="4"/>
        <v>1</v>
      </c>
      <c r="AC16" s="1460">
        <f t="shared" si="5"/>
        <v>1</v>
      </c>
    </row>
    <row r="17" spans="1:29" ht="57">
      <c r="A17" s="2548"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62" t="s">
        <v>523</v>
      </c>
      <c r="Q17" s="1461" t="str">
        <f t="shared" si="6"/>
        <v>产业集聚程度</v>
      </c>
      <c r="R17" s="1462" t="s">
        <v>8</v>
      </c>
      <c r="S17" s="1463">
        <f t="shared" si="0"/>
        <v>100</v>
      </c>
      <c r="T17" s="1462" t="s">
        <v>8</v>
      </c>
      <c r="U17" s="1463">
        <f t="shared" si="1"/>
        <v>100</v>
      </c>
      <c r="V17" s="1462" t="s">
        <v>8</v>
      </c>
      <c r="W17" s="1463">
        <f t="shared" si="2"/>
        <v>100</v>
      </c>
      <c r="X17" s="1456"/>
      <c r="Y17" s="3662"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63"/>
      <c r="Q18" s="1461"/>
      <c r="R18" s="1462"/>
      <c r="S18" s="1463"/>
      <c r="T18" s="1462"/>
      <c r="U18" s="1463"/>
      <c r="V18" s="1462"/>
      <c r="W18" s="1463"/>
      <c r="X18" s="1456"/>
      <c r="Y18" s="3663"/>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63"/>
      <c r="Q19" s="1461" t="str">
        <f>B19</f>
        <v>交通便捷度</v>
      </c>
      <c r="R19" s="1462" t="s">
        <v>8</v>
      </c>
      <c r="S19" s="1463">
        <f>F19</f>
        <v>100</v>
      </c>
      <c r="T19" s="1462" t="s">
        <v>8</v>
      </c>
      <c r="U19" s="1463">
        <f>H19</f>
        <v>100</v>
      </c>
      <c r="V19" s="1462" t="s">
        <v>8</v>
      </c>
      <c r="W19" s="1463">
        <f>J19</f>
        <v>100</v>
      </c>
      <c r="X19" s="1456"/>
      <c r="Y19" s="3663"/>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7"/>
      <c r="M20" s="1969"/>
      <c r="N20" s="1969"/>
      <c r="O20" s="1976"/>
      <c r="P20" s="3663"/>
      <c r="Q20" s="1461"/>
      <c r="R20" s="1462"/>
      <c r="S20" s="1463"/>
      <c r="T20" s="1462"/>
      <c r="U20" s="1463"/>
      <c r="V20" s="1462"/>
      <c r="W20" s="1463"/>
      <c r="X20" s="1456"/>
      <c r="Y20" s="3663"/>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7"/>
      <c r="M21" s="1969"/>
      <c r="N21" s="1969"/>
      <c r="O21" s="1976"/>
      <c r="P21" s="3663"/>
      <c r="Q21" s="1461" t="str">
        <f t="shared" ref="Q21:Q35" si="8">B21</f>
        <v>区域土地利用方向</v>
      </c>
      <c r="R21" s="1462" t="s">
        <v>8</v>
      </c>
      <c r="S21" s="1463">
        <f>F21</f>
        <v>100</v>
      </c>
      <c r="T21" s="1462" t="s">
        <v>8</v>
      </c>
      <c r="U21" s="1463">
        <f>H21</f>
        <v>100</v>
      </c>
      <c r="V21" s="1462" t="s">
        <v>8</v>
      </c>
      <c r="W21" s="1463">
        <f>J21</f>
        <v>100</v>
      </c>
      <c r="X21" s="1456"/>
      <c r="Y21" s="3663"/>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7"/>
      <c r="M22" s="1969"/>
      <c r="N22" s="1969"/>
      <c r="O22" s="1976"/>
      <c r="P22" s="3663"/>
      <c r="Q22" s="1461"/>
      <c r="R22" s="1462"/>
      <c r="S22" s="1463"/>
      <c r="T22" s="1462"/>
      <c r="U22" s="1463"/>
      <c r="V22" s="1462"/>
      <c r="W22" s="1463"/>
      <c r="X22" s="1456"/>
      <c r="Y22" s="3663"/>
      <c r="Z22" s="1464"/>
      <c r="AA22" s="1465"/>
      <c r="AB22" s="1465"/>
      <c r="AC22" s="1465"/>
    </row>
    <row r="23" spans="1:29" ht="71.25">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63"/>
      <c r="Q23" s="1461" t="str">
        <f t="shared" si="8"/>
        <v>环境状况</v>
      </c>
      <c r="R23" s="1462" t="s">
        <v>8</v>
      </c>
      <c r="S23" s="1463">
        <f>F23</f>
        <v>100</v>
      </c>
      <c r="T23" s="1462" t="s">
        <v>8</v>
      </c>
      <c r="U23" s="1463">
        <f>H23</f>
        <v>100</v>
      </c>
      <c r="V23" s="1462" t="s">
        <v>8</v>
      </c>
      <c r="W23" s="1463">
        <f>J23</f>
        <v>100</v>
      </c>
      <c r="X23" s="1456"/>
      <c r="Y23" s="3663"/>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63"/>
      <c r="Q24" s="1461"/>
      <c r="R24" s="1462"/>
      <c r="S24" s="1463"/>
      <c r="T24" s="1462"/>
      <c r="U24" s="1463"/>
      <c r="V24" s="1462"/>
      <c r="W24" s="1463"/>
      <c r="X24" s="1456"/>
      <c r="Y24" s="3663"/>
      <c r="Z24" s="1464"/>
      <c r="AA24" s="1465">
        <v>1</v>
      </c>
      <c r="AB24" s="1465">
        <v>1</v>
      </c>
      <c r="AC24" s="1465">
        <v>1</v>
      </c>
    </row>
    <row r="25" spans="1:29" s="1165"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63"/>
      <c r="Q25" s="1096" t="str">
        <f t="shared" si="8"/>
        <v>公共配套设施</v>
      </c>
      <c r="R25" s="1457" t="s">
        <v>8</v>
      </c>
      <c r="S25" s="1458">
        <f>F25</f>
        <v>100</v>
      </c>
      <c r="T25" s="1457" t="s">
        <v>8</v>
      </c>
      <c r="U25" s="1458">
        <f>H25</f>
        <v>100</v>
      </c>
      <c r="V25" s="1457" t="s">
        <v>8</v>
      </c>
      <c r="W25" s="1458">
        <f>J25</f>
        <v>100</v>
      </c>
      <c r="X25" s="1459"/>
      <c r="Y25" s="3663"/>
      <c r="Z25" s="1095" t="str">
        <f>Q25</f>
        <v>公共配套设施</v>
      </c>
      <c r="AA25" s="1465">
        <f>D25/F25</f>
        <v>1</v>
      </c>
      <c r="AB25" s="1465">
        <f>D25/H25</f>
        <v>1</v>
      </c>
      <c r="AC25" s="1465">
        <f>D25/J25</f>
        <v>1</v>
      </c>
    </row>
    <row r="26" spans="1:29" s="1165" customFormat="1" ht="15">
      <c r="A26" s="553"/>
      <c r="B26" s="571"/>
      <c r="C26" s="2357"/>
      <c r="D26" s="531"/>
      <c r="E26" s="530"/>
      <c r="F26" s="531"/>
      <c r="G26" s="530"/>
      <c r="H26" s="531"/>
      <c r="I26" s="552"/>
      <c r="J26" s="531"/>
      <c r="K26" s="507"/>
      <c r="L26" s="1970"/>
      <c r="M26" s="1971"/>
      <c r="N26" s="1971"/>
      <c r="O26" s="1972"/>
      <c r="P26" s="3663"/>
      <c r="Q26" s="1096"/>
      <c r="R26" s="1457"/>
      <c r="S26" s="1458"/>
      <c r="T26" s="1457"/>
      <c r="U26" s="1458"/>
      <c r="V26" s="1457"/>
      <c r="W26" s="1458"/>
      <c r="X26" s="1459"/>
      <c r="Y26" s="3663"/>
      <c r="Z26" s="1095"/>
      <c r="AA26" s="1460">
        <v>1</v>
      </c>
      <c r="AB26" s="1460">
        <v>1</v>
      </c>
      <c r="AC26" s="1460">
        <v>1</v>
      </c>
    </row>
    <row r="27" spans="1:29" s="1165"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63"/>
      <c r="Q27" s="2349" t="str">
        <f t="shared" ref="Q27" si="9">B27</f>
        <v>基础设施水平</v>
      </c>
      <c r="R27" s="1457" t="s">
        <v>8</v>
      </c>
      <c r="S27" s="1458">
        <f>F27</f>
        <v>100</v>
      </c>
      <c r="T27" s="1457" t="s">
        <v>8</v>
      </c>
      <c r="U27" s="1458">
        <f>H27</f>
        <v>100</v>
      </c>
      <c r="V27" s="1457" t="s">
        <v>8</v>
      </c>
      <c r="W27" s="1458">
        <f>J27</f>
        <v>100</v>
      </c>
      <c r="X27" s="1459"/>
      <c r="Y27" s="3663"/>
      <c r="Z27" s="2348" t="str">
        <f>Q27</f>
        <v>基础设施水平</v>
      </c>
      <c r="AA27" s="1465">
        <f>D27/F27</f>
        <v>1</v>
      </c>
      <c r="AB27" s="1465">
        <f>D27/H27</f>
        <v>1</v>
      </c>
      <c r="AC27" s="1465">
        <f>D27/J27</f>
        <v>1</v>
      </c>
    </row>
    <row r="28" spans="1:29" s="1165" customFormat="1" ht="15">
      <c r="A28" s="553"/>
      <c r="B28" s="571"/>
      <c r="C28" s="2357"/>
      <c r="D28" s="531"/>
      <c r="E28" s="555"/>
      <c r="F28" s="531"/>
      <c r="G28" s="555"/>
      <c r="H28" s="531"/>
      <c r="I28" s="555"/>
      <c r="J28" s="531"/>
      <c r="K28" s="507"/>
      <c r="L28" s="1970"/>
      <c r="M28" s="1971"/>
      <c r="N28" s="1971"/>
      <c r="O28" s="1972"/>
      <c r="P28" s="3663"/>
      <c r="Q28" s="2349"/>
      <c r="R28" s="1457"/>
      <c r="S28" s="1458"/>
      <c r="T28" s="1457"/>
      <c r="U28" s="1458"/>
      <c r="V28" s="1457"/>
      <c r="W28" s="1458"/>
      <c r="X28" s="1459"/>
      <c r="Y28" s="3663"/>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63"/>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63"/>
      <c r="Z29" s="1464" t="str">
        <f t="shared" ref="Z29:Z42" si="13">Q29</f>
        <v>临街状况</v>
      </c>
      <c r="AA29" s="1465">
        <f t="shared" si="3"/>
        <v>1</v>
      </c>
      <c r="AB29" s="1465">
        <f t="shared" si="4"/>
        <v>1</v>
      </c>
      <c r="AC29" s="1465">
        <f t="shared" si="5"/>
        <v>1</v>
      </c>
    </row>
    <row r="30" spans="1:29" ht="27">
      <c r="A30" s="508"/>
      <c r="B30" s="892"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63"/>
      <c r="Q30" s="1461" t="str">
        <f t="shared" si="8"/>
        <v>毗邻道路的类型与等级</v>
      </c>
      <c r="R30" s="1462" t="s">
        <v>8</v>
      </c>
      <c r="S30" s="1463">
        <f t="shared" si="10"/>
        <v>100</v>
      </c>
      <c r="T30" s="1462" t="s">
        <v>8</v>
      </c>
      <c r="U30" s="1463">
        <f t="shared" si="11"/>
        <v>100</v>
      </c>
      <c r="V30" s="1462" t="s">
        <v>8</v>
      </c>
      <c r="W30" s="1463">
        <f t="shared" si="12"/>
        <v>100</v>
      </c>
      <c r="X30" s="1456"/>
      <c r="Y30" s="3663"/>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63"/>
      <c r="Q31" s="1461"/>
      <c r="R31" s="1462"/>
      <c r="S31" s="1463"/>
      <c r="T31" s="1462"/>
      <c r="U31" s="1463"/>
      <c r="V31" s="1462"/>
      <c r="W31" s="1463"/>
      <c r="X31" s="1456"/>
      <c r="Y31" s="3663"/>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63"/>
      <c r="Q32" s="1461" t="str">
        <f t="shared" si="8"/>
        <v>土地级别</v>
      </c>
      <c r="R32" s="1462" t="s">
        <v>8</v>
      </c>
      <c r="S32" s="1463">
        <f t="shared" si="10"/>
        <v>100</v>
      </c>
      <c r="T32" s="1462" t="s">
        <v>8</v>
      </c>
      <c r="U32" s="1463">
        <f t="shared" si="11"/>
        <v>100</v>
      </c>
      <c r="V32" s="1462" t="s">
        <v>8</v>
      </c>
      <c r="W32" s="1463">
        <f t="shared" si="12"/>
        <v>100</v>
      </c>
      <c r="X32" s="1456"/>
      <c r="Y32" s="3663"/>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63"/>
      <c r="Q33" s="1461">
        <f t="shared" si="8"/>
        <v>111</v>
      </c>
      <c r="R33" s="1462" t="s">
        <v>8</v>
      </c>
      <c r="S33" s="1463">
        <f t="shared" si="10"/>
        <v>100</v>
      </c>
      <c r="T33" s="1462" t="s">
        <v>8</v>
      </c>
      <c r="U33" s="1463">
        <f t="shared" si="11"/>
        <v>100</v>
      </c>
      <c r="V33" s="1462" t="s">
        <v>8</v>
      </c>
      <c r="W33" s="1463">
        <f t="shared" si="12"/>
        <v>100</v>
      </c>
      <c r="X33" s="1456"/>
      <c r="Y33" s="3663"/>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64" t="s">
        <v>533</v>
      </c>
      <c r="Q34" s="1461">
        <f t="shared" si="8"/>
        <v>111</v>
      </c>
      <c r="R34" s="1462" t="s">
        <v>8</v>
      </c>
      <c r="S34" s="1463">
        <f t="shared" si="10"/>
        <v>100</v>
      </c>
      <c r="T34" s="1462" t="s">
        <v>8</v>
      </c>
      <c r="U34" s="1463">
        <f t="shared" si="11"/>
        <v>100</v>
      </c>
      <c r="V34" s="1462" t="s">
        <v>8</v>
      </c>
      <c r="W34" s="1463">
        <f t="shared" si="12"/>
        <v>100</v>
      </c>
      <c r="X34" s="1456"/>
      <c r="Y34" s="3665" t="s">
        <v>533</v>
      </c>
      <c r="Z34" s="1464">
        <f t="shared" si="13"/>
        <v>111</v>
      </c>
      <c r="AA34" s="1465">
        <f t="shared" si="3"/>
        <v>1</v>
      </c>
      <c r="AB34" s="1465">
        <f t="shared" si="4"/>
        <v>1</v>
      </c>
      <c r="AC34" s="1465">
        <f t="shared" si="5"/>
        <v>1</v>
      </c>
    </row>
    <row r="35" spans="1:29" s="1247"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65"/>
      <c r="Q35" s="1461">
        <f t="shared" si="8"/>
        <v>111</v>
      </c>
      <c r="R35" s="1466" t="s">
        <v>8</v>
      </c>
      <c r="S35" s="1467">
        <f t="shared" si="10"/>
        <v>100</v>
      </c>
      <c r="T35" s="1466" t="s">
        <v>8</v>
      </c>
      <c r="U35" s="1467">
        <f t="shared" si="11"/>
        <v>100</v>
      </c>
      <c r="V35" s="1466" t="s">
        <v>8</v>
      </c>
      <c r="W35" s="1467">
        <f t="shared" si="12"/>
        <v>100</v>
      </c>
      <c r="X35" s="1468"/>
      <c r="Y35" s="3665"/>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65"/>
      <c r="Q36" s="1461" t="str">
        <f>B36</f>
        <v>宗地面积</v>
      </c>
      <c r="R36" s="1462" t="s">
        <v>8</v>
      </c>
      <c r="S36" s="1463" t="e">
        <f t="shared" si="10"/>
        <v>#N/A</v>
      </c>
      <c r="T36" s="1462" t="s">
        <v>8</v>
      </c>
      <c r="U36" s="1463" t="e">
        <f t="shared" si="11"/>
        <v>#N/A</v>
      </c>
      <c r="V36" s="1462" t="s">
        <v>8</v>
      </c>
      <c r="W36" s="1463" t="e">
        <f t="shared" si="12"/>
        <v>#N/A</v>
      </c>
      <c r="X36" s="1456"/>
      <c r="Y36" s="3665"/>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65"/>
      <c r="Q37" s="1461" t="str">
        <f t="shared" ref="Q37:Q42" si="14">B37</f>
        <v>宗地形状</v>
      </c>
      <c r="R37" s="1462" t="s">
        <v>8</v>
      </c>
      <c r="S37" s="1463">
        <f t="shared" si="10"/>
        <v>100</v>
      </c>
      <c r="T37" s="1462" t="s">
        <v>8</v>
      </c>
      <c r="U37" s="1463">
        <f t="shared" si="11"/>
        <v>100</v>
      </c>
      <c r="V37" s="1462" t="s">
        <v>8</v>
      </c>
      <c r="W37" s="1463">
        <f t="shared" si="12"/>
        <v>100</v>
      </c>
      <c r="X37" s="1456"/>
      <c r="Y37" s="3665"/>
      <c r="Z37" s="1464" t="str">
        <f t="shared" si="13"/>
        <v>宗地形状</v>
      </c>
      <c r="AA37" s="1465">
        <f t="shared" si="3"/>
        <v>1</v>
      </c>
      <c r="AB37" s="1465">
        <f t="shared" si="4"/>
        <v>1</v>
      </c>
      <c r="AC37" s="1465">
        <f t="shared" si="5"/>
        <v>1</v>
      </c>
    </row>
    <row r="38" spans="1:29" s="1165"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65"/>
      <c r="Q38" s="1461" t="str">
        <f t="shared" si="14"/>
        <v>宗地开发程度</v>
      </c>
      <c r="R38" s="1457" t="s">
        <v>8</v>
      </c>
      <c r="S38" s="1458">
        <f t="shared" si="10"/>
        <v>100</v>
      </c>
      <c r="T38" s="1457" t="s">
        <v>8</v>
      </c>
      <c r="U38" s="1458">
        <f t="shared" si="11"/>
        <v>100</v>
      </c>
      <c r="V38" s="1457" t="s">
        <v>8</v>
      </c>
      <c r="W38" s="1458">
        <f t="shared" si="12"/>
        <v>100</v>
      </c>
      <c r="X38" s="1459"/>
      <c r="Y38" s="3665"/>
      <c r="Z38" s="1095"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65" t="s">
        <v>583</v>
      </c>
      <c r="Q39" s="1461" t="str">
        <f t="shared" si="14"/>
        <v>工程地质条件</v>
      </c>
      <c r="R39" s="1462" t="s">
        <v>8</v>
      </c>
      <c r="S39" s="1463">
        <f t="shared" si="10"/>
        <v>100</v>
      </c>
      <c r="T39" s="1462" t="s">
        <v>8</v>
      </c>
      <c r="U39" s="1463">
        <f t="shared" si="11"/>
        <v>100</v>
      </c>
      <c r="V39" s="1462" t="s">
        <v>8</v>
      </c>
      <c r="W39" s="1463">
        <f t="shared" si="12"/>
        <v>100</v>
      </c>
      <c r="X39" s="1456"/>
      <c r="Y39" s="3665"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65"/>
      <c r="Q40" s="1461">
        <f t="shared" si="14"/>
        <v>111</v>
      </c>
      <c r="R40" s="1462" t="s">
        <v>8</v>
      </c>
      <c r="S40" s="1463">
        <f t="shared" si="10"/>
        <v>100</v>
      </c>
      <c r="T40" s="1462" t="s">
        <v>8</v>
      </c>
      <c r="U40" s="1463">
        <f t="shared" si="11"/>
        <v>100</v>
      </c>
      <c r="V40" s="1462" t="s">
        <v>8</v>
      </c>
      <c r="W40" s="1463">
        <f t="shared" si="12"/>
        <v>100</v>
      </c>
      <c r="X40" s="1456"/>
      <c r="Y40" s="3665"/>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65"/>
      <c r="Q41" s="1461">
        <f t="shared" si="14"/>
        <v>111</v>
      </c>
      <c r="R41" s="1462" t="s">
        <v>8</v>
      </c>
      <c r="S41" s="1463">
        <f t="shared" si="10"/>
        <v>100</v>
      </c>
      <c r="T41" s="1462" t="s">
        <v>8</v>
      </c>
      <c r="U41" s="1463">
        <f t="shared" si="11"/>
        <v>100</v>
      </c>
      <c r="V41" s="1462" t="s">
        <v>8</v>
      </c>
      <c r="W41" s="1463">
        <f t="shared" si="12"/>
        <v>100</v>
      </c>
      <c r="X41" s="1456"/>
      <c r="Y41" s="3665"/>
      <c r="Z41" s="1464">
        <f t="shared" si="13"/>
        <v>111</v>
      </c>
      <c r="AA41" s="1465">
        <f t="shared" si="3"/>
        <v>1</v>
      </c>
      <c r="AB41" s="1465">
        <f t="shared" si="4"/>
        <v>1</v>
      </c>
      <c r="AC41" s="1465">
        <f t="shared" si="5"/>
        <v>1</v>
      </c>
    </row>
    <row r="42" spans="1:29" s="1247"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65"/>
      <c r="Q42" s="1461">
        <f t="shared" si="14"/>
        <v>111</v>
      </c>
      <c r="R42" s="1466" t="s">
        <v>8</v>
      </c>
      <c r="S42" s="1467">
        <f t="shared" si="10"/>
        <v>100</v>
      </c>
      <c r="T42" s="1466" t="s">
        <v>8</v>
      </c>
      <c r="U42" s="1467">
        <f t="shared" si="11"/>
        <v>100</v>
      </c>
      <c r="V42" s="1466" t="s">
        <v>8</v>
      </c>
      <c r="W42" s="1467">
        <f t="shared" si="12"/>
        <v>100</v>
      </c>
      <c r="X42" s="1468"/>
      <c r="Y42" s="3665"/>
      <c r="Z42" s="1469">
        <f t="shared" si="13"/>
        <v>111</v>
      </c>
      <c r="AA42" s="1465">
        <f t="shared" si="3"/>
        <v>1</v>
      </c>
      <c r="AB42" s="1465">
        <f t="shared" si="4"/>
        <v>1</v>
      </c>
      <c r="AC42" s="1465">
        <f t="shared" si="5"/>
        <v>1</v>
      </c>
    </row>
    <row r="43" spans="1:29" ht="15">
      <c r="A43" s="583" t="s">
        <v>539</v>
      </c>
      <c r="B43" s="584" t="s">
        <v>2631</v>
      </c>
      <c r="C43" s="585" t="s">
        <v>1</v>
      </c>
      <c r="D43" s="586"/>
      <c r="E43" s="587"/>
      <c r="F43" s="588"/>
      <c r="G43" s="589"/>
      <c r="H43" s="590"/>
      <c r="I43" s="587"/>
      <c r="J43" s="590"/>
      <c r="K43" s="1248"/>
      <c r="L43" s="1979"/>
      <c r="M43" s="1969"/>
      <c r="N43" s="1969"/>
      <c r="O43" s="1980"/>
      <c r="P43" s="3660" t="str">
        <f>A43</f>
        <v>成交单价</v>
      </c>
      <c r="Q43" s="3660"/>
      <c r="R43" s="3676">
        <f>E43</f>
        <v>0</v>
      </c>
      <c r="S43" s="3676"/>
      <c r="T43" s="3676">
        <f>G43</f>
        <v>0</v>
      </c>
      <c r="U43" s="3676"/>
      <c r="V43" s="3676">
        <f>I43</f>
        <v>0</v>
      </c>
      <c r="W43" s="3676"/>
      <c r="X43" s="1451"/>
      <c r="Y43" s="1470"/>
      <c r="Z43" s="1451"/>
      <c r="AA43" s="1451"/>
      <c r="AB43" s="1451"/>
      <c r="AC43" s="1451"/>
    </row>
    <row r="44" spans="1:29" ht="15.75" thickBot="1">
      <c r="A44" s="591" t="s">
        <v>2410</v>
      </c>
      <c r="B44" s="592"/>
      <c r="C44" s="593" t="e">
        <f>R45</f>
        <v>#DIV/0!</v>
      </c>
      <c r="D44" s="2920" t="s">
        <v>2697</v>
      </c>
      <c r="E44" s="593" t="e">
        <f>R44</f>
        <v>#DIV/0!</v>
      </c>
      <c r="F44" s="2921"/>
      <c r="G44" s="594" t="e">
        <f>T44</f>
        <v>#DIV/0!</v>
      </c>
      <c r="H44" s="2921"/>
      <c r="I44" s="593" t="e">
        <f>V44</f>
        <v>#DIV/0!</v>
      </c>
      <c r="J44" s="2921"/>
      <c r="K44" s="2922">
        <f>F44+H44+J44</f>
        <v>0</v>
      </c>
      <c r="L44" s="1979"/>
      <c r="M44" s="1969"/>
      <c r="N44" s="1969"/>
      <c r="O44" s="1980"/>
      <c r="P44" s="3660" t="str">
        <f>A44</f>
        <v>比较价格（元/平方米）</v>
      </c>
      <c r="Q44" s="3660"/>
      <c r="R44" s="3684" t="e">
        <f>ROUND(PRODUCT(R43,AA9:AA42),0)</f>
        <v>#DIV/0!</v>
      </c>
      <c r="S44" s="3684"/>
      <c r="T44" s="3684" t="e">
        <f>ROUND(PRODUCT(T43,AB9:AB42),0)</f>
        <v>#DIV/0!</v>
      </c>
      <c r="U44" s="3684"/>
      <c r="V44" s="3684" t="e">
        <f>ROUND(PRODUCT(V43,AC9:AC42),0)</f>
        <v>#DIV/0!</v>
      </c>
      <c r="W44" s="3684"/>
      <c r="X44" s="1451"/>
      <c r="Y44" s="1451"/>
      <c r="Z44" s="1451"/>
      <c r="AA44" s="1451"/>
      <c r="AB44" s="1451"/>
      <c r="AC44" s="1451"/>
    </row>
    <row r="45" spans="1:29" ht="15.75" thickBot="1">
      <c r="A45" s="595" t="s">
        <v>2632</v>
      </c>
      <c r="B45" s="596"/>
      <c r="C45" s="597" t="e">
        <f>R45</f>
        <v>#DIV/0!</v>
      </c>
      <c r="D45" s="597"/>
      <c r="E45" s="597"/>
      <c r="F45" s="597"/>
      <c r="G45" s="597"/>
      <c r="H45" s="597"/>
      <c r="I45" s="597"/>
      <c r="J45" s="597"/>
      <c r="K45" s="1249"/>
      <c r="L45" s="1979"/>
      <c r="M45" s="1969"/>
      <c r="N45" s="1969"/>
      <c r="O45" s="1980"/>
      <c r="P45" s="3666" t="str">
        <f>A45</f>
        <v>估价对象XX用房的比较价格（楼面单价，元/平方米）</v>
      </c>
      <c r="Q45" s="3667"/>
      <c r="R45" s="3689" t="e">
        <f>ROUND(IF(D44="简单平均",AVERAGE(R44:W44),R44*F44+T44*H44+V44*J44),0)</f>
        <v>#DIV/0!</v>
      </c>
      <c r="S45" s="3689"/>
      <c r="T45" s="3689"/>
      <c r="U45" s="3689"/>
      <c r="V45" s="3689"/>
      <c r="W45" s="3689"/>
      <c r="X45" s="1451"/>
      <c r="Y45" s="1451"/>
      <c r="Z45" s="1451"/>
      <c r="AA45" s="1451"/>
      <c r="AB45" s="1451"/>
      <c r="AC45" s="1451"/>
    </row>
    <row r="46" spans="1:29">
      <c r="A46" s="3120"/>
      <c r="B46" s="3120"/>
      <c r="C46" s="3120"/>
      <c r="D46" s="3120"/>
      <c r="E46" s="3120"/>
      <c r="F46" s="3120"/>
      <c r="G46" s="3122"/>
      <c r="H46" s="3120"/>
      <c r="I46" s="3120"/>
      <c r="J46" s="3120"/>
      <c r="K46" s="3123"/>
      <c r="L46" s="1984"/>
      <c r="M46" s="1969"/>
      <c r="N46" s="1969"/>
      <c r="O46" s="1980"/>
      <c r="P46" s="1980"/>
      <c r="Q46" s="1980"/>
      <c r="R46" s="1980"/>
      <c r="S46" s="1980"/>
      <c r="T46" s="1980"/>
      <c r="U46" s="1980"/>
      <c r="V46" s="1980"/>
      <c r="W46" s="1980"/>
      <c r="X46" s="1980"/>
      <c r="Y46" s="1980"/>
      <c r="Z46" s="1980"/>
      <c r="AA46" s="1980"/>
      <c r="AB46" s="1980"/>
      <c r="AC46" s="1980"/>
    </row>
    <row r="47" spans="1:29">
      <c r="A47" s="3120"/>
      <c r="B47" s="3120"/>
      <c r="C47" s="3120"/>
      <c r="D47" s="3120"/>
      <c r="E47" s="3120"/>
      <c r="F47" s="3120"/>
      <c r="G47" s="3120"/>
      <c r="H47" s="3120"/>
      <c r="I47" s="3120"/>
      <c r="J47" s="3120"/>
      <c r="K47" s="3123"/>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20"/>
      <c r="B48" s="3120"/>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3"/>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20"/>
      <c r="B49" s="3120"/>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3"/>
      <c r="L49" s="1984"/>
      <c r="M49" s="1980"/>
      <c r="N49" s="1980"/>
      <c r="O49" s="1980"/>
      <c r="P49" s="1980"/>
      <c r="Q49" s="1980"/>
      <c r="R49" s="1980"/>
      <c r="S49" s="1980"/>
      <c r="T49" s="1980"/>
      <c r="U49" s="1980"/>
      <c r="V49" s="1980"/>
      <c r="W49" s="1980"/>
      <c r="X49" s="1980"/>
      <c r="Y49" s="1980"/>
      <c r="Z49" s="1980"/>
      <c r="AA49" s="1980"/>
      <c r="AB49" s="1980"/>
      <c r="AC49" s="1980"/>
    </row>
    <row r="50" spans="1:29" s="1252" customFormat="1" ht="13.5" customHeight="1">
      <c r="A50" s="3121"/>
      <c r="B50" s="3121"/>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4"/>
      <c r="L50" s="1987"/>
      <c r="M50" s="1981"/>
      <c r="N50" s="1981"/>
      <c r="O50" s="1981"/>
      <c r="P50" s="1981"/>
      <c r="Q50" s="1981"/>
      <c r="R50" s="1981"/>
      <c r="S50" s="1981"/>
      <c r="T50" s="1981"/>
      <c r="U50" s="1981"/>
      <c r="V50" s="1981"/>
      <c r="W50" s="1981"/>
      <c r="X50" s="1981"/>
      <c r="Y50" s="1981"/>
      <c r="Z50" s="1981"/>
      <c r="AA50" s="1981"/>
      <c r="AB50" s="1981"/>
      <c r="AC50" s="1981"/>
    </row>
    <row r="51" spans="1:29" s="1252" customFormat="1" ht="15" thickBot="1">
      <c r="A51" s="3121"/>
      <c r="B51" s="3132"/>
      <c r="C51" s="1985"/>
      <c r="D51" s="1981"/>
      <c r="E51" s="1981"/>
      <c r="F51" s="1981"/>
      <c r="G51" s="1981"/>
      <c r="H51" s="1981"/>
      <c r="I51" s="1981"/>
      <c r="J51" s="1981"/>
      <c r="K51" s="3124"/>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685" t="s">
        <v>2075</v>
      </c>
      <c r="H52" s="3686"/>
      <c r="I52" s="1820" t="s">
        <v>1737</v>
      </c>
      <c r="J52" s="1448" t="str">
        <f>项目基本情况!F41</f>
        <v>海南省</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3" customFormat="1" ht="12.75">
      <c r="A53" s="607" t="s">
        <v>547</v>
      </c>
      <c r="B53" s="608" t="e">
        <f>C45</f>
        <v>#DIV/0!</v>
      </c>
      <c r="C53" s="609">
        <v>1</v>
      </c>
      <c r="D53" s="2061">
        <v>1</v>
      </c>
      <c r="E53" s="609">
        <f>'数据-汇总表'!E8+'数据-汇总表'!E9</f>
        <v>43511.83</v>
      </c>
      <c r="F53" s="1818" t="e">
        <f t="shared" ref="F53:F61" si="15">ROUND(B53*E53/10000,0)</f>
        <v>#DIV/0!</v>
      </c>
      <c r="G53" s="3687"/>
      <c r="H53" s="3688"/>
      <c r="I53" s="1821">
        <v>1</v>
      </c>
      <c r="J53" s="1449">
        <v>1</v>
      </c>
      <c r="K53" s="3125"/>
      <c r="L53" s="1989"/>
      <c r="M53" s="1989"/>
      <c r="N53" s="1989"/>
      <c r="O53" s="1989"/>
      <c r="P53" s="1989"/>
      <c r="Q53" s="1989"/>
      <c r="R53" s="1989"/>
      <c r="S53" s="1989"/>
      <c r="T53" s="1989"/>
      <c r="U53" s="1989"/>
      <c r="V53" s="1989"/>
      <c r="W53" s="1989"/>
      <c r="X53" s="1989"/>
      <c r="Y53" s="1989"/>
      <c r="Z53" s="1989"/>
      <c r="AA53" s="1989"/>
      <c r="AB53" s="1989"/>
      <c r="AC53" s="1989"/>
    </row>
    <row r="54" spans="1:29" s="1253" customFormat="1" ht="12.75">
      <c r="A54" s="611" t="s">
        <v>548</v>
      </c>
      <c r="B54" s="612" t="e">
        <f>ROUND($C$45*C54*D54,0)</f>
        <v>#DIV/0!</v>
      </c>
      <c r="C54" s="371">
        <f t="shared" ref="C54:C61" si="16">IF($C$52="北京市系数",I54,J54)</f>
        <v>0</v>
      </c>
      <c r="D54" s="2062">
        <v>0.25</v>
      </c>
      <c r="E54" s="613"/>
      <c r="F54" s="1818" t="e">
        <f t="shared" si="15"/>
        <v>#DIV/0!</v>
      </c>
      <c r="G54" s="3443" t="s">
        <v>2076</v>
      </c>
      <c r="H54" s="1822">
        <f>项目基本情况!B43</f>
        <v>0</v>
      </c>
      <c r="I54" s="1821">
        <f>SUMIF(修正!$A$57:$A$68,H54,修正!B57:B68)</f>
        <v>0</v>
      </c>
      <c r="J54" s="1450"/>
      <c r="K54" s="3125"/>
      <c r="L54" s="1989"/>
      <c r="M54" s="1989"/>
      <c r="N54" s="1989"/>
      <c r="O54" s="1989"/>
      <c r="P54" s="1989"/>
      <c r="Q54" s="1989"/>
      <c r="R54" s="1989"/>
      <c r="S54" s="1989"/>
      <c r="T54" s="1989"/>
      <c r="U54" s="1989"/>
      <c r="V54" s="1989"/>
      <c r="W54" s="1989"/>
      <c r="X54" s="1989"/>
      <c r="Y54" s="1989"/>
      <c r="Z54" s="1989"/>
      <c r="AA54" s="1989"/>
      <c r="AB54" s="1989"/>
      <c r="AC54" s="1989"/>
    </row>
    <row r="55" spans="1:29" s="1253" customFormat="1" ht="12.75">
      <c r="A55" s="611" t="s">
        <v>549</v>
      </c>
      <c r="B55" s="612" t="e">
        <f t="shared" ref="B55:B61" si="17">ROUND($C$45*C55*D55,0)</f>
        <v>#DIV/0!</v>
      </c>
      <c r="C55" s="371">
        <f t="shared" si="16"/>
        <v>0</v>
      </c>
      <c r="D55" s="2062">
        <v>0.25</v>
      </c>
      <c r="E55" s="613"/>
      <c r="F55" s="1818" t="e">
        <f t="shared" si="15"/>
        <v>#DIV/0!</v>
      </c>
      <c r="G55" s="3444"/>
      <c r="H55" s="1823">
        <f>项目基本情况!B43</f>
        <v>0</v>
      </c>
      <c r="I55" s="1821">
        <f>SUMIF(修正!$A$57:$A$68,H55,修正!C57:C68)</f>
        <v>0</v>
      </c>
      <c r="J55" s="1450"/>
      <c r="K55" s="3125"/>
      <c r="L55" s="1989"/>
      <c r="M55" s="1989"/>
      <c r="N55" s="1989"/>
      <c r="O55" s="1989"/>
      <c r="P55" s="1989"/>
      <c r="Q55" s="1989"/>
      <c r="R55" s="1989"/>
      <c r="S55" s="1989"/>
      <c r="T55" s="1989"/>
      <c r="U55" s="1989"/>
      <c r="V55" s="1989"/>
      <c r="W55" s="1989"/>
      <c r="X55" s="1989"/>
      <c r="Y55" s="1989"/>
      <c r="Z55" s="1989"/>
      <c r="AA55" s="1989"/>
      <c r="AB55" s="1989"/>
      <c r="AC55" s="1989"/>
    </row>
    <row r="56" spans="1:29" s="1253" customFormat="1" ht="12.75">
      <c r="A56" s="611" t="s">
        <v>550</v>
      </c>
      <c r="B56" s="612" t="e">
        <f t="shared" si="17"/>
        <v>#DIV/0!</v>
      </c>
      <c r="C56" s="371">
        <f t="shared" si="16"/>
        <v>0</v>
      </c>
      <c r="D56" s="2062">
        <v>0.25</v>
      </c>
      <c r="E56" s="613"/>
      <c r="F56" s="1818" t="e">
        <f t="shared" si="15"/>
        <v>#DIV/0!</v>
      </c>
      <c r="G56" s="3444"/>
      <c r="H56" s="1823">
        <f>项目基本情况!B43</f>
        <v>0</v>
      </c>
      <c r="I56" s="1821">
        <f>SUMIF(修正!$A$57:$A$68,H56,修正!D57:D68)</f>
        <v>0</v>
      </c>
      <c r="J56" s="1450"/>
      <c r="K56" s="3125"/>
      <c r="L56" s="1989"/>
      <c r="M56" s="1989"/>
      <c r="N56" s="1989"/>
      <c r="O56" s="1989"/>
      <c r="P56" s="1989"/>
      <c r="Q56" s="1989"/>
      <c r="R56" s="1989"/>
      <c r="S56" s="1989"/>
      <c r="T56" s="1989"/>
      <c r="U56" s="1989"/>
      <c r="V56" s="1989"/>
      <c r="W56" s="1989"/>
      <c r="X56" s="1989"/>
      <c r="Y56" s="1989"/>
      <c r="Z56" s="1989"/>
      <c r="AA56" s="1989"/>
      <c r="AB56" s="1989"/>
      <c r="AC56" s="1989"/>
    </row>
    <row r="57" spans="1:29" s="1253" customFormat="1" ht="12.75">
      <c r="A57" s="2164" t="s">
        <v>2118</v>
      </c>
      <c r="B57" s="612" t="e">
        <f t="shared" si="17"/>
        <v>#DIV/0!</v>
      </c>
      <c r="C57" s="371">
        <f t="shared" si="16"/>
        <v>0</v>
      </c>
      <c r="D57" s="2062">
        <v>0.25</v>
      </c>
      <c r="E57" s="615">
        <f>'数据-汇总表'!E11</f>
        <v>0</v>
      </c>
      <c r="F57" s="1818" t="e">
        <f t="shared" si="15"/>
        <v>#DIV/0!</v>
      </c>
      <c r="G57" s="1824" t="s">
        <v>2077</v>
      </c>
      <c r="H57" s="1823">
        <f>项目基本情况!C43</f>
        <v>0</v>
      </c>
      <c r="I57" s="1821">
        <f>SUMIF(修正!$A$57:$A$68,H57,修正!E57:E68)</f>
        <v>0</v>
      </c>
      <c r="J57" s="1450"/>
      <c r="K57" s="3125"/>
      <c r="L57" s="1989"/>
      <c r="M57" s="1989"/>
      <c r="N57" s="1989"/>
      <c r="O57" s="1989"/>
      <c r="P57" s="1989"/>
      <c r="Q57" s="1989"/>
      <c r="R57" s="1989"/>
      <c r="S57" s="1989"/>
      <c r="T57" s="1989"/>
      <c r="U57" s="1989"/>
      <c r="V57" s="1989"/>
      <c r="W57" s="1989"/>
      <c r="X57" s="1989"/>
      <c r="Y57" s="1989"/>
      <c r="Z57" s="1989"/>
      <c r="AA57" s="1989"/>
      <c r="AB57" s="1989"/>
      <c r="AC57" s="1989"/>
    </row>
    <row r="58" spans="1:29" s="1253" customFormat="1" ht="12.75">
      <c r="A58" s="611" t="s">
        <v>551</v>
      </c>
      <c r="B58" s="612" t="e">
        <f t="shared" si="17"/>
        <v>#DIV/0!</v>
      </c>
      <c r="C58" s="371">
        <f t="shared" si="16"/>
        <v>0</v>
      </c>
      <c r="D58" s="2062">
        <v>0.25</v>
      </c>
      <c r="E58" s="615">
        <f>'数据-汇总表'!E12</f>
        <v>0</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5"/>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552</v>
      </c>
      <c r="B59" s="612" t="e">
        <f t="shared" si="17"/>
        <v>#DIV/0!</v>
      </c>
      <c r="C59" s="371">
        <f t="shared" si="16"/>
        <v>0</v>
      </c>
      <c r="D59" s="2062">
        <v>0.25</v>
      </c>
      <c r="E59" s="615">
        <f>'数据-汇总表'!E13</f>
        <v>7725.79</v>
      </c>
      <c r="F59" s="1818" t="e">
        <f t="shared" si="15"/>
        <v>#DIV/0!</v>
      </c>
      <c r="G59" s="1814" t="s">
        <v>902</v>
      </c>
      <c r="H59" s="1822">
        <f>IF(G59="商业",项目基本情况!B43,IF(G59="办公",项目基本情况!C43,IF(G59="住宅",项目基本情况!D43,项目基本情况!E43)))</f>
        <v>0</v>
      </c>
      <c r="I59" s="1821">
        <f>SUMIF(修正!$A$57:$A$68,H59,修正!G57:G68)</f>
        <v>0</v>
      </c>
      <c r="J59" s="1450"/>
      <c r="K59" s="3125"/>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5"/>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5"/>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3.5" thickBot="1">
      <c r="A62" s="616" t="s">
        <v>555</v>
      </c>
      <c r="B62" s="617" t="s">
        <v>17</v>
      </c>
      <c r="C62" s="617" t="s">
        <v>18</v>
      </c>
      <c r="D62" s="617" t="s">
        <v>2084</v>
      </c>
      <c r="E62" s="617">
        <f>IF(B43="楼面地价",SUM(E53:E61),'数据-汇总表'!D3)</f>
        <v>97473.98</v>
      </c>
      <c r="F62" s="618" t="e">
        <f>IF(B43="楼面地价",SUM(F53:F61),ROUND(C45*E62/10000,0))</f>
        <v>#DIV/0!</v>
      </c>
      <c r="G62" s="1990"/>
      <c r="H62" s="1990"/>
      <c r="I62" s="1990"/>
      <c r="J62" s="1990"/>
      <c r="K62" s="3133"/>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2022-6-1</v>
      </c>
      <c r="D64" s="2437">
        <f>EDATE(C64,-3)</f>
        <v>44621</v>
      </c>
      <c r="E64" s="2437">
        <f t="shared" ref="E64:N64" si="18">EDATE(D64,-3)</f>
        <v>44531</v>
      </c>
      <c r="F64" s="2437">
        <f t="shared" si="18"/>
        <v>44440</v>
      </c>
      <c r="G64" s="2437">
        <f t="shared" si="18"/>
        <v>44348</v>
      </c>
      <c r="H64" s="2437">
        <f t="shared" si="18"/>
        <v>44256</v>
      </c>
      <c r="I64" s="2437">
        <f t="shared" si="18"/>
        <v>44166</v>
      </c>
      <c r="J64" s="2437">
        <f t="shared" si="18"/>
        <v>44075</v>
      </c>
      <c r="K64" s="2437">
        <f t="shared" si="18"/>
        <v>43983</v>
      </c>
      <c r="L64" s="2437">
        <f t="shared" si="18"/>
        <v>43891</v>
      </c>
      <c r="M64" s="2437">
        <f t="shared" si="18"/>
        <v>43800</v>
      </c>
      <c r="N64" s="2437">
        <f t="shared" si="18"/>
        <v>43709</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4" customFormat="1" ht="15">
      <c r="A66" s="2342" t="s">
        <v>2251</v>
      </c>
      <c r="B66" s="620"/>
      <c r="C66" s="2434" t="str">
        <f>YEAR(C64)&amp;"-"&amp;ROUNDUP(MONTH(C64)/3,0)</f>
        <v>2022-2</v>
      </c>
      <c r="D66" s="2439" t="str">
        <f t="shared" ref="D66:N66" si="19">YEAR(D64)&amp;"-"&amp;ROUNDUP(MONTH(D64)/3,0)</f>
        <v>2022-1</v>
      </c>
      <c r="E66" s="2439" t="str">
        <f t="shared" si="19"/>
        <v>2021-4</v>
      </c>
      <c r="F66" s="2439" t="str">
        <f t="shared" si="19"/>
        <v>2021-3</v>
      </c>
      <c r="G66" s="2439" t="str">
        <f t="shared" si="19"/>
        <v>2021-2</v>
      </c>
      <c r="H66" s="2439" t="str">
        <f t="shared" si="19"/>
        <v>2021-1</v>
      </c>
      <c r="I66" s="2439" t="str">
        <f t="shared" si="19"/>
        <v>2020-4</v>
      </c>
      <c r="J66" s="2439" t="str">
        <f t="shared" si="19"/>
        <v>2020-3</v>
      </c>
      <c r="K66" s="2439" t="str">
        <f t="shared" si="19"/>
        <v>2020-2</v>
      </c>
      <c r="L66" s="2439" t="str">
        <f t="shared" si="19"/>
        <v>2020-1</v>
      </c>
      <c r="M66" s="2439" t="str">
        <f t="shared" si="19"/>
        <v>2019-4</v>
      </c>
      <c r="N66" s="2439" t="str">
        <f t="shared" si="19"/>
        <v>2019-3</v>
      </c>
      <c r="O66" s="1993"/>
      <c r="P66" s="1994"/>
      <c r="Q66" s="1995"/>
      <c r="R66" s="1995"/>
      <c r="S66" s="1995"/>
      <c r="T66" s="1995"/>
      <c r="U66" s="1995"/>
      <c r="V66" s="1995"/>
      <c r="W66" s="1995"/>
      <c r="X66" s="1995"/>
      <c r="Y66" s="1995"/>
      <c r="Z66" s="1995"/>
      <c r="AA66" s="1995"/>
      <c r="AB66" s="1995"/>
      <c r="AC66" s="1995"/>
    </row>
    <row r="67" spans="1:29" s="1165" customFormat="1" ht="27.75" customHeight="1">
      <c r="A67" s="2436" t="s">
        <v>2366</v>
      </c>
      <c r="B67" s="471" t="str">
        <f>"北京市平均增长率"&amp;TEXT(基准地价!P24,"0.00%")</f>
        <v>北京市平均增长率1.16%</v>
      </c>
      <c r="C67" s="864">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5"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5" customFormat="1" ht="15">
      <c r="A69" s="633" t="s">
        <v>514</v>
      </c>
      <c r="B69" s="622"/>
      <c r="C69" s="634" t="s">
        <v>558</v>
      </c>
      <c r="D69" s="635"/>
      <c r="E69" s="635"/>
      <c r="F69" s="635"/>
      <c r="G69" s="635"/>
      <c r="H69" s="635"/>
      <c r="I69" s="635"/>
      <c r="J69" s="635"/>
      <c r="K69" s="635"/>
      <c r="L69" s="636"/>
      <c r="M69" s="637"/>
      <c r="N69" s="3134"/>
      <c r="O69" s="1996"/>
      <c r="P69" s="1997"/>
      <c r="Q69" s="1992"/>
      <c r="R69" s="1858"/>
      <c r="S69" s="1858"/>
      <c r="T69" s="1858"/>
      <c r="U69" s="1858"/>
      <c r="V69" s="1858"/>
      <c r="W69" s="1858"/>
      <c r="X69" s="1858"/>
      <c r="Y69" s="1858"/>
      <c r="Z69" s="1858"/>
      <c r="AA69" s="1858"/>
      <c r="AB69" s="1858"/>
      <c r="AC69" s="1858"/>
    </row>
    <row r="70" spans="1:29" s="1165" customFormat="1" ht="15.75" thickBot="1">
      <c r="A70" s="633"/>
      <c r="B70" s="622"/>
      <c r="C70" s="623">
        <v>100</v>
      </c>
      <c r="D70" s="624"/>
      <c r="E70" s="624"/>
      <c r="F70" s="624"/>
      <c r="G70" s="624"/>
      <c r="H70" s="624"/>
      <c r="I70" s="624"/>
      <c r="J70" s="624"/>
      <c r="K70" s="624"/>
      <c r="L70" s="624"/>
      <c r="M70" s="626"/>
      <c r="N70" s="3134"/>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5"/>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6"/>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5"/>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6"/>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6"/>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5"/>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6"/>
      <c r="O77" s="2000"/>
      <c r="P77" s="1999"/>
      <c r="Q77" s="1992"/>
      <c r="R77" s="1980"/>
      <c r="S77" s="1980"/>
      <c r="T77" s="1980"/>
      <c r="U77" s="1980"/>
      <c r="V77" s="1980"/>
      <c r="W77" s="1980"/>
      <c r="X77" s="1980"/>
      <c r="Y77" s="1980"/>
      <c r="Z77" s="1980"/>
      <c r="AA77" s="1980"/>
      <c r="AB77" s="1980"/>
      <c r="AC77" s="1980"/>
    </row>
    <row r="78" spans="1:29" s="1247" customFormat="1" ht="15.75" thickTop="1">
      <c r="A78" s="661"/>
      <c r="B78" s="647">
        <f>B14</f>
        <v>111</v>
      </c>
      <c r="C78" s="662"/>
      <c r="D78" s="662"/>
      <c r="E78" s="662"/>
      <c r="F78" s="662"/>
      <c r="G78" s="662"/>
      <c r="H78" s="663"/>
      <c r="I78" s="663"/>
      <c r="J78" s="663"/>
      <c r="K78" s="663"/>
      <c r="L78" s="664"/>
      <c r="M78" s="665"/>
      <c r="N78" s="3137"/>
      <c r="O78" s="2001"/>
      <c r="P78" s="2002"/>
      <c r="Q78" s="2003"/>
      <c r="R78" s="2004"/>
      <c r="S78" s="2004"/>
      <c r="T78" s="2004"/>
      <c r="U78" s="2004"/>
      <c r="V78" s="2004"/>
      <c r="W78" s="2004"/>
      <c r="X78" s="2004"/>
      <c r="Y78" s="2004"/>
      <c r="Z78" s="2004"/>
      <c r="AA78" s="2004"/>
      <c r="AB78" s="2004"/>
      <c r="AC78" s="2004"/>
    </row>
    <row r="79" spans="1:29" s="1247" customFormat="1" ht="15.75" thickBot="1">
      <c r="A79" s="661"/>
      <c r="B79" s="652"/>
      <c r="C79" s="666"/>
      <c r="D79" s="645"/>
      <c r="E79" s="645"/>
      <c r="F79" s="645"/>
      <c r="G79" s="645"/>
      <c r="H79" s="645"/>
      <c r="I79" s="645"/>
      <c r="J79" s="645"/>
      <c r="K79" s="645"/>
      <c r="L79" s="645"/>
      <c r="M79" s="646"/>
      <c r="N79" s="3136"/>
      <c r="O79" s="2000"/>
      <c r="P79" s="2002"/>
      <c r="Q79" s="2003"/>
      <c r="R79" s="2004"/>
      <c r="S79" s="2004"/>
      <c r="T79" s="2004"/>
      <c r="U79" s="2004"/>
      <c r="V79" s="2004"/>
      <c r="W79" s="2004"/>
      <c r="X79" s="2004"/>
      <c r="Y79" s="2004"/>
      <c r="Z79" s="2004"/>
      <c r="AA79" s="2004"/>
      <c r="AB79" s="2004"/>
      <c r="AC79" s="2004"/>
    </row>
    <row r="80" spans="1:29" s="1247" customFormat="1" ht="15.75" thickTop="1">
      <c r="A80" s="661"/>
      <c r="B80" s="647">
        <f>B15</f>
        <v>111</v>
      </c>
      <c r="C80" s="662"/>
      <c r="D80" s="662"/>
      <c r="E80" s="662"/>
      <c r="F80" s="662"/>
      <c r="G80" s="662"/>
      <c r="H80" s="663"/>
      <c r="I80" s="663"/>
      <c r="J80" s="663"/>
      <c r="K80" s="663"/>
      <c r="L80" s="664"/>
      <c r="M80" s="665"/>
      <c r="N80" s="3137"/>
      <c r="O80" s="2001"/>
      <c r="P80" s="2005"/>
      <c r="Q80" s="2006"/>
      <c r="R80" s="2004"/>
      <c r="S80" s="2004"/>
      <c r="T80" s="2004"/>
      <c r="U80" s="2004"/>
      <c r="V80" s="2004"/>
      <c r="W80" s="2004"/>
      <c r="X80" s="2004"/>
      <c r="Y80" s="2004"/>
      <c r="Z80" s="2004"/>
      <c r="AA80" s="2004"/>
      <c r="AB80" s="2004"/>
      <c r="AC80" s="2004"/>
    </row>
    <row r="81" spans="1:29" s="1247" customFormat="1" ht="15.75" thickBot="1">
      <c r="A81" s="661"/>
      <c r="B81" s="652"/>
      <c r="C81" s="666"/>
      <c r="D81" s="666"/>
      <c r="E81" s="666"/>
      <c r="F81" s="666"/>
      <c r="G81" s="666"/>
      <c r="H81" s="667"/>
      <c r="I81" s="667"/>
      <c r="J81" s="667"/>
      <c r="K81" s="667"/>
      <c r="L81" s="667"/>
      <c r="M81" s="668"/>
      <c r="N81" s="3137"/>
      <c r="O81" s="2001"/>
      <c r="P81" s="2002"/>
      <c r="Q81" s="2003"/>
      <c r="R81" s="2004"/>
      <c r="S81" s="2004"/>
      <c r="T81" s="2004"/>
      <c r="U81" s="2004"/>
      <c r="V81" s="2004"/>
      <c r="W81" s="2004"/>
      <c r="X81" s="2004"/>
      <c r="Y81" s="2004"/>
      <c r="Z81" s="2004"/>
      <c r="AA81" s="2004"/>
      <c r="AB81" s="2004"/>
      <c r="AC81" s="2004"/>
    </row>
    <row r="82" spans="1:29" s="1247" customFormat="1" ht="15.75" thickTop="1">
      <c r="A82" s="661"/>
      <c r="B82" s="655">
        <f>B16</f>
        <v>111</v>
      </c>
      <c r="C82" s="635"/>
      <c r="D82" s="635"/>
      <c r="E82" s="635"/>
      <c r="F82" s="635"/>
      <c r="G82" s="635"/>
      <c r="H82" s="669"/>
      <c r="I82" s="669"/>
      <c r="J82" s="669"/>
      <c r="K82" s="669"/>
      <c r="L82" s="670"/>
      <c r="M82" s="671"/>
      <c r="N82" s="3137"/>
      <c r="O82" s="2001"/>
      <c r="P82" s="2007"/>
      <c r="Q82" s="2003"/>
      <c r="R82" s="2004"/>
      <c r="S82" s="2004"/>
      <c r="T82" s="2004"/>
      <c r="U82" s="2004"/>
      <c r="V82" s="2004"/>
      <c r="W82" s="2004"/>
      <c r="X82" s="2004"/>
      <c r="Y82" s="2004"/>
      <c r="Z82" s="2004"/>
      <c r="AA82" s="2004"/>
      <c r="AB82" s="2004"/>
      <c r="AC82" s="2004"/>
    </row>
    <row r="83" spans="1:29" s="1247" customFormat="1" ht="15.75" thickBot="1">
      <c r="A83" s="672"/>
      <c r="B83" s="673"/>
      <c r="C83" s="674"/>
      <c r="D83" s="674"/>
      <c r="E83" s="674"/>
      <c r="F83" s="674"/>
      <c r="G83" s="674"/>
      <c r="H83" s="675"/>
      <c r="I83" s="675"/>
      <c r="J83" s="675"/>
      <c r="K83" s="675"/>
      <c r="L83" s="675"/>
      <c r="M83" s="676"/>
      <c r="N83" s="3137"/>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5"/>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6"/>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5"/>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6"/>
      <c r="O87" s="2000"/>
      <c r="P87" s="1999"/>
      <c r="Q87" s="1992"/>
      <c r="R87" s="1980"/>
      <c r="S87" s="1980"/>
      <c r="T87" s="1980"/>
      <c r="U87" s="1980"/>
      <c r="V87" s="1980"/>
      <c r="W87" s="1980"/>
      <c r="X87" s="1980"/>
      <c r="Y87" s="1980"/>
      <c r="Z87" s="1980"/>
      <c r="AA87" s="1980"/>
      <c r="AB87" s="1980"/>
      <c r="AC87" s="1980"/>
    </row>
    <row r="88" spans="1:29" s="1165" customFormat="1" ht="27.75" thickTop="1">
      <c r="A88" s="683"/>
      <c r="B88" s="647" t="s">
        <v>569</v>
      </c>
      <c r="C88" s="682" t="s">
        <v>561</v>
      </c>
      <c r="D88" s="682" t="s">
        <v>562</v>
      </c>
      <c r="E88" s="682" t="s">
        <v>563</v>
      </c>
      <c r="F88" s="682" t="s">
        <v>564</v>
      </c>
      <c r="G88" s="682" t="s">
        <v>565</v>
      </c>
      <c r="H88" s="682"/>
      <c r="I88" s="682"/>
      <c r="J88" s="682"/>
      <c r="K88" s="682"/>
      <c r="L88" s="684"/>
      <c r="M88" s="685"/>
      <c r="N88" s="3134"/>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36"/>
      <c r="O89" s="2000"/>
      <c r="P89" s="1999"/>
      <c r="Q89" s="1992"/>
      <c r="R89" s="1858"/>
      <c r="S89" s="1858"/>
      <c r="T89" s="1858"/>
      <c r="U89" s="1858"/>
      <c r="V89" s="1858"/>
      <c r="W89" s="1858"/>
      <c r="X89" s="1858"/>
      <c r="Y89" s="1858"/>
      <c r="Z89" s="1858"/>
      <c r="AA89" s="1858"/>
      <c r="AB89" s="1858"/>
      <c r="AC89" s="1858"/>
    </row>
    <row r="90" spans="1:29" s="1165" customFormat="1" ht="27.75" thickTop="1">
      <c r="A90" s="683"/>
      <c r="B90" s="647" t="s">
        <v>570</v>
      </c>
      <c r="C90" s="677" t="s">
        <v>561</v>
      </c>
      <c r="D90" s="677" t="s">
        <v>562</v>
      </c>
      <c r="E90" s="677" t="s">
        <v>563</v>
      </c>
      <c r="F90" s="677" t="s">
        <v>564</v>
      </c>
      <c r="G90" s="677" t="s">
        <v>565</v>
      </c>
      <c r="H90" s="682"/>
      <c r="I90" s="682"/>
      <c r="J90" s="682"/>
      <c r="K90" s="682"/>
      <c r="L90" s="682"/>
      <c r="M90" s="685"/>
      <c r="N90" s="3134"/>
      <c r="O90" s="1996"/>
      <c r="P90" s="1999"/>
      <c r="Q90" s="1992"/>
      <c r="R90" s="1858"/>
      <c r="S90" s="1858"/>
      <c r="T90" s="1858"/>
      <c r="U90" s="1858"/>
      <c r="V90" s="1858"/>
      <c r="W90" s="1858"/>
      <c r="X90" s="1858"/>
      <c r="Y90" s="1858"/>
      <c r="Z90" s="1858"/>
      <c r="AA90" s="1858"/>
      <c r="AB90" s="1858"/>
      <c r="AC90" s="1858"/>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36"/>
      <c r="O91" s="2000"/>
      <c r="P91" s="1999"/>
      <c r="Q91" s="1992"/>
      <c r="R91" s="1858"/>
      <c r="S91" s="1858"/>
      <c r="T91" s="1858"/>
      <c r="U91" s="1858"/>
      <c r="V91" s="1858"/>
      <c r="W91" s="1858"/>
      <c r="X91" s="1858"/>
      <c r="Y91" s="1858"/>
      <c r="Z91" s="1858"/>
      <c r="AA91" s="1858"/>
      <c r="AB91" s="1858"/>
      <c r="AC91" s="1858"/>
    </row>
    <row r="92" spans="1:29" s="1247" customFormat="1" ht="15.75" thickTop="1">
      <c r="A92" s="661"/>
      <c r="B92" s="1764" t="s">
        <v>2266</v>
      </c>
      <c r="C92" s="677" t="s">
        <v>561</v>
      </c>
      <c r="D92" s="677" t="s">
        <v>562</v>
      </c>
      <c r="E92" s="677" t="s">
        <v>563</v>
      </c>
      <c r="F92" s="677" t="s">
        <v>564</v>
      </c>
      <c r="G92" s="677" t="s">
        <v>565</v>
      </c>
      <c r="H92" s="687"/>
      <c r="I92" s="687"/>
      <c r="J92" s="687"/>
      <c r="K92" s="687"/>
      <c r="L92" s="688"/>
      <c r="M92" s="689"/>
      <c r="N92" s="3137"/>
      <c r="O92" s="2001"/>
      <c r="P92" s="2002"/>
      <c r="Q92" s="2003"/>
      <c r="R92" s="2004"/>
      <c r="S92" s="2004"/>
      <c r="T92" s="2004"/>
      <c r="U92" s="2004"/>
      <c r="V92" s="2004"/>
      <c r="W92" s="2004"/>
      <c r="X92" s="2004"/>
      <c r="Y92" s="2004"/>
      <c r="Z92" s="2004"/>
      <c r="AA92" s="2004"/>
      <c r="AB92" s="2004"/>
      <c r="AC92" s="2004"/>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37"/>
      <c r="O93" s="2001"/>
      <c r="P93" s="2002"/>
      <c r="Q93" s="2003"/>
      <c r="R93" s="2004"/>
      <c r="S93" s="2004"/>
      <c r="T93" s="2004"/>
      <c r="U93" s="2004"/>
      <c r="V93" s="2004"/>
      <c r="W93" s="2004"/>
      <c r="X93" s="2004"/>
      <c r="Y93" s="2004"/>
      <c r="Z93" s="2004"/>
      <c r="AA93" s="2004"/>
      <c r="AB93" s="2004"/>
      <c r="AC93" s="2004"/>
    </row>
    <row r="94" spans="1:29" s="1247" customFormat="1" ht="15.75" thickTop="1">
      <c r="A94" s="661"/>
      <c r="B94" s="2362" t="s">
        <v>2268</v>
      </c>
      <c r="C94" s="2363" t="s">
        <v>2269</v>
      </c>
      <c r="D94" s="2363" t="s">
        <v>2270</v>
      </c>
      <c r="E94" s="2363" t="s">
        <v>2271</v>
      </c>
      <c r="F94" s="2363" t="s">
        <v>2272</v>
      </c>
      <c r="G94" s="2363" t="s">
        <v>2273</v>
      </c>
      <c r="H94" s="687"/>
      <c r="I94" s="687"/>
      <c r="J94" s="687"/>
      <c r="K94" s="687"/>
      <c r="L94" s="687"/>
      <c r="M94" s="689"/>
      <c r="N94" s="3137"/>
      <c r="O94" s="2001"/>
      <c r="P94" s="2002"/>
      <c r="Q94" s="2003"/>
      <c r="R94" s="2004"/>
      <c r="S94" s="2004"/>
      <c r="T94" s="2004"/>
      <c r="U94" s="2004"/>
      <c r="V94" s="2004"/>
      <c r="W94" s="2004"/>
      <c r="X94" s="2004"/>
      <c r="Y94" s="2004"/>
      <c r="Z94" s="2004"/>
      <c r="AA94" s="2004"/>
      <c r="AB94" s="2004"/>
      <c r="AC94" s="2004"/>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55"/>
      <c r="N95" s="3137"/>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5"/>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6"/>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5"/>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6"/>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5"/>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6"/>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5"/>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6"/>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5"/>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6"/>
      <c r="O105" s="2000"/>
      <c r="P105" s="1999"/>
      <c r="Q105" s="1992"/>
      <c r="R105" s="1980"/>
      <c r="S105" s="1980"/>
      <c r="T105" s="1980"/>
      <c r="U105" s="1980"/>
      <c r="V105" s="1980"/>
      <c r="W105" s="1980"/>
      <c r="X105" s="1980"/>
      <c r="Y105" s="1980"/>
      <c r="Z105" s="1980"/>
      <c r="AA105" s="1980"/>
      <c r="AB105" s="1980"/>
      <c r="AC105" s="1980"/>
    </row>
    <row r="106" spans="1:29" s="1247" customFormat="1" ht="15" thickTop="1">
      <c r="A106" s="702"/>
      <c r="B106" s="703">
        <f>B35</f>
        <v>111</v>
      </c>
      <c r="C106" s="635"/>
      <c r="D106" s="635"/>
      <c r="E106" s="635"/>
      <c r="F106" s="635"/>
      <c r="G106" s="704"/>
      <c r="H106" s="704"/>
      <c r="I106" s="704"/>
      <c r="J106" s="705"/>
      <c r="K106" s="705"/>
      <c r="L106" s="706"/>
      <c r="M106" s="707"/>
      <c r="N106" s="3137"/>
      <c r="O106" s="2001"/>
      <c r="P106" s="2002"/>
      <c r="Q106" s="2003"/>
      <c r="R106" s="2004"/>
      <c r="S106" s="2004"/>
      <c r="T106" s="2004"/>
      <c r="U106" s="2004"/>
      <c r="V106" s="2004"/>
      <c r="W106" s="2004"/>
      <c r="X106" s="2004"/>
      <c r="Y106" s="2004"/>
      <c r="Z106" s="2004"/>
      <c r="AA106" s="2004"/>
      <c r="AB106" s="2004"/>
      <c r="AC106" s="2004"/>
    </row>
    <row r="107" spans="1:29" s="1247" customFormat="1" ht="15.75" thickBot="1">
      <c r="A107" s="661"/>
      <c r="B107" s="655"/>
      <c r="C107" s="674"/>
      <c r="D107" s="674"/>
      <c r="E107" s="674"/>
      <c r="F107" s="674"/>
      <c r="G107" s="568"/>
      <c r="H107" s="568"/>
      <c r="I107" s="568"/>
      <c r="J107" s="568"/>
      <c r="K107" s="568"/>
      <c r="L107" s="568"/>
      <c r="M107" s="708"/>
      <c r="N107" s="3136"/>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6" t="str">
        <f t="shared" si="25"/>
        <v>(含)-</v>
      </c>
      <c r="L108" s="2697" t="str">
        <f t="shared" si="25"/>
        <v>(含)-</v>
      </c>
      <c r="M108" s="2698" t="str">
        <f>M109&amp;"(含)"&amp;"-"&amp;P109</f>
        <v>(含)-</v>
      </c>
      <c r="N108" s="3135"/>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5"/>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6"/>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5"/>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6"/>
      <c r="O112" s="2000"/>
      <c r="P112" s="1999"/>
      <c r="Q112" s="1992"/>
      <c r="R112" s="1980"/>
      <c r="S112" s="1980"/>
      <c r="T112" s="1980"/>
      <c r="U112" s="1980"/>
      <c r="V112" s="1980"/>
      <c r="W112" s="1980"/>
      <c r="X112" s="1980"/>
      <c r="Y112" s="1980"/>
      <c r="Z112" s="1980"/>
      <c r="AA112" s="1980"/>
      <c r="AB112" s="1980"/>
      <c r="AC112" s="1980"/>
    </row>
    <row r="113" spans="1:29" s="1247" customFormat="1" ht="15" thickTop="1">
      <c r="A113" s="702"/>
      <c r="B113" s="1764" t="s">
        <v>2212</v>
      </c>
      <c r="C113" s="1281"/>
      <c r="D113" s="1281"/>
      <c r="E113" s="1281"/>
      <c r="F113" s="1281"/>
      <c r="G113" s="1281"/>
      <c r="H113" s="692"/>
      <c r="I113" s="692"/>
      <c r="J113" s="692"/>
      <c r="K113" s="693"/>
      <c r="L113" s="694"/>
      <c r="M113" s="695"/>
      <c r="N113" s="3137"/>
      <c r="O113" s="2001"/>
      <c r="P113" s="2002"/>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7"/>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5"/>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6"/>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5"/>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6"/>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5"/>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6"/>
      <c r="O120" s="2000"/>
      <c r="P120" s="1999"/>
      <c r="Q120" s="1992"/>
      <c r="R120" s="1980"/>
      <c r="S120" s="1980"/>
      <c r="T120" s="1980"/>
      <c r="U120" s="1980"/>
      <c r="V120" s="1980"/>
      <c r="W120" s="1980"/>
      <c r="X120" s="1980"/>
      <c r="Y120" s="1980"/>
      <c r="Z120" s="1980"/>
      <c r="AA120" s="1980"/>
      <c r="AB120" s="1980"/>
      <c r="AC120" s="1980"/>
    </row>
    <row r="121" spans="1:29" s="1247" customFormat="1" ht="15" thickTop="1">
      <c r="A121" s="702"/>
      <c r="B121" s="647">
        <f>B42</f>
        <v>111</v>
      </c>
      <c r="C121" s="635"/>
      <c r="D121" s="635"/>
      <c r="E121" s="635"/>
      <c r="F121" s="635"/>
      <c r="G121" s="663"/>
      <c r="H121" s="663"/>
      <c r="I121" s="663"/>
      <c r="J121" s="663"/>
      <c r="K121" s="663"/>
      <c r="L121" s="664"/>
      <c r="M121" s="665"/>
      <c r="N121" s="3137"/>
      <c r="O121" s="2001"/>
      <c r="P121" s="2002"/>
      <c r="Q121" s="2003"/>
      <c r="R121" s="2004"/>
      <c r="S121" s="2004"/>
      <c r="T121" s="2004"/>
      <c r="U121" s="2004"/>
      <c r="V121" s="2004"/>
      <c r="W121" s="2004"/>
      <c r="X121" s="2004"/>
      <c r="Y121" s="2004"/>
      <c r="Z121" s="2004"/>
      <c r="AA121" s="2004"/>
      <c r="AB121" s="2004"/>
      <c r="AC121" s="2004"/>
    </row>
    <row r="122" spans="1:29" s="1247" customFormat="1" ht="15.75" thickBot="1">
      <c r="A122" s="672"/>
      <c r="B122" s="710"/>
      <c r="C122" s="674"/>
      <c r="D122" s="674"/>
      <c r="E122" s="674"/>
      <c r="F122" s="674"/>
      <c r="G122" s="700"/>
      <c r="H122" s="700"/>
      <c r="I122" s="700"/>
      <c r="J122" s="700"/>
      <c r="K122" s="700"/>
      <c r="L122" s="700"/>
      <c r="M122" s="701"/>
      <c r="N122" s="3137"/>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57" sqref="A57:XFD57"/>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4" t="s">
        <v>2478</v>
      </c>
      <c r="S1" s="2574" t="s">
        <v>2479</v>
      </c>
      <c r="T1" s="2574" t="s">
        <v>2500</v>
      </c>
      <c r="U1" s="2574" t="s">
        <v>2501</v>
      </c>
      <c r="V1" s="2574" t="s">
        <v>2502</v>
      </c>
      <c r="W1" s="2023"/>
      <c r="X1" s="2023"/>
      <c r="Y1" s="2023"/>
      <c r="Z1" s="2023"/>
      <c r="AA1" s="2023"/>
      <c r="AB1" s="2023"/>
      <c r="AC1" s="2024"/>
    </row>
    <row r="2" spans="1:39" ht="15.75">
      <c r="A2" s="1309" t="s">
        <v>899</v>
      </c>
      <c r="B2" s="1006"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8"/>
      <c r="L2" s="1753" t="s">
        <v>2031</v>
      </c>
      <c r="M2" s="1754">
        <f>SUMPRODUCT((区片价!B10:B28=I2)*(区片价!C3:F3=E2)*(区片价!C10:F28))</f>
        <v>0</v>
      </c>
      <c r="N2" s="1755">
        <f>SUMPRODUCT((因素修正幅度!B10:B28=I2)*(因素修正幅度!C3:F3=E2)*(因素修正幅度!C10:F28))</f>
        <v>0</v>
      </c>
      <c r="O2" s="3138"/>
      <c r="P2" s="2023"/>
      <c r="Q2" s="2023"/>
      <c r="R2" s="2575">
        <v>1</v>
      </c>
      <c r="S2" s="2575" t="e">
        <f>ROUND(IF(G3&gt;1,IF(R2&lt;7,SUMPRODUCT((B93:B98=R2)*(C92:N92=G2)*(C93:N98)),SUMIF(C92:N92,G2,C100:N100)),IF(R2&lt;7,SUMPRODUCT((B102:B107=R2)*(C92:N92=G2)*(C102:N107)),SUMIF(C92:N92,G2,C109:N109))),4)</f>
        <v>#DIV/0!</v>
      </c>
      <c r="T2" s="2575" t="e">
        <f>ROUND($C$5*$C$18*$C$19*$C$20*S2*$C$24,0)</f>
        <v>#DIV/0!</v>
      </c>
      <c r="U2" s="2564"/>
      <c r="V2" s="2575" t="e">
        <f>ROUND(T2*U2/10000,0)</f>
        <v>#DIV/0!</v>
      </c>
      <c r="W2" s="2023"/>
      <c r="X2" s="2023"/>
      <c r="Y2" s="2023"/>
      <c r="Z2" s="2023"/>
      <c r="AA2" s="2023"/>
      <c r="AB2" s="2023"/>
      <c r="AC2" s="2024"/>
    </row>
    <row r="3" spans="1:39" ht="15.75">
      <c r="A3" s="1314" t="s">
        <v>1487</v>
      </c>
      <c r="B3" s="1006" t="e">
        <f>ROUND(B2*10000/D1,0)</f>
        <v>#DIV/0!</v>
      </c>
      <c r="C3" s="1310" t="s">
        <v>906</v>
      </c>
      <c r="D3" s="1311" t="s">
        <v>907</v>
      </c>
      <c r="E3" s="1315"/>
      <c r="F3" s="1316"/>
      <c r="G3" s="1007">
        <f>IF(F3="宗地容积率",'数据-汇总表'!I4,IF(F3="估价对象容积率",'数据-汇总表'!I6,'数据-汇总表'!I7))</f>
        <v>0</v>
      </c>
      <c r="H3" s="1317" t="s">
        <v>908</v>
      </c>
      <c r="I3" s="1008">
        <v>8</v>
      </c>
      <c r="J3" s="1313" t="s">
        <v>909</v>
      </c>
      <c r="K3" s="3138"/>
      <c r="L3" s="1753" t="s">
        <v>2032</v>
      </c>
      <c r="M3" s="1754">
        <f>SUMPRODUCT((区片价!B29:B48=I2)*(区片价!C3:F3=E2)*(区片价!C29:F48))</f>
        <v>0</v>
      </c>
      <c r="N3" s="1755">
        <f>SUMPRODUCT((因素修正幅度!B29:B48=I2)*(因素修正幅度!C3:F3=E2)*(因素修正幅度!C29:F48))</f>
        <v>0</v>
      </c>
      <c r="O3" s="3138"/>
      <c r="P3" s="2023"/>
      <c r="Q3" s="2023"/>
      <c r="R3" s="2575">
        <v>2</v>
      </c>
      <c r="S3" s="2575" t="e">
        <f>ROUND(IF(G3&gt;1,IF(R3&lt;7,SUMPRODUCT((B93:B98=R3)*(C92:N92=G2)*(C93:N98)),SUMIF(C92:N92,G2,C100:N100)),IF(R3&lt;7,SUMPRODUCT((B102:B107=R3)*(C92:N92=G2)*(C102:N107)),SUMIF(C92:N92,G2,C109:N109))),4)</f>
        <v>#DIV/0!</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39"/>
      <c r="L4" s="1753" t="s">
        <v>2033</v>
      </c>
      <c r="M4" s="1754">
        <f>SUMPRODUCT((区片价!B49:B75=I2)*(区片价!C3:F3=E2)*(区片价!C49:F75))</f>
        <v>0</v>
      </c>
      <c r="N4" s="1755">
        <f>SUMPRODUCT((因素修正幅度!B49:B75=I2)*(因素修正幅度!C3:F3=E2)*(因素修正幅度!C49:F75))</f>
        <v>0</v>
      </c>
      <c r="O4" s="3139"/>
      <c r="P4" s="2023"/>
      <c r="Q4" s="2023"/>
      <c r="R4" s="2575">
        <v>3</v>
      </c>
      <c r="S4" s="2575" t="e">
        <f>ROUND(IF(G3&gt;1,IF(R4&lt;7,SUMPRODUCT((B93:B98=R4)*(C92:N92=G2)*(C93:N98)),SUMIF(C92:N92,G2,C100:N100)),IF(R4&lt;7,SUMPRODUCT((B102:B107=R4)*(C92:N92=G2)*(C102:N107)),SUMIF(C92:N92,G2,C109:N109))),4)</f>
        <v>#DIV/0!</v>
      </c>
      <c r="T4" s="2575" t="e">
        <f t="shared" si="0"/>
        <v>#DIV/0!</v>
      </c>
      <c r="U4" s="2564"/>
      <c r="V4" s="2575" t="e">
        <f t="shared" si="1"/>
        <v>#DIV/0!</v>
      </c>
      <c r="W4" s="2023"/>
      <c r="X4" s="2023"/>
      <c r="Y4" s="2023"/>
      <c r="Z4" s="2023"/>
      <c r="AA4" s="2023"/>
      <c r="AB4" s="2023"/>
      <c r="AC4" s="2024"/>
    </row>
    <row r="5" spans="1:39" s="1324" customFormat="1" ht="15.75" thickBot="1">
      <c r="A5" s="1520" t="s">
        <v>1623</v>
      </c>
      <c r="B5" s="1318" t="s">
        <v>910</v>
      </c>
      <c r="C5" s="1009" t="e">
        <f>ROUND(IF(E2="商业",C6*C7+C16,(IF(E2="住宅",C6*C12+C16,C6+C16))),0)</f>
        <v>#DIV/0!</v>
      </c>
      <c r="D5" s="2709" t="e">
        <f>ROUND(C6+C16,0)</f>
        <v>#DIV/0!</v>
      </c>
      <c r="E5" s="2709"/>
      <c r="F5" s="1319"/>
      <c r="G5" s="1320"/>
      <c r="H5" s="1320"/>
      <c r="I5" s="1320"/>
      <c r="J5" s="1321"/>
      <c r="K5" s="3140"/>
      <c r="L5" s="1753" t="s">
        <v>2034</v>
      </c>
      <c r="M5" s="1754">
        <f>SUMPRODUCT((区片价!B76:B109=I2)*(区片价!C3:F3=E2)*(区片价!C76:F109))</f>
        <v>0</v>
      </c>
      <c r="N5" s="1755">
        <f>SUMPRODUCT((因素修正幅度!B76:B109=I2)*(因素修正幅度!C3:F3=E2)*(因素修正幅度!C76:F109))</f>
        <v>0</v>
      </c>
      <c r="O5" s="3140"/>
      <c r="P5" s="3143"/>
      <c r="Q5" s="2023"/>
      <c r="R5" s="2575">
        <v>4</v>
      </c>
      <c r="S5" s="2575" t="e">
        <f>ROUND(IF(G3&gt;1,IF(R5&lt;7,SUMPRODUCT((B93:B98=R5)*(C92:N92=G2)*(C93:N98)),SUMIF(C92:N92,G2,C100:N100)),IF(R5&lt;7,SUMPRODUCT((B102:B107=R5)*(C92:N92=G2)*(C102:N107)),SUMIF(C92:N92,G2,C109:N109))),4)</f>
        <v>#DIV/0!</v>
      </c>
      <c r="T5" s="2575" t="e">
        <f t="shared" si="0"/>
        <v>#DIV/0!</v>
      </c>
      <c r="U5" s="2564"/>
      <c r="V5" s="2575"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0">
        <f>SUMIF(L1:L12,基准地价!G2,M1:M12)</f>
        <v>0</v>
      </c>
      <c r="D6" s="1326" t="s">
        <v>1495</v>
      </c>
      <c r="E6" s="1327"/>
      <c r="F6" s="1327"/>
      <c r="G6" s="1328"/>
      <c r="H6" s="1328"/>
      <c r="I6" s="1328"/>
      <c r="J6" s="1329"/>
      <c r="K6" s="3141"/>
      <c r="L6" s="1753" t="s">
        <v>2035</v>
      </c>
      <c r="M6" s="1754">
        <f>SUMPRODUCT((区片价!B110:B157=I2)*(区片价!C3:F3=E2)*(区片价!C110:F157))</f>
        <v>0</v>
      </c>
      <c r="N6" s="1755">
        <f>SUMPRODUCT((因素修正幅度!B110:B157=I2)*(因素修正幅度!C3:F3=E2)*(因素修正幅度!C110:F157))</f>
        <v>0</v>
      </c>
      <c r="O6" s="3141"/>
      <c r="P6" s="3144"/>
      <c r="Q6" s="2023"/>
      <c r="R6" s="2575">
        <v>5</v>
      </c>
      <c r="S6" s="2575" t="e">
        <f>ROUND(IF(G3&gt;1,IF(R6&lt;7,SUMPRODUCT((B93:B98=R6)*(C92:N92=G2)*(C93:N98)),SUMIF(C92:N92,G2,C100:N100)),IF(R6&lt;7,SUMPRODUCT((B102:B107=R6)*(C92:N92=G2)*(C102:N107)),SUMIF(C92:N92,G2,C109:N109))),4)</f>
        <v>#DIV/0!</v>
      </c>
      <c r="T6" s="2575" t="e">
        <f t="shared" si="0"/>
        <v>#DIV/0!</v>
      </c>
      <c r="U6" s="2564"/>
      <c r="V6" s="2575" t="e">
        <f t="shared" si="1"/>
        <v>#DIV/0!</v>
      </c>
      <c r="W6" s="2023"/>
      <c r="X6" s="2023"/>
      <c r="Y6" s="2023"/>
      <c r="Z6" s="2023"/>
      <c r="AA6" s="2023"/>
      <c r="AB6" s="2023"/>
      <c r="AC6" s="2025"/>
      <c r="AD6" s="1322"/>
      <c r="AE6" s="1322"/>
      <c r="AF6" s="1322"/>
      <c r="AG6" s="1322"/>
      <c r="AH6" s="1322"/>
      <c r="AI6" s="1322"/>
      <c r="AJ6" s="1323"/>
    </row>
    <row r="7" spans="1:39" ht="24">
      <c r="A7" s="3698" t="str">
        <f>IF(E2="商业",IF(C8="不临58条商业街","",2),"")</f>
        <v/>
      </c>
      <c r="B7" s="1330" t="s">
        <v>911</v>
      </c>
      <c r="C7" s="1011" t="e">
        <f>IF(C8="不临58条商业街",1,ROUND(1+(1.6*E8+1.2*E9+0.8*E10+0.4*E11)*C9,4))</f>
        <v>#DIV/0!</v>
      </c>
      <c r="D7" s="1331" t="s">
        <v>912</v>
      </c>
      <c r="E7" s="1012"/>
      <c r="F7" s="1332"/>
      <c r="G7" s="1333"/>
      <c r="H7" s="1333"/>
      <c r="I7" s="1333"/>
      <c r="J7" s="1334"/>
      <c r="K7" s="3141"/>
      <c r="L7" s="1753" t="s">
        <v>2036</v>
      </c>
      <c r="M7" s="1754">
        <f>SUMPRODUCT((区片价!B158:B205=I2)*(区片价!C3:F3=E2)*(区片价!C158:F205))</f>
        <v>0</v>
      </c>
      <c r="N7" s="1755">
        <f>SUMPRODUCT((因素修正幅度!B158:B205=I2)*(因素修正幅度!C3:F3=E2)*(因素修正幅度!C158:F205))</f>
        <v>0</v>
      </c>
      <c r="O7" s="3141"/>
      <c r="P7" s="3144"/>
      <c r="Q7" s="2023"/>
      <c r="R7" s="2575">
        <v>6</v>
      </c>
      <c r="S7" s="2575" t="e">
        <f>ROUND(IF(G3&gt;1,IF(R7&lt;7,SUMPRODUCT((B93:B98=R7)*(C92:N92=G2)*(C93:N98)),SUMIF(C92:N92,G2,C100:N100)),IF(R7&lt;7,SUMPRODUCT((B102:B107=R7)*(C92:N92=G2)*(C102:N107)),SUMIF(C92:N92,G2,C109:N109))),4)</f>
        <v>#DIV/0!</v>
      </c>
      <c r="T7" s="2575" t="e">
        <f t="shared" si="0"/>
        <v>#DIV/0!</v>
      </c>
      <c r="U7" s="2564"/>
      <c r="V7" s="2575" t="e">
        <f t="shared" si="1"/>
        <v>#DIV/0!</v>
      </c>
      <c r="W7" s="2573" t="s">
        <v>2481</v>
      </c>
      <c r="X7" s="2565">
        <f>G2</f>
        <v>0</v>
      </c>
      <c r="Y7" s="2565" t="s">
        <v>2482</v>
      </c>
      <c r="Z7" s="2566">
        <f>G3</f>
        <v>0</v>
      </c>
      <c r="AA7" s="2026"/>
      <c r="AB7" s="2026"/>
      <c r="AC7" s="2027"/>
      <c r="AD7" s="2567"/>
      <c r="AE7" s="2567"/>
      <c r="AF7" s="2567"/>
      <c r="AG7" s="2567"/>
      <c r="AH7" s="2567"/>
      <c r="AI7" s="2567"/>
      <c r="AJ7" s="2568"/>
    </row>
    <row r="8" spans="1:39" ht="15">
      <c r="A8" s="3699"/>
      <c r="B8" s="1317" t="s">
        <v>913</v>
      </c>
      <c r="C8" s="1423"/>
      <c r="D8" s="1013" t="s">
        <v>914</v>
      </c>
      <c r="E8" s="1014" t="e">
        <f>ROUND(C11/E7,4)</f>
        <v>#DIV/0!</v>
      </c>
      <c r="F8" s="1335" t="s">
        <v>915</v>
      </c>
      <c r="G8" s="1336"/>
      <c r="H8" s="1336"/>
      <c r="I8" s="1336"/>
      <c r="J8" s="1337"/>
      <c r="K8" s="3141"/>
      <c r="L8" s="1753" t="s">
        <v>2037</v>
      </c>
      <c r="M8" s="1754">
        <f>SUMPRODUCT((区片价!B206:B244=I2)*(区片价!C3:F3=E2)*(区片价!C206:F244))</f>
        <v>0</v>
      </c>
      <c r="N8" s="1755">
        <f>SUMPRODUCT((因素修正幅度!B206:B244=I2)*(因素修正幅度!C3:F3=E2)*(因素修正幅度!C206:F244))</f>
        <v>0</v>
      </c>
      <c r="O8" s="3141"/>
      <c r="P8" s="2023"/>
      <c r="Q8" s="2023"/>
      <c r="R8" s="2575">
        <v>7</v>
      </c>
      <c r="S8" s="2564"/>
      <c r="T8" s="2575" t="e">
        <f t="shared" si="0"/>
        <v>#DIV/0!</v>
      </c>
      <c r="U8" s="2564"/>
      <c r="V8" s="2575" t="e">
        <f t="shared" si="1"/>
        <v>#DIV/0!</v>
      </c>
      <c r="W8" s="3709" t="s">
        <v>2499</v>
      </c>
      <c r="X8" s="3710"/>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699"/>
      <c r="B9" s="1317" t="s">
        <v>916</v>
      </c>
      <c r="C9" s="1015">
        <f>SUMIF(修正!C71:C139,C8,修正!E71:E139)</f>
        <v>0</v>
      </c>
      <c r="D9" s="1016" t="s">
        <v>917</v>
      </c>
      <c r="E9" s="1016" t="e">
        <f>ROUND(C11/E7,4)</f>
        <v>#DIV/0!</v>
      </c>
      <c r="F9" s="1335" t="s">
        <v>918</v>
      </c>
      <c r="G9" s="1336"/>
      <c r="H9" s="1336"/>
      <c r="I9" s="1336"/>
      <c r="J9" s="1337"/>
      <c r="K9" s="3141"/>
      <c r="L9" s="1753" t="s">
        <v>2038</v>
      </c>
      <c r="M9" s="1754">
        <f>SUMPRODUCT((区片价!B245:B289=I2)*(区片价!C3:F3=E2)*(区片价!C245:F289))</f>
        <v>0</v>
      </c>
      <c r="N9" s="1755">
        <f>SUMPRODUCT((因素修正幅度!B245:B289=I2)*(因素修正幅度!C3:F3=E2)*(因素修正幅度!C245:F289))</f>
        <v>0</v>
      </c>
      <c r="O9" s="3141"/>
      <c r="P9" s="2023"/>
      <c r="Q9" s="2023"/>
      <c r="R9" s="2575">
        <v>8</v>
      </c>
      <c r="S9" s="2564"/>
      <c r="T9" s="2575" t="e">
        <f t="shared" si="0"/>
        <v>#DIV/0!</v>
      </c>
      <c r="U9" s="2564"/>
      <c r="V9" s="2575" t="e">
        <f t="shared" si="1"/>
        <v>#DIV/0!</v>
      </c>
      <c r="W9" s="3708" t="s">
        <v>2495</v>
      </c>
      <c r="X9" s="2569" t="s">
        <v>2496</v>
      </c>
      <c r="Y9" s="2702"/>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699"/>
      <c r="B10" s="1317" t="s">
        <v>919</v>
      </c>
      <c r="C10" s="1016">
        <f>SUMIF(修正!C71:C139,C8,修正!F71:F139)</f>
        <v>0</v>
      </c>
      <c r="D10" s="1016" t="s">
        <v>920</v>
      </c>
      <c r="E10" s="1016" t="e">
        <f>ROUND(C11/E7,4)</f>
        <v>#DIV/0!</v>
      </c>
      <c r="F10" s="1335" t="s">
        <v>921</v>
      </c>
      <c r="G10" s="1336"/>
      <c r="H10" s="1336"/>
      <c r="I10" s="1336"/>
      <c r="J10" s="1337"/>
      <c r="K10" s="3141"/>
      <c r="L10" s="1753" t="s">
        <v>2039</v>
      </c>
      <c r="M10" s="1754">
        <f>SUMPRODUCT((区片价!B290:B316=I2)*(区片价!C3:F3=E2)*(区片价!C290:F316))</f>
        <v>0</v>
      </c>
      <c r="N10" s="1755">
        <f>SUMPRODUCT((因素修正幅度!B290:B316=I2)*(因素修正幅度!C3:F3=E2)*(因素修正幅度!C290:F316))</f>
        <v>0</v>
      </c>
      <c r="O10" s="3141"/>
      <c r="P10" s="2023"/>
      <c r="Q10" s="2023"/>
      <c r="R10" s="2575">
        <v>9</v>
      </c>
      <c r="S10" s="2564"/>
      <c r="T10" s="2575" t="e">
        <f t="shared" si="0"/>
        <v>#DIV/0!</v>
      </c>
      <c r="U10" s="2564"/>
      <c r="V10" s="2575" t="e">
        <f t="shared" si="1"/>
        <v>#DIV/0!</v>
      </c>
      <c r="W10" s="3708"/>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699"/>
      <c r="B11" s="1338" t="s">
        <v>922</v>
      </c>
      <c r="C11" s="1017">
        <f>C10/4</f>
        <v>0</v>
      </c>
      <c r="D11" s="1017" t="s">
        <v>923</v>
      </c>
      <c r="E11" s="1017" t="e">
        <f>ROUND(C11/E7,4)</f>
        <v>#DIV/0!</v>
      </c>
      <c r="F11" s="1339" t="s">
        <v>924</v>
      </c>
      <c r="G11" s="1340"/>
      <c r="H11" s="1340"/>
      <c r="I11" s="1340"/>
      <c r="J11" s="1341"/>
      <c r="K11" s="3141"/>
      <c r="L11" s="1753" t="s">
        <v>2040</v>
      </c>
      <c r="M11" s="1754">
        <f>SUMPRODUCT((区片价!B317:B337=I2)*(区片价!C3:F3=E2)*(区片价!C317:F337))</f>
        <v>0</v>
      </c>
      <c r="N11" s="1755">
        <f>SUMPRODUCT((因素修正幅度!B317:B337=I2)*(因素修正幅度!C3:F3=E2)*(因素修正幅度!C317:F337))</f>
        <v>0</v>
      </c>
      <c r="O11" s="3141"/>
      <c r="P11" s="2023"/>
      <c r="Q11" s="2023"/>
      <c r="R11" s="2575">
        <v>10</v>
      </c>
      <c r="S11" s="2564"/>
      <c r="T11" s="2575" t="e">
        <f t="shared" si="0"/>
        <v>#DIV/0!</v>
      </c>
      <c r="U11" s="2564"/>
      <c r="V11" s="2575" t="e">
        <f t="shared" si="1"/>
        <v>#DIV/0!</v>
      </c>
      <c r="W11" s="3708" t="s">
        <v>2497</v>
      </c>
      <c r="X11" s="1016" t="s">
        <v>2482</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5" thickBot="1">
      <c r="A12" s="3698" t="s">
        <v>1667</v>
      </c>
      <c r="B12" s="1342" t="s">
        <v>925</v>
      </c>
      <c r="C12" s="1011">
        <f>ROUND(C15*D15*E15*F15*G15*H15*I15*J15,4)</f>
        <v>1</v>
      </c>
      <c r="D12" s="1343" t="s">
        <v>926</v>
      </c>
      <c r="E12" s="1344"/>
      <c r="F12" s="1344"/>
      <c r="G12" s="1345"/>
      <c r="H12" s="1345"/>
      <c r="I12" s="1345"/>
      <c r="J12" s="1346"/>
      <c r="K12" s="3141"/>
      <c r="L12" s="1756" t="s">
        <v>2041</v>
      </c>
      <c r="M12" s="1757">
        <f>SUMPRODUCT((区片价!B338:B344=I2)*(区片价!C3:F3=E2)*(区片价!C338:F344))</f>
        <v>0</v>
      </c>
      <c r="N12" s="1758">
        <f>SUMPRODUCT((因素修正幅度!B338:B344=I2)*(因素修正幅度!C3:F3=E2)*(因素修正幅度!C338:F344))</f>
        <v>0</v>
      </c>
      <c r="O12" s="3141"/>
      <c r="P12" s="2023"/>
      <c r="Q12" s="2023"/>
      <c r="R12" s="2575">
        <v>11</v>
      </c>
      <c r="S12" s="2564"/>
      <c r="T12" s="2575" t="e">
        <f t="shared" si="0"/>
        <v>#DIV/0!</v>
      </c>
      <c r="U12" s="2564"/>
      <c r="V12" s="2575" t="e">
        <f t="shared" si="1"/>
        <v>#DIV/0!</v>
      </c>
      <c r="W12" s="3708"/>
      <c r="X12" s="2572" t="s">
        <v>2498</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00"/>
      <c r="B13" s="1347" t="s">
        <v>1496</v>
      </c>
      <c r="C13" s="1348" t="s">
        <v>1497</v>
      </c>
      <c r="D13" s="1053" t="s">
        <v>1498</v>
      </c>
      <c r="E13" s="1053" t="s">
        <v>1499</v>
      </c>
      <c r="F13" s="1349" t="s">
        <v>927</v>
      </c>
      <c r="G13" s="1350" t="s">
        <v>1443</v>
      </c>
      <c r="H13" s="1351" t="s">
        <v>1443</v>
      </c>
      <c r="I13" s="1352" t="s">
        <v>1443</v>
      </c>
      <c r="J13" s="1353" t="s">
        <v>1443</v>
      </c>
      <c r="K13" s="2759"/>
      <c r="L13" s="2759"/>
      <c r="M13" s="2759"/>
      <c r="N13" s="2759"/>
      <c r="O13" s="2759"/>
      <c r="P13" s="2023"/>
      <c r="Q13" s="2023"/>
      <c r="R13" s="2575">
        <v>12</v>
      </c>
      <c r="S13" s="2564"/>
      <c r="T13" s="2575" t="e">
        <f t="shared" si="0"/>
        <v>#DIV/0!</v>
      </c>
      <c r="U13" s="2564"/>
      <c r="V13" s="2575" t="e">
        <f t="shared" si="1"/>
        <v>#DIV/0!</v>
      </c>
      <c r="W13" s="3708"/>
      <c r="X13" s="2572"/>
      <c r="Y13" s="2571" t="e">
        <f>(-0.163*(Y12^2)-0.59*Y12+7617)*(10^(-4))/Y11</f>
        <v>#DIV/0!</v>
      </c>
      <c r="Z13" s="2571" t="e">
        <f t="shared" ref="Z13:AJ13" si="5">(-0.163*(Z12^2)-0.59*Z12+7617)*(10^(-4))/Z11</f>
        <v>#DIV/0!</v>
      </c>
      <c r="AA13" s="2571" t="e">
        <f t="shared" si="5"/>
        <v>#DIV/0!</v>
      </c>
      <c r="AB13" s="2571" t="e">
        <f t="shared" si="5"/>
        <v>#DIV/0!</v>
      </c>
      <c r="AC13" s="2571" t="e">
        <f t="shared" si="5"/>
        <v>#DIV/0!</v>
      </c>
      <c r="AD13" s="2571" t="e">
        <f t="shared" si="5"/>
        <v>#DIV/0!</v>
      </c>
      <c r="AE13" s="2571" t="e">
        <f t="shared" si="5"/>
        <v>#DIV/0!</v>
      </c>
      <c r="AF13" s="2571" t="e">
        <f t="shared" si="5"/>
        <v>#DIV/0!</v>
      </c>
      <c r="AG13" s="2571" t="e">
        <f t="shared" si="5"/>
        <v>#DIV/0!</v>
      </c>
      <c r="AH13" s="2571" t="e">
        <f t="shared" si="5"/>
        <v>#DIV/0!</v>
      </c>
      <c r="AI13" s="2571" t="e">
        <f t="shared" si="5"/>
        <v>#DIV/0!</v>
      </c>
      <c r="AJ13" s="2571" t="e">
        <f t="shared" si="5"/>
        <v>#DIV/0!</v>
      </c>
    </row>
    <row r="14" spans="1:39" ht="12.75" customHeight="1">
      <c r="A14" s="3700"/>
      <c r="B14" s="1354"/>
      <c r="C14" s="1355"/>
      <c r="D14" s="1356"/>
      <c r="E14" s="1356"/>
      <c r="F14" s="1357"/>
      <c r="G14" s="1358" t="s">
        <v>928</v>
      </c>
      <c r="H14" s="1359"/>
      <c r="I14" s="1360"/>
      <c r="J14" s="1361"/>
      <c r="K14" s="3142"/>
      <c r="L14" s="3142"/>
      <c r="M14" s="3142"/>
      <c r="N14" s="3142"/>
      <c r="O14" s="3142"/>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701"/>
      <c r="B15" s="2764" t="s">
        <v>1500</v>
      </c>
      <c r="C15" s="1017">
        <f>IF(C14="有",1.1,1)</f>
        <v>1</v>
      </c>
      <c r="D15" s="1017">
        <f>IF(D14="有",1.1,1)</f>
        <v>1</v>
      </c>
      <c r="E15" s="1017">
        <f>IF(E14="有",1.1,1)</f>
        <v>1</v>
      </c>
      <c r="F15" s="1017">
        <f>IF(F14="500米范围内",1.2,IF(F14="500-1000米",1.1,1))</f>
        <v>1</v>
      </c>
      <c r="G15" s="2756">
        <v>1</v>
      </c>
      <c r="H15" s="2756">
        <v>1</v>
      </c>
      <c r="I15" s="2756">
        <v>1</v>
      </c>
      <c r="J15" s="2757">
        <v>1</v>
      </c>
      <c r="K15" s="2760"/>
      <c r="L15" s="2760"/>
      <c r="M15" s="2760"/>
      <c r="N15" s="2760"/>
      <c r="O15" s="2760"/>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698" t="s">
        <v>1638</v>
      </c>
      <c r="B16" s="1330" t="s">
        <v>929</v>
      </c>
      <c r="C16" s="1020" t="e">
        <f>ROUND(IF(F17="与级别开发程度一致",0,(G17-E17)/C17),0)</f>
        <v>#DIV/0!</v>
      </c>
      <c r="D16" s="3716" t="s">
        <v>933</v>
      </c>
      <c r="E16" s="3717"/>
      <c r="F16" s="3716" t="s">
        <v>930</v>
      </c>
      <c r="G16" s="3717"/>
      <c r="H16" s="1362"/>
      <c r="I16" s="1362"/>
      <c r="J16" s="1362"/>
      <c r="K16" s="1362"/>
      <c r="L16" s="1362"/>
      <c r="M16" s="1362"/>
      <c r="N16" s="1362"/>
      <c r="O16" s="2769"/>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702"/>
      <c r="B17" s="2770" t="s">
        <v>932</v>
      </c>
      <c r="C17" s="2771">
        <f>SUMPRODUCT((修正!A2:A7=E2)*(修正!B1:M1=G2)*(修正!B2:M7))</f>
        <v>0</v>
      </c>
      <c r="D17" s="2772" t="str">
        <f>IF(OR(G2="八级",G2="九级",G2="十级",G2="十一级",G2="十二级"),"五通一平","七通一平")</f>
        <v>七通一平</v>
      </c>
      <c r="E17" s="2762">
        <f>SUMPRODUCT((修正!B1:M1=G2)*(修正!B17:M17))</f>
        <v>0</v>
      </c>
      <c r="F17" s="2763"/>
      <c r="G17" s="2762">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3">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5" t="s">
        <v>934</v>
      </c>
      <c r="C18" s="2766">
        <f>SUMIF(修正!C20:C51,E3,修正!E20:E51)</f>
        <v>0</v>
      </c>
      <c r="D18" s="2767"/>
      <c r="E18" s="2768"/>
      <c r="F18" s="2751"/>
      <c r="G18" s="2750"/>
      <c r="H18" s="2750"/>
      <c r="I18" s="2750"/>
      <c r="J18" s="2758"/>
      <c r="K18" s="3140"/>
      <c r="L18" s="2750"/>
      <c r="M18" s="2750"/>
      <c r="N18" s="2750"/>
      <c r="O18" s="2750"/>
      <c r="P18" s="3145"/>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1">
        <f>ROUND(IF(H19="按公示增长率计算",SUMPRODUCT((地价!A3:A41=YEAR(G19)&amp;"-"&amp;ROUNDUP(MONTH(G19)/3,0))*(地价!X2:AB2=E2)*(地价!X3:AB41)),IF(H19="地价指数",M20/M19,(1+I19)^O19)),4)</f>
        <v>0</v>
      </c>
      <c r="D19" s="1369" t="s">
        <v>936</v>
      </c>
      <c r="E19" s="1022">
        <v>41640</v>
      </c>
      <c r="F19" s="1369" t="s">
        <v>937</v>
      </c>
      <c r="G19" s="1023">
        <f>'数据-取费表'!B2</f>
        <v>44735</v>
      </c>
      <c r="H19" s="1370" t="s">
        <v>2682</v>
      </c>
      <c r="I19" s="2424" t="str">
        <f>IF(H19="季度增幅（自定义）",SUMIF(N21:N24,E2,O21:O24),"")</f>
        <v/>
      </c>
      <c r="J19" s="1366"/>
      <c r="K19" s="3140"/>
      <c r="L19" s="2670" t="s">
        <v>2555</v>
      </c>
      <c r="M19" s="2671">
        <f>ROUND(SUMIF(地价!B2:F2,E2,地价!B41:F41),0)</f>
        <v>0</v>
      </c>
      <c r="N19" s="2426" t="s">
        <v>1476</v>
      </c>
      <c r="O19" s="2425">
        <f>ROUNDDOWN(DATEDIF(E19,G19,"M")/3,0)</f>
        <v>33</v>
      </c>
      <c r="P19" s="2027"/>
      <c r="Q19" s="2563"/>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699">
        <f>存贷款利率!E20/100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60"/>
      <c r="L20" s="2672" t="s">
        <v>2556</v>
      </c>
      <c r="M20" s="2753">
        <f>ROUND(SUMPRODUCT((地价!A4:A41=YEAR(G19)&amp;"-"&amp;ROUNDUP(MONTH(G19)/3,0))*(地价!B2:F2=E2)*(地价!B4:F41)),0)</f>
        <v>0</v>
      </c>
      <c r="N20" s="2429" t="s">
        <v>2362</v>
      </c>
      <c r="O20" s="2427" t="s">
        <v>2361</v>
      </c>
      <c r="P20" s="2428" t="s">
        <v>2367</v>
      </c>
      <c r="Q20" s="2563"/>
      <c r="R20" s="2029"/>
      <c r="S20" s="2029"/>
      <c r="T20" s="2029"/>
      <c r="U20" s="2029"/>
      <c r="V20" s="2029"/>
      <c r="W20" s="2029"/>
      <c r="X20" s="2029"/>
      <c r="Y20" s="1367"/>
      <c r="Z20" s="1367"/>
      <c r="AA20" s="1367"/>
      <c r="AB20" s="1367"/>
      <c r="AC20" s="1367"/>
      <c r="AD20" s="1367"/>
    </row>
    <row r="21" spans="1:40" s="1324" customFormat="1" ht="14.25">
      <c r="A21" s="1524" t="s">
        <v>1637</v>
      </c>
      <c r="B21" s="1375" t="s">
        <v>2715</v>
      </c>
      <c r="C21" s="1103" t="b">
        <f>IF(B21="容积率修正",IF(G3&lt;=10,D22,J22),C23)</f>
        <v>0</v>
      </c>
      <c r="D21" s="1376"/>
      <c r="E21" s="1376"/>
      <c r="F21" s="1376"/>
      <c r="G21" s="1376"/>
      <c r="H21" s="1376"/>
      <c r="I21" s="1376"/>
      <c r="J21" s="1377"/>
      <c r="K21" s="3140"/>
      <c r="L21" s="1376"/>
      <c r="M21" s="1376"/>
      <c r="N21" s="1373" t="s">
        <v>954</v>
      </c>
      <c r="O21" s="1436"/>
      <c r="P21" s="2416">
        <f>SUMPRODUCT((地价!A3:A41=YEAR(G19)&amp;"-"&amp;ROUNDUP(MONTH(G19)/3,0))*(地价!AD2:AH2=N21)*(地价!AD3:AH41))</f>
        <v>0.01</v>
      </c>
      <c r="Q21" s="2563"/>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4" t="s">
        <v>1502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6"/>
      <c r="L22" s="1376"/>
      <c r="M22" s="1376"/>
      <c r="N22" s="1373" t="s">
        <v>957</v>
      </c>
      <c r="O22" s="1436"/>
      <c r="P22" s="2416">
        <f>SUMPRODUCT((地价!A3:A41=YEAR(G19)&amp;"-"&amp;ROUNDUP(MONTH(G19)/3,0))*(地价!AD2:AH2=N22)*(地价!AD3:AH41))</f>
        <v>0.01</v>
      </c>
      <c r="Q22" s="2563"/>
      <c r="R22" s="2029"/>
      <c r="S22" s="2029"/>
      <c r="T22" s="2029"/>
      <c r="U22" s="2029"/>
      <c r="V22" s="2029"/>
      <c r="W22" s="2029"/>
      <c r="X22" s="2029"/>
      <c r="Y22" s="1367"/>
      <c r="Z22" s="1367"/>
      <c r="AA22" s="1367"/>
      <c r="AB22" s="1367"/>
      <c r="AC22" s="1367"/>
      <c r="AD22" s="1367"/>
    </row>
    <row r="23" spans="1:40" ht="15.75" thickBot="1">
      <c r="A23" s="1525" t="s">
        <v>1667</v>
      </c>
      <c r="B23" s="1378" t="s">
        <v>958</v>
      </c>
      <c r="C23" s="1025">
        <f>ROUND(IF(G3&gt;1,IF(I3&lt;7,SUMPRODUCT((B93:B98=I3)*(C92:N92=G2)*(C93:N98)),SUMIF(C92:N92,G2,C100:N100)),IF(I3&lt;7,SUMPRODUCT((B102:B107=I3)*(C92:N92=G2)*(C102:N107)),SUMIF(C92:N92,G2,C109:N109))),4)</f>
        <v>0</v>
      </c>
      <c r="D23" s="1424"/>
      <c r="E23" s="1424"/>
      <c r="F23" s="1425"/>
      <c r="G23" s="1426"/>
      <c r="H23" s="1427"/>
      <c r="I23" s="1428"/>
      <c r="J23" s="1428"/>
      <c r="K23" s="3147"/>
      <c r="L23" s="1304"/>
      <c r="M23" s="1304"/>
      <c r="N23" s="1373" t="s">
        <v>902</v>
      </c>
      <c r="O23" s="1436"/>
      <c r="P23" s="2416">
        <f>SUMPRODUCT((地价!A3:A41=YEAR(G19)&amp;"-"&amp;ROUNDUP(MONTH(G19)/3,0))*(地价!AD2:AH2=N23)*(地价!AD3:AH41))</f>
        <v>1.7600000000000001E-2</v>
      </c>
      <c r="Q23" s="2563"/>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6">
        <f>SUMIF(A44:A87,E2,B44:B87)</f>
        <v>0</v>
      </c>
      <c r="D24" s="1429"/>
      <c r="E24" s="1430"/>
      <c r="F24" s="1430"/>
      <c r="G24" s="1430"/>
      <c r="H24" s="1430"/>
      <c r="I24" s="1430"/>
      <c r="J24" s="1430"/>
      <c r="K24" s="3147"/>
      <c r="L24" s="1376"/>
      <c r="M24" s="1376"/>
      <c r="N24" s="1373" t="s">
        <v>960</v>
      </c>
      <c r="O24" s="2752"/>
      <c r="P24" s="2416">
        <f>SUMPRODUCT((地价!A3:A41=YEAR(G19)&amp;"-"&amp;ROUNDUP(MONTH(G19)/3,0))*(地价!AD2:AH2=N24)*(地价!AD3:AH41))</f>
        <v>1.1599999999999999E-2</v>
      </c>
      <c r="Q24" s="2563"/>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1"/>
      <c r="L25" s="2029"/>
      <c r="M25" s="2029"/>
      <c r="N25" s="2754" t="s">
        <v>2365</v>
      </c>
      <c r="O25" s="2755"/>
      <c r="P25" s="2255">
        <f>SUMPRODUCT((地价!A3:A41=YEAR(G19)&amp;"-"&amp;ROUNDUP(MONTH(G19)/3,0))*(地价!AD2:AH2=N25)*(地价!AD3:AH41))</f>
        <v>1.6E-2</v>
      </c>
      <c r="Q25" s="2563"/>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3" t="e">
        <f>IF(B21="容积率修正",E29+SUM(E33:E39),SUM(V2:V16)+SUM(E33:E39))</f>
        <v>#DIV/0!</v>
      </c>
      <c r="D26" s="1384"/>
      <c r="E26" s="1359"/>
      <c r="F26" s="1385"/>
      <c r="G26" s="1359"/>
      <c r="H26" s="1359"/>
      <c r="I26" s="1359"/>
      <c r="J26" s="1386"/>
      <c r="K26" s="3141"/>
      <c r="L26" s="1483" t="s">
        <v>877</v>
      </c>
      <c r="M26" s="1331" t="s">
        <v>962</v>
      </c>
      <c r="N26" s="1331" t="s">
        <v>963</v>
      </c>
      <c r="O26" s="1331" t="s">
        <v>881</v>
      </c>
      <c r="P26" s="1371" t="s">
        <v>964</v>
      </c>
      <c r="Q26" s="2563"/>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8" t="e">
        <f>E30+SUM(I33:I39)</f>
        <v>#DIV/0!</v>
      </c>
      <c r="D27" s="1388"/>
      <c r="E27" s="1389"/>
      <c r="F27" s="1390"/>
      <c r="G27" s="1389"/>
      <c r="H27" s="1389"/>
      <c r="I27" s="1389"/>
      <c r="J27" s="1391"/>
      <c r="K27" s="3141"/>
      <c r="L27" s="1363" t="s">
        <v>966</v>
      </c>
      <c r="M27" s="1015">
        <v>0.25</v>
      </c>
      <c r="N27" s="1015">
        <v>0.2</v>
      </c>
      <c r="O27" s="1015">
        <v>0.15</v>
      </c>
      <c r="P27" s="1433">
        <v>0.1</v>
      </c>
      <c r="Q27" s="2029"/>
      <c r="R27" s="2563"/>
      <c r="S27" s="2563"/>
      <c r="T27" s="2563"/>
      <c r="U27" s="2563"/>
      <c r="V27" s="2563"/>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1"/>
      <c r="L28" s="1364" t="s">
        <v>952</v>
      </c>
      <c r="M28" s="1434">
        <f>ROUND($E$20*(1+M27),3)</f>
        <v>5.3999999999999999E-2</v>
      </c>
      <c r="N28" s="1434">
        <f>ROUND($E$20*(1+N27),3)</f>
        <v>5.1999999999999998E-2</v>
      </c>
      <c r="O28" s="1434">
        <f>ROUND($E$20*(1+O27),3)</f>
        <v>0.05</v>
      </c>
      <c r="P28" s="1435">
        <f>ROUND($E$20*(1+P27),3)</f>
        <v>4.8000000000000001E-2</v>
      </c>
      <c r="Q28" s="2029"/>
      <c r="R28" s="2563"/>
      <c r="S28" s="2563"/>
      <c r="T28" s="2563"/>
      <c r="U28" s="2563"/>
      <c r="V28" s="2563"/>
      <c r="W28" s="2029"/>
      <c r="X28" s="2029"/>
      <c r="Y28" s="2029"/>
      <c r="Z28" s="2029"/>
      <c r="AA28" s="2029"/>
      <c r="AB28" s="2029"/>
      <c r="AC28" s="2029"/>
      <c r="AD28" s="1367"/>
      <c r="AE28" s="1367"/>
      <c r="AF28" s="1367"/>
      <c r="AG28" s="1367"/>
    </row>
    <row r="29" spans="1:40" ht="14.25">
      <c r="A29" s="1396"/>
      <c r="B29" s="1397" t="s">
        <v>972</v>
      </c>
      <c r="C29" s="1027" t="e">
        <f>ROUND(C5*C18*C19*C20*C21*C24,0)</f>
        <v>#DIV/0!</v>
      </c>
      <c r="D29" s="1398"/>
      <c r="E29" s="1717" t="e">
        <f>ROUND(C29*D29/10000,0)</f>
        <v>#DIV/0!</v>
      </c>
      <c r="F29" s="1399" t="s">
        <v>1501</v>
      </c>
      <c r="G29" s="1400"/>
      <c r="H29" s="1400"/>
      <c r="I29" s="1400"/>
      <c r="J29" s="1401"/>
      <c r="K29" s="3148"/>
      <c r="L29" s="3148"/>
      <c r="M29" s="3148"/>
      <c r="N29" s="3148"/>
      <c r="O29" s="3148"/>
      <c r="P29" s="2023"/>
      <c r="Q29" s="2029"/>
      <c r="R29" s="2029"/>
      <c r="S29" s="2029"/>
      <c r="T29" s="2029"/>
      <c r="U29" s="2029"/>
      <c r="V29" s="2029"/>
      <c r="W29" s="2563"/>
      <c r="X29" s="2563"/>
      <c r="Y29" s="2563"/>
      <c r="Z29" s="2563"/>
      <c r="AA29" s="2563"/>
      <c r="AB29" s="2029"/>
      <c r="AC29" s="2029"/>
      <c r="AD29" s="2029"/>
      <c r="AE29" s="2029"/>
      <c r="AF29" s="2029"/>
      <c r="AG29" s="2029"/>
      <c r="AH29" s="2029"/>
      <c r="AJ29" s="1306"/>
      <c r="AK29" s="1306"/>
      <c r="AL29" s="1306"/>
      <c r="AM29" s="1305"/>
      <c r="AN29" s="1305"/>
    </row>
    <row r="30" spans="1:40" ht="24.75" thickBot="1">
      <c r="A30" s="1402"/>
      <c r="B30" s="1403" t="s">
        <v>973</v>
      </c>
      <c r="C30" s="1019" t="e">
        <f>ROUND(IF(E2="工业",C29*M39,C29*M38),0)</f>
        <v>#DIV/0!</v>
      </c>
      <c r="D30" s="1404"/>
      <c r="E30" s="1717" t="e">
        <f>ROUND(C30*D30/10000,0)</f>
        <v>#DIV/0!</v>
      </c>
      <c r="F30" s="1405" t="s">
        <v>974</v>
      </c>
      <c r="G30" s="1406"/>
      <c r="H30" s="1406"/>
      <c r="I30" s="1406"/>
      <c r="J30" s="1407"/>
      <c r="K30" s="3141"/>
      <c r="L30" s="3141"/>
      <c r="M30" s="3141"/>
      <c r="N30" s="3141"/>
      <c r="O30" s="3141"/>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1"/>
      <c r="L31" s="3141"/>
      <c r="M31" s="3141"/>
      <c r="N31" s="3141"/>
      <c r="O31" s="3141"/>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49"/>
      <c r="L32" s="3149"/>
      <c r="M32" s="3149"/>
      <c r="N32" s="3149"/>
      <c r="O32" s="3149"/>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05"/>
      <c r="B33" s="1418" t="s">
        <v>978</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05" t="s">
        <v>2719</v>
      </c>
      <c r="K33" s="2759"/>
      <c r="L33" s="2759"/>
      <c r="M33" s="2759"/>
      <c r="N33" s="2759"/>
      <c r="O33" s="2759"/>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06"/>
      <c r="B34" s="1348" t="s">
        <v>979</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06"/>
      <c r="K34" s="2759"/>
      <c r="L34" s="2759"/>
      <c r="M34" s="2759"/>
      <c r="N34" s="2759"/>
      <c r="O34" s="2759"/>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06"/>
      <c r="B35" s="1348" t="s">
        <v>980</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06"/>
      <c r="K35" s="2759"/>
      <c r="L35" s="2759"/>
      <c r="M35" s="2759"/>
      <c r="N35" s="2759"/>
      <c r="O35" s="2759"/>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07"/>
      <c r="B36" s="1348" t="s">
        <v>981</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07"/>
      <c r="K36" s="2759"/>
      <c r="L36" s="2759"/>
      <c r="M36" s="2759"/>
      <c r="N36" s="2759"/>
      <c r="O36" s="2759"/>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49" t="s">
        <v>2677</v>
      </c>
      <c r="C41" s="810" t="e">
        <f>ROUND(POWER(1+E41,H41-G41)*(POWER(1+E41,G41)-1)/(POWER(1+E41,H41)-1),4)</f>
        <v>#DIV/0!</v>
      </c>
      <c r="D41" s="371" t="s">
        <v>2675</v>
      </c>
      <c r="E41" s="2748">
        <f>G20</f>
        <v>0</v>
      </c>
      <c r="F41" s="371" t="s">
        <v>2676</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0"/>
      <c r="H44" s="2231"/>
      <c r="I44" s="1030"/>
      <c r="J44" s="1030"/>
      <c r="K44" s="1030"/>
      <c r="L44" s="1030"/>
      <c r="M44" s="1030"/>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0"/>
      <c r="J45" s="1030"/>
      <c r="K45" s="1030"/>
      <c r="L45" s="1030"/>
      <c r="M45" s="1030"/>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1"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24">
      <c r="A47" s="1031" t="s">
        <v>999</v>
      </c>
      <c r="B47" s="2219">
        <f>估价对象房地状况!C16</f>
        <v>0</v>
      </c>
      <c r="C47" s="1018"/>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14.25">
      <c r="A48" s="1031" t="s">
        <v>1000</v>
      </c>
      <c r="B48" s="2216">
        <f>估价对象房地状况!C18</f>
        <v>0</v>
      </c>
      <c r="C48" s="1018"/>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1" t="s">
        <v>1001</v>
      </c>
      <c r="B49" s="2216">
        <f>估价对象房地状况!C19</f>
        <v>0</v>
      </c>
      <c r="C49" s="1018"/>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1" t="s">
        <v>1002</v>
      </c>
      <c r="B50" s="2701" t="s">
        <v>2634</v>
      </c>
      <c r="C50" s="1018"/>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1" t="s">
        <v>1003</v>
      </c>
      <c r="B51" s="2216">
        <f>估价对象房地状况!C24</f>
        <v>0</v>
      </c>
      <c r="C51" s="1018"/>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1" t="s">
        <v>1004</v>
      </c>
      <c r="B52" s="2700" t="s">
        <v>2633</v>
      </c>
      <c r="C52" s="1018"/>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f>估价对象房地状况!C21</f>
        <v>0</v>
      </c>
      <c r="C53" s="1018"/>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f>估价对象房地状况!C22</f>
        <v>0</v>
      </c>
      <c r="C54" s="1018"/>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f>估价对象房地状况!C20</f>
        <v>0</v>
      </c>
      <c r="C55" s="1018"/>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0"/>
      <c r="K56" s="1030"/>
      <c r="L56" s="1030"/>
      <c r="M56" s="1030"/>
      <c r="N56" s="1030"/>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1"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24">
      <c r="A58" s="1031" t="s">
        <v>1009</v>
      </c>
      <c r="B58" s="2219">
        <f>估价对象房地状况!C17</f>
        <v>0</v>
      </c>
      <c r="C58" s="1018"/>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14.25">
      <c r="A59" s="1031" t="s">
        <v>1000</v>
      </c>
      <c r="B59" s="2216">
        <f>估价对象房地状况!C18</f>
        <v>0</v>
      </c>
      <c r="C59" s="1018"/>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1" t="s">
        <v>1001</v>
      </c>
      <c r="B60" s="2216">
        <f>估价对象房地状况!C19</f>
        <v>0</v>
      </c>
      <c r="C60" s="1018"/>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1" t="s">
        <v>1002</v>
      </c>
      <c r="B61" s="2701" t="s">
        <v>2635</v>
      </c>
      <c r="C61" s="1018"/>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1" t="s">
        <v>1003</v>
      </c>
      <c r="B62" s="2216">
        <f>估价对象房地状况!C24</f>
        <v>0</v>
      </c>
      <c r="C62" s="1018"/>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1" t="s">
        <v>1004</v>
      </c>
      <c r="B63" s="2700" t="s">
        <v>2633</v>
      </c>
      <c r="C63" s="1018"/>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1" t="s">
        <v>1005</v>
      </c>
      <c r="B64" s="2217">
        <f>估价对象房地状况!C21</f>
        <v>0</v>
      </c>
      <c r="C64" s="1018"/>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1" t="s">
        <v>1006</v>
      </c>
      <c r="B65" s="2217">
        <f>估价对象房地状况!C22</f>
        <v>0</v>
      </c>
      <c r="C65" s="1018"/>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f>估价对象房地状况!C20</f>
        <v>0</v>
      </c>
      <c r="C66" s="1018"/>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0"/>
      <c r="K67" s="1030"/>
      <c r="L67" s="1030"/>
      <c r="M67" s="1030"/>
      <c r="N67" s="1030"/>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1"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24">
      <c r="A69" s="1031" t="s">
        <v>1011</v>
      </c>
      <c r="B69" s="2219">
        <f>估价对象房地状况!C15</f>
        <v>0</v>
      </c>
      <c r="C69" s="1104"/>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14.25">
      <c r="A70" s="1031" t="s">
        <v>1012</v>
      </c>
      <c r="B70" s="2216">
        <f>估价对象房地状况!C18</f>
        <v>0</v>
      </c>
      <c r="C70" s="1104"/>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1" t="s">
        <v>1001</v>
      </c>
      <c r="B71" s="2216">
        <f>估价对象房地状况!C19</f>
        <v>0</v>
      </c>
      <c r="C71" s="1104"/>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1" t="s">
        <v>1013</v>
      </c>
      <c r="B72" s="2216">
        <f>估价对象房地状况!C24</f>
        <v>0</v>
      </c>
      <c r="C72" s="1104"/>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1" t="s">
        <v>1005</v>
      </c>
      <c r="B73" s="2217">
        <f>估价对象房地状况!C21</f>
        <v>0</v>
      </c>
      <c r="C73" s="1104"/>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1" t="s">
        <v>1006</v>
      </c>
      <c r="B74" s="2217">
        <f>估价对象房地状况!C22</f>
        <v>0</v>
      </c>
      <c r="C74" s="1104"/>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1" t="s">
        <v>1004</v>
      </c>
      <c r="B75" s="2700" t="s">
        <v>2633</v>
      </c>
      <c r="C75" s="1104"/>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1" t="s">
        <v>1007</v>
      </c>
      <c r="B76" s="2219">
        <f>估价对象房地状况!C20</f>
        <v>0</v>
      </c>
      <c r="C76" s="1104"/>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4"/>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0"/>
      <c r="K78" s="1030"/>
      <c r="L78" s="1030"/>
      <c r="M78" s="1030"/>
      <c r="N78" s="1030"/>
      <c r="AC78" s="1308"/>
      <c r="AD78" s="1307"/>
      <c r="AJ78" s="1306"/>
      <c r="AN78" s="1307"/>
    </row>
    <row r="79" spans="1:40" ht="24">
      <c r="A79" s="1031"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1" t="s">
        <v>1016</v>
      </c>
      <c r="B80" s="2216" t="str">
        <f>估价对象房地状况!G15</f>
        <v>估价对象位于XX开发区，园区建设成熟度XX，产业集聚程度XX</v>
      </c>
      <c r="C80" s="1018"/>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1" t="s">
        <v>1012</v>
      </c>
      <c r="B81" s="2216" t="str">
        <f>估价对象房地状况!G16</f>
        <v>估价对象周边道路状况、公共交通通达情况、停车便捷程度，综合评价交通便捷度较好</v>
      </c>
      <c r="C81" s="1018"/>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1" t="s">
        <v>1001</v>
      </c>
      <c r="B82" s="2216">
        <f>估价对象房地状况!G17</f>
        <v>0</v>
      </c>
      <c r="C82" s="1018"/>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1" t="s">
        <v>1013</v>
      </c>
      <c r="B83" s="2216">
        <f>估价对象房地状况!G22</f>
        <v>0</v>
      </c>
      <c r="C83" s="1018"/>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1" t="s">
        <v>1005</v>
      </c>
      <c r="B84" s="2217" t="str">
        <f>估价对象房地状况!G19</f>
        <v>估价对象所在区域公共配套设施齐备情况</v>
      </c>
      <c r="C84" s="1018"/>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1" t="s">
        <v>1006</v>
      </c>
      <c r="B85" s="2217" t="str">
        <f>估价对象房地状况!G20</f>
        <v>估价对象所在区域基础设施水平</v>
      </c>
      <c r="C85" s="1018"/>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1" t="s">
        <v>1004</v>
      </c>
      <c r="B86" s="2700" t="s">
        <v>2633</v>
      </c>
      <c r="C86" s="1018"/>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8"/>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03" t="s">
        <v>1434</v>
      </c>
      <c r="B90" s="3703"/>
      <c r="C90" s="3703"/>
      <c r="D90" s="3703"/>
      <c r="E90" s="3703"/>
      <c r="F90" s="3703"/>
      <c r="G90" s="3703"/>
      <c r="H90" s="3703"/>
      <c r="I90" s="3703"/>
      <c r="J90" s="3703"/>
      <c r="K90" s="2258"/>
      <c r="L90" s="2258"/>
      <c r="M90" s="2258"/>
      <c r="N90" s="2258"/>
    </row>
    <row r="91" spans="1:40">
      <c r="A91" s="3704" t="s">
        <v>1422</v>
      </c>
      <c r="B91" s="3704" t="s">
        <v>1435</v>
      </c>
      <c r="C91" s="1085" t="s">
        <v>1436</v>
      </c>
      <c r="D91" s="1086"/>
      <c r="E91" s="1086"/>
      <c r="F91" s="1086"/>
      <c r="G91" s="1086"/>
      <c r="H91" s="1086"/>
      <c r="I91" s="1086"/>
      <c r="J91" s="1087"/>
      <c r="K91" s="1079"/>
      <c r="L91" s="1079"/>
      <c r="M91" s="1079"/>
      <c r="N91" s="1079"/>
    </row>
    <row r="92" spans="1:40">
      <c r="A92" s="3704"/>
      <c r="B92" s="3704"/>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11"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12"/>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12"/>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12"/>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12"/>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12"/>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12"/>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13"/>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11" t="s">
        <v>1438</v>
      </c>
      <c r="B101" s="1092" t="s">
        <v>885</v>
      </c>
      <c r="C101" s="1093">
        <f>$G$3</f>
        <v>0</v>
      </c>
      <c r="D101" s="1093">
        <f t="shared" ref="D101:N101" si="31">$G$3</f>
        <v>0</v>
      </c>
      <c r="E101" s="1093">
        <f t="shared" si="31"/>
        <v>0</v>
      </c>
      <c r="F101" s="1093">
        <f t="shared" si="31"/>
        <v>0</v>
      </c>
      <c r="G101" s="1093">
        <f t="shared" si="31"/>
        <v>0</v>
      </c>
      <c r="H101" s="1093">
        <f t="shared" si="31"/>
        <v>0</v>
      </c>
      <c r="I101" s="1093">
        <f t="shared" si="31"/>
        <v>0</v>
      </c>
      <c r="J101" s="1093">
        <f t="shared" si="31"/>
        <v>0</v>
      </c>
      <c r="K101" s="1093">
        <f t="shared" si="31"/>
        <v>0</v>
      </c>
      <c r="L101" s="1093">
        <f t="shared" si="31"/>
        <v>0</v>
      </c>
      <c r="M101" s="1093">
        <f t="shared" si="31"/>
        <v>0</v>
      </c>
      <c r="N101" s="1093">
        <f t="shared" si="31"/>
        <v>0</v>
      </c>
    </row>
    <row r="102" spans="1:14">
      <c r="A102" s="3712"/>
      <c r="B102" s="1088">
        <v>1</v>
      </c>
      <c r="C102" s="1089" t="e">
        <f>1.9362/C101</f>
        <v>#DIV/0!</v>
      </c>
      <c r="D102" s="1089" t="e">
        <f>1.9362/D101</f>
        <v>#DIV/0!</v>
      </c>
      <c r="E102" s="1089" t="e">
        <f>1.8629/E101</f>
        <v>#DIV/0!</v>
      </c>
      <c r="F102" s="1089" t="e">
        <f>1.8629/F101</f>
        <v>#DIV/0!</v>
      </c>
      <c r="G102" s="1089" t="e">
        <f>1.8629/G101</f>
        <v>#DIV/0!</v>
      </c>
      <c r="H102" s="1089" t="e">
        <f>1.8629/H101</f>
        <v>#DIV/0!</v>
      </c>
      <c r="I102" s="1089" t="e">
        <f>1.8629/I101</f>
        <v>#DIV/0!</v>
      </c>
      <c r="J102" s="1089" t="e">
        <f>1.942/J101</f>
        <v>#DIV/0!</v>
      </c>
      <c r="K102" s="1089" t="e">
        <f>1.942/K101</f>
        <v>#DIV/0!</v>
      </c>
      <c r="L102" s="1089" t="e">
        <f>1.942/L101</f>
        <v>#DIV/0!</v>
      </c>
      <c r="M102" s="1089" t="e">
        <f>1.942/M101</f>
        <v>#DIV/0!</v>
      </c>
      <c r="N102" s="1089" t="e">
        <f>1.942/N101</f>
        <v>#DIV/0!</v>
      </c>
    </row>
    <row r="103" spans="1:14">
      <c r="A103" s="3712"/>
      <c r="B103" s="1088">
        <v>2</v>
      </c>
      <c r="C103" s="1089" t="e">
        <f>1.4198/C101</f>
        <v>#DIV/0!</v>
      </c>
      <c r="D103" s="1089" t="e">
        <f>1.4198/D101</f>
        <v>#DIV/0!</v>
      </c>
      <c r="E103" s="1089" t="e">
        <f>1.3372/E101</f>
        <v>#DIV/0!</v>
      </c>
      <c r="F103" s="1089" t="e">
        <f>1.3372/F101</f>
        <v>#DIV/0!</v>
      </c>
      <c r="G103" s="1089" t="e">
        <f>1.3372/G101</f>
        <v>#DIV/0!</v>
      </c>
      <c r="H103" s="1089" t="e">
        <f>1.3372/H101</f>
        <v>#DIV/0!</v>
      </c>
      <c r="I103" s="1089" t="e">
        <f>1.3372/I101</f>
        <v>#DIV/0!</v>
      </c>
      <c r="J103" s="1089" t="e">
        <f>1.2799/J101</f>
        <v>#DIV/0!</v>
      </c>
      <c r="K103" s="1089" t="e">
        <f>1.2799/K101</f>
        <v>#DIV/0!</v>
      </c>
      <c r="L103" s="1089" t="e">
        <f>1.2799/L101</f>
        <v>#DIV/0!</v>
      </c>
      <c r="M103" s="1089" t="e">
        <f>1.2799/M101</f>
        <v>#DIV/0!</v>
      </c>
      <c r="N103" s="1089" t="e">
        <f>1.2799/N101</f>
        <v>#DIV/0!</v>
      </c>
    </row>
    <row r="104" spans="1:14">
      <c r="A104" s="3712"/>
      <c r="B104" s="1088">
        <v>3</v>
      </c>
      <c r="C104" s="1089" t="e">
        <f>1.1594/C101</f>
        <v>#DIV/0!</v>
      </c>
      <c r="D104" s="1089" t="e">
        <f>1.1594/D101</f>
        <v>#DIV/0!</v>
      </c>
      <c r="E104" s="1089" t="e">
        <f>1.0788/E101</f>
        <v>#DIV/0!</v>
      </c>
      <c r="F104" s="1089" t="e">
        <f>1.0788/F101</f>
        <v>#DIV/0!</v>
      </c>
      <c r="G104" s="1089" t="e">
        <f>1.0788/G101</f>
        <v>#DIV/0!</v>
      </c>
      <c r="H104" s="1089" t="e">
        <f>1.0788/H101</f>
        <v>#DIV/0!</v>
      </c>
      <c r="I104" s="1089" t="e">
        <f>1.0788/I101</f>
        <v>#DIV/0!</v>
      </c>
      <c r="J104" s="1089" t="e">
        <f>1.0072/J101</f>
        <v>#DIV/0!</v>
      </c>
      <c r="K104" s="1089" t="e">
        <f>1.0072/K101</f>
        <v>#DIV/0!</v>
      </c>
      <c r="L104" s="1089" t="e">
        <f>1.0072/L101</f>
        <v>#DIV/0!</v>
      </c>
      <c r="M104" s="1089" t="e">
        <f>1.0072/M101</f>
        <v>#DIV/0!</v>
      </c>
      <c r="N104" s="1089" t="e">
        <f>1.0072/N101</f>
        <v>#DIV/0!</v>
      </c>
    </row>
    <row r="105" spans="1:14">
      <c r="A105" s="3712"/>
      <c r="B105" s="1088">
        <v>4</v>
      </c>
      <c r="C105" s="1089" t="e">
        <f>0.9622/C101</f>
        <v>#DIV/0!</v>
      </c>
      <c r="D105" s="1089" t="e">
        <f>0.9622/D101</f>
        <v>#DIV/0!</v>
      </c>
      <c r="E105" s="1089" t="e">
        <f>0.8656/E101</f>
        <v>#DIV/0!</v>
      </c>
      <c r="F105" s="1089" t="e">
        <f>0.8656/F101</f>
        <v>#DIV/0!</v>
      </c>
      <c r="G105" s="1089" t="e">
        <f>0.8656/G101</f>
        <v>#DIV/0!</v>
      </c>
      <c r="H105" s="1089" t="e">
        <f>0.8656/H101</f>
        <v>#DIV/0!</v>
      </c>
      <c r="I105" s="1089" t="e">
        <f>0.8656/I101</f>
        <v>#DIV/0!</v>
      </c>
      <c r="J105" s="1089" t="e">
        <f>0.7525/J101</f>
        <v>#DIV/0!</v>
      </c>
      <c r="K105" s="1089" t="e">
        <f>0.7525/K101</f>
        <v>#DIV/0!</v>
      </c>
      <c r="L105" s="1089" t="e">
        <f>0.7525/L101</f>
        <v>#DIV/0!</v>
      </c>
      <c r="M105" s="1089" t="e">
        <f>0.7525/M101</f>
        <v>#DIV/0!</v>
      </c>
      <c r="N105" s="1089" t="e">
        <f>0.7525/N101</f>
        <v>#DIV/0!</v>
      </c>
    </row>
    <row r="106" spans="1:14">
      <c r="A106" s="3712"/>
      <c r="B106" s="1088">
        <v>5</v>
      </c>
      <c r="C106" s="1089" t="e">
        <f>0.8417/C101</f>
        <v>#DIV/0!</v>
      </c>
      <c r="D106" s="1089" t="e">
        <f>0.8417/D101</f>
        <v>#DIV/0!</v>
      </c>
      <c r="E106" s="1089" t="e">
        <f>0.7371/E101</f>
        <v>#DIV/0!</v>
      </c>
      <c r="F106" s="1089" t="e">
        <f>0.7371/F101</f>
        <v>#DIV/0!</v>
      </c>
      <c r="G106" s="1089" t="e">
        <f>0.7371/G101</f>
        <v>#DIV/0!</v>
      </c>
      <c r="H106" s="1089" t="e">
        <f>0.7371/H101</f>
        <v>#DIV/0!</v>
      </c>
      <c r="I106" s="1089" t="e">
        <f>0.7371/I101</f>
        <v>#DIV/0!</v>
      </c>
      <c r="J106" s="1089" t="e">
        <f>0.5659/J101</f>
        <v>#DIV/0!</v>
      </c>
      <c r="K106" s="1089" t="e">
        <f>0.5659/K101</f>
        <v>#DIV/0!</v>
      </c>
      <c r="L106" s="1089" t="e">
        <f>0.5659/L101</f>
        <v>#DIV/0!</v>
      </c>
      <c r="M106" s="1089" t="e">
        <f>0.5659/M101</f>
        <v>#DIV/0!</v>
      </c>
      <c r="N106" s="1089" t="e">
        <f>0.5659/N101</f>
        <v>#DIV/0!</v>
      </c>
    </row>
    <row r="107" spans="1:14">
      <c r="A107" s="3712"/>
      <c r="B107" s="1088">
        <v>6</v>
      </c>
      <c r="C107" s="1089" t="e">
        <f>0.7608/C101</f>
        <v>#DIV/0!</v>
      </c>
      <c r="D107" s="1089" t="e">
        <f>0.7608/D101</f>
        <v>#DIV/0!</v>
      </c>
      <c r="E107" s="1089" t="e">
        <f>0.6482/E101</f>
        <v>#DIV/0!</v>
      </c>
      <c r="F107" s="1089" t="e">
        <f>0.6482/F101</f>
        <v>#DIV/0!</v>
      </c>
      <c r="G107" s="1089" t="e">
        <f>0.6482/G101</f>
        <v>#DIV/0!</v>
      </c>
      <c r="H107" s="1089" t="e">
        <f>0.6482/H101</f>
        <v>#DIV/0!</v>
      </c>
      <c r="I107" s="1089" t="e">
        <f>0.6482/I101</f>
        <v>#DIV/0!</v>
      </c>
      <c r="J107" s="1089" t="e">
        <f>0.4525/J101</f>
        <v>#DIV/0!</v>
      </c>
      <c r="K107" s="1089" t="e">
        <f>0.4525/K101</f>
        <v>#DIV/0!</v>
      </c>
      <c r="L107" s="1089" t="e">
        <f>0.4525/L101</f>
        <v>#DIV/0!</v>
      </c>
      <c r="M107" s="1089" t="e">
        <f>0.4525/M101</f>
        <v>#DIV/0!</v>
      </c>
      <c r="N107" s="1089" t="e">
        <f>0.4525/N101</f>
        <v>#DIV/0!</v>
      </c>
    </row>
    <row r="108" spans="1:14">
      <c r="A108" s="3712"/>
      <c r="B108" s="3714"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13"/>
      <c r="B109" s="3715"/>
      <c r="C109" s="1091" t="e">
        <f>(-0.163*(C108^2)-0.59*C108+7617)*(10^(-4))/C101</f>
        <v>#DIV/0!</v>
      </c>
      <c r="D109" s="1091" t="e">
        <f>(-0.163*(D108^2)-0.59*D108+7617)*(10^(-4))/D101</f>
        <v>#DIV/0!</v>
      </c>
      <c r="E109" s="1091" t="e">
        <f>(-0.161*(E108^2)-7.509*E108+6533)*(10^(-4))/E101</f>
        <v>#DIV/0!</v>
      </c>
      <c r="F109" s="1091" t="e">
        <f>(-0.161*(F108^2)-7.509*F108+6533)*(10^(-4))/F101</f>
        <v>#DIV/0!</v>
      </c>
      <c r="G109" s="1091" t="e">
        <f>(-0.161*(G108^2)-7.509*G108+6533)*(10^(-4))/G101</f>
        <v>#DIV/0!</v>
      </c>
      <c r="H109" s="1091" t="e">
        <f>(-0.161*(H108^2)-7.509*H108+6533)*(10^(-4))/H101</f>
        <v>#DIV/0!</v>
      </c>
      <c r="I109" s="1091" t="e">
        <f>(-0.161*(I108^2)-7.509*I108+6533)*(10^(-4))/I101</f>
        <v>#DIV/0!</v>
      </c>
      <c r="J109" s="1091" t="e">
        <f>(-0.214*(J108^2)-21.991*J108+4665)*(10^(-4))/J101</f>
        <v>#DIV/0!</v>
      </c>
      <c r="K109" s="1091" t="e">
        <f>(-0.214*(K108^2)-21.991*K108+4665)*(10^(-4))/K101</f>
        <v>#DIV/0!</v>
      </c>
      <c r="L109" s="1091" t="e">
        <f>(-0.214*(L108^2)-21.991*L108+4665)*(10^(-4))/L101</f>
        <v>#DIV/0!</v>
      </c>
      <c r="M109" s="1091" t="e">
        <f>(-0.214*(M108^2)-21.991*M108+4665)*(10^(-4))/M101</f>
        <v>#DIV/0!</v>
      </c>
      <c r="N109" s="1091" t="e">
        <f>(-0.214*(N108^2)-21.991*N108+4665)*(10^(-4))/N101</f>
        <v>#DIV/0!</v>
      </c>
    </row>
    <row r="110" spans="1:14">
      <c r="A110" s="3697" t="s">
        <v>1440</v>
      </c>
      <c r="B110" s="3697"/>
      <c r="C110" s="3697"/>
      <c r="D110" s="3697"/>
      <c r="E110" s="3697"/>
      <c r="F110" s="3697"/>
      <c r="G110" s="3697"/>
      <c r="H110" s="3697"/>
      <c r="I110" s="3697"/>
      <c r="J110" s="3697"/>
      <c r="K110" s="2256"/>
      <c r="L110" s="2256"/>
      <c r="M110" s="2256"/>
      <c r="N110" s="2256"/>
    </row>
    <row r="112" spans="1:14" ht="12.75" thickBot="1"/>
    <row r="113" spans="1:13" ht="25.5" thickBot="1">
      <c r="A113" s="984" t="s">
        <v>875</v>
      </c>
      <c r="B113" s="2259">
        <f>G3</f>
        <v>0</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880</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881</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882</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8" t="s">
        <v>2889</v>
      </c>
      <c r="B2" s="3399">
        <v>3.5</v>
      </c>
      <c r="C2" s="3399">
        <v>3.5</v>
      </c>
      <c r="D2" s="3400">
        <v>2.5</v>
      </c>
      <c r="E2" s="3400">
        <v>2.5</v>
      </c>
      <c r="F2" s="3400">
        <v>2.5</v>
      </c>
      <c r="G2" s="3400">
        <v>2.5</v>
      </c>
      <c r="H2" s="3400">
        <v>2.5</v>
      </c>
      <c r="I2" s="3399">
        <v>2</v>
      </c>
      <c r="J2" s="3399">
        <v>2</v>
      </c>
      <c r="K2" s="3399">
        <v>2</v>
      </c>
      <c r="L2" s="3399">
        <v>2</v>
      </c>
      <c r="M2" s="3401">
        <v>2</v>
      </c>
    </row>
    <row r="3" spans="1:13">
      <c r="A3" s="3402" t="s">
        <v>2890</v>
      </c>
      <c r="B3" s="3403">
        <v>3.5</v>
      </c>
      <c r="C3" s="3403">
        <v>3.5</v>
      </c>
      <c r="D3" s="3404">
        <v>2.5</v>
      </c>
      <c r="E3" s="3404">
        <v>2.5</v>
      </c>
      <c r="F3" s="3404">
        <v>2.5</v>
      </c>
      <c r="G3" s="3404">
        <v>2.5</v>
      </c>
      <c r="H3" s="3404">
        <v>2.5</v>
      </c>
      <c r="I3" s="3403">
        <v>2</v>
      </c>
      <c r="J3" s="3403">
        <v>2</v>
      </c>
      <c r="K3" s="3403">
        <v>2</v>
      </c>
      <c r="L3" s="3403">
        <v>2</v>
      </c>
      <c r="M3" s="3405">
        <v>2</v>
      </c>
    </row>
    <row r="4" spans="1:13">
      <c r="A4" s="3402" t="s">
        <v>2891</v>
      </c>
      <c r="B4" s="3404">
        <v>2.5</v>
      </c>
      <c r="C4" s="3404">
        <v>2.5</v>
      </c>
      <c r="D4" s="3404">
        <v>2.5</v>
      </c>
      <c r="E4" s="3404">
        <v>2.5</v>
      </c>
      <c r="F4" s="3404">
        <v>2.5</v>
      </c>
      <c r="G4" s="3404">
        <v>2.5</v>
      </c>
      <c r="H4" s="3404">
        <v>2.5</v>
      </c>
      <c r="I4" s="3403">
        <v>1.5</v>
      </c>
      <c r="J4" s="3403">
        <v>1.5</v>
      </c>
      <c r="K4" s="3403">
        <v>1.5</v>
      </c>
      <c r="L4" s="3403">
        <v>1.5</v>
      </c>
      <c r="M4" s="3405">
        <v>1.5</v>
      </c>
    </row>
    <row r="5" spans="1:13">
      <c r="A5" s="3406" t="s">
        <v>2892</v>
      </c>
      <c r="B5" s="3403">
        <v>1.5</v>
      </c>
      <c r="C5" s="3403">
        <v>1.5</v>
      </c>
      <c r="D5" s="3403">
        <v>1.5</v>
      </c>
      <c r="E5" s="3403">
        <v>1.5</v>
      </c>
      <c r="F5" s="3403">
        <v>1.5</v>
      </c>
      <c r="G5" s="3403">
        <v>1.2</v>
      </c>
      <c r="H5" s="3403">
        <v>1.2</v>
      </c>
      <c r="I5" s="3403">
        <v>1</v>
      </c>
      <c r="J5" s="3403">
        <v>1</v>
      </c>
      <c r="K5" s="3403">
        <v>1</v>
      </c>
      <c r="L5" s="3403">
        <v>1</v>
      </c>
      <c r="M5" s="3405">
        <v>1</v>
      </c>
    </row>
    <row r="6" spans="1:13">
      <c r="A6" s="3407" t="s">
        <v>2893</v>
      </c>
      <c r="B6" s="3408">
        <v>2.5</v>
      </c>
      <c r="C6" s="3408">
        <v>2.5</v>
      </c>
      <c r="D6" s="3408">
        <v>2</v>
      </c>
      <c r="E6" s="3408">
        <v>2</v>
      </c>
      <c r="F6" s="3408">
        <v>2</v>
      </c>
      <c r="G6" s="3408">
        <v>2</v>
      </c>
      <c r="H6" s="3408">
        <v>2</v>
      </c>
      <c r="I6" s="3409">
        <v>1.5</v>
      </c>
      <c r="J6" s="3409">
        <v>1.5</v>
      </c>
      <c r="K6" s="3409">
        <v>1.5</v>
      </c>
      <c r="L6" s="3409">
        <v>1.5</v>
      </c>
      <c r="M6" s="3410">
        <v>1.5</v>
      </c>
    </row>
    <row r="7" spans="1:13" ht="14.25" thickBot="1">
      <c r="A7" s="3411" t="s">
        <v>2894</v>
      </c>
      <c r="B7" s="3412">
        <v>2.5</v>
      </c>
      <c r="C7" s="3412">
        <v>2.5</v>
      </c>
      <c r="D7" s="3412">
        <v>2</v>
      </c>
      <c r="E7" s="3412">
        <v>2</v>
      </c>
      <c r="F7" s="3412">
        <v>2</v>
      </c>
      <c r="G7" s="3412">
        <v>2</v>
      </c>
      <c r="H7" s="3412">
        <v>2</v>
      </c>
      <c r="I7" s="3413">
        <v>1.5</v>
      </c>
      <c r="J7" s="3413">
        <v>1.5</v>
      </c>
      <c r="K7" s="3413">
        <v>1.5</v>
      </c>
      <c r="L7" s="3413">
        <v>1.5</v>
      </c>
      <c r="M7" s="3414">
        <v>1.5</v>
      </c>
    </row>
    <row r="8" spans="1:13">
      <c r="A8" s="1071" t="s">
        <v>1412</v>
      </c>
      <c r="B8" s="3415">
        <v>80</v>
      </c>
      <c r="C8" s="3415">
        <v>80</v>
      </c>
      <c r="D8" s="3415">
        <v>70</v>
      </c>
      <c r="E8" s="3415">
        <v>70</v>
      </c>
      <c r="F8" s="3415">
        <v>70</v>
      </c>
      <c r="G8" s="3415">
        <v>70</v>
      </c>
      <c r="H8" s="3415">
        <v>70</v>
      </c>
      <c r="I8" s="3415">
        <v>60</v>
      </c>
      <c r="J8" s="3415">
        <v>60</v>
      </c>
      <c r="K8" s="3415">
        <v>60</v>
      </c>
      <c r="L8" s="3415">
        <v>60</v>
      </c>
      <c r="M8" s="3416">
        <v>60</v>
      </c>
    </row>
    <row r="9" spans="1:13">
      <c r="A9" s="1031" t="s">
        <v>1413</v>
      </c>
      <c r="B9" s="3417">
        <v>70</v>
      </c>
      <c r="C9" s="3417">
        <v>70</v>
      </c>
      <c r="D9" s="3417">
        <v>60</v>
      </c>
      <c r="E9" s="3417">
        <v>60</v>
      </c>
      <c r="F9" s="3417">
        <v>60</v>
      </c>
      <c r="G9" s="3417">
        <v>60</v>
      </c>
      <c r="H9" s="3417">
        <v>60</v>
      </c>
      <c r="I9" s="3417">
        <v>50</v>
      </c>
      <c r="J9" s="3417">
        <v>50</v>
      </c>
      <c r="K9" s="3417">
        <v>50</v>
      </c>
      <c r="L9" s="3417">
        <v>50</v>
      </c>
      <c r="M9" s="3418">
        <v>50</v>
      </c>
    </row>
    <row r="10" spans="1:13">
      <c r="A10" s="1031" t="s">
        <v>1414</v>
      </c>
      <c r="B10" s="3417">
        <v>20</v>
      </c>
      <c r="C10" s="3417">
        <v>20</v>
      </c>
      <c r="D10" s="3417">
        <v>15</v>
      </c>
      <c r="E10" s="3417">
        <v>15</v>
      </c>
      <c r="F10" s="3417">
        <v>15</v>
      </c>
      <c r="G10" s="3417">
        <v>15</v>
      </c>
      <c r="H10" s="3417">
        <v>15</v>
      </c>
      <c r="I10" s="3417">
        <v>10</v>
      </c>
      <c r="J10" s="3417">
        <v>10</v>
      </c>
      <c r="K10" s="3417">
        <v>10</v>
      </c>
      <c r="L10" s="3417">
        <v>10</v>
      </c>
      <c r="M10" s="3418">
        <v>10</v>
      </c>
    </row>
    <row r="11" spans="1:13">
      <c r="A11" s="1031" t="s">
        <v>1415</v>
      </c>
      <c r="B11" s="3417">
        <v>30</v>
      </c>
      <c r="C11" s="3417">
        <v>30</v>
      </c>
      <c r="D11" s="3417">
        <v>25</v>
      </c>
      <c r="E11" s="3417">
        <v>25</v>
      </c>
      <c r="F11" s="3417">
        <v>25</v>
      </c>
      <c r="G11" s="3417">
        <v>25</v>
      </c>
      <c r="H11" s="3417">
        <v>25</v>
      </c>
      <c r="I11" s="3417">
        <v>20</v>
      </c>
      <c r="J11" s="3417">
        <v>20</v>
      </c>
      <c r="K11" s="3417">
        <v>20</v>
      </c>
      <c r="L11" s="3417">
        <v>20</v>
      </c>
      <c r="M11" s="3418">
        <v>20</v>
      </c>
    </row>
    <row r="12" spans="1:13">
      <c r="A12" s="1031" t="s">
        <v>1416</v>
      </c>
      <c r="B12" s="3417">
        <v>45</v>
      </c>
      <c r="C12" s="3417">
        <v>45</v>
      </c>
      <c r="D12" s="3417">
        <v>40</v>
      </c>
      <c r="E12" s="3417">
        <v>40</v>
      </c>
      <c r="F12" s="3417">
        <v>40</v>
      </c>
      <c r="G12" s="3417">
        <v>40</v>
      </c>
      <c r="H12" s="3417">
        <v>40</v>
      </c>
      <c r="I12" s="3417">
        <v>35</v>
      </c>
      <c r="J12" s="3417">
        <v>35</v>
      </c>
      <c r="K12" s="3417">
        <v>35</v>
      </c>
      <c r="L12" s="3417">
        <v>35</v>
      </c>
      <c r="M12" s="3418">
        <v>35</v>
      </c>
    </row>
    <row r="13" spans="1:13">
      <c r="A13" s="1031" t="s">
        <v>1417</v>
      </c>
      <c r="B13" s="3417">
        <v>60</v>
      </c>
      <c r="C13" s="3417">
        <v>60</v>
      </c>
      <c r="D13" s="3417">
        <v>50</v>
      </c>
      <c r="E13" s="3417">
        <v>50</v>
      </c>
      <c r="F13" s="3417">
        <v>50</v>
      </c>
      <c r="G13" s="3417">
        <v>50</v>
      </c>
      <c r="H13" s="3417">
        <v>50</v>
      </c>
      <c r="I13" s="3417">
        <v>40</v>
      </c>
      <c r="J13" s="3417">
        <v>40</v>
      </c>
      <c r="K13" s="3417">
        <v>40</v>
      </c>
      <c r="L13" s="3417">
        <v>40</v>
      </c>
      <c r="M13" s="3418">
        <v>40</v>
      </c>
    </row>
    <row r="14" spans="1:13">
      <c r="A14" s="1031" t="s">
        <v>1418</v>
      </c>
      <c r="B14" s="3417">
        <v>50</v>
      </c>
      <c r="C14" s="3417">
        <v>50</v>
      </c>
      <c r="D14" s="3417">
        <v>40</v>
      </c>
      <c r="E14" s="3417">
        <v>40</v>
      </c>
      <c r="F14" s="3417">
        <v>40</v>
      </c>
      <c r="G14" s="3417">
        <v>40</v>
      </c>
      <c r="H14" s="3417">
        <v>40</v>
      </c>
      <c r="I14" s="3417">
        <v>30</v>
      </c>
      <c r="J14" s="3417">
        <v>30</v>
      </c>
      <c r="K14" s="3417">
        <v>30</v>
      </c>
      <c r="L14" s="3417">
        <v>30</v>
      </c>
      <c r="M14" s="3418">
        <v>30</v>
      </c>
    </row>
    <row r="15" spans="1:13">
      <c r="A15" s="1072" t="s">
        <v>1419</v>
      </c>
      <c r="B15" s="3419">
        <v>20</v>
      </c>
      <c r="C15" s="3419">
        <v>20</v>
      </c>
      <c r="D15" s="3419">
        <v>15</v>
      </c>
      <c r="E15" s="3419">
        <v>15</v>
      </c>
      <c r="F15" s="3419">
        <v>15</v>
      </c>
      <c r="G15" s="3419">
        <v>15</v>
      </c>
      <c r="H15" s="3419">
        <v>15</v>
      </c>
      <c r="I15" s="3419">
        <v>10</v>
      </c>
      <c r="J15" s="3419">
        <v>10</v>
      </c>
      <c r="K15" s="3419">
        <v>10</v>
      </c>
      <c r="L15" s="3419">
        <v>10</v>
      </c>
      <c r="M15" s="3420">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1" t="s">
        <v>2679</v>
      </c>
      <c r="B17" s="2707">
        <f>SUM(B8:B15)</f>
        <v>375</v>
      </c>
      <c r="C17" s="2707">
        <f t="shared" ref="C17:H17" si="0">SUM(C8:C15)</f>
        <v>375</v>
      </c>
      <c r="D17" s="2707">
        <f t="shared" si="0"/>
        <v>315</v>
      </c>
      <c r="E17" s="2707">
        <f t="shared" si="0"/>
        <v>315</v>
      </c>
      <c r="F17" s="2707">
        <f t="shared" si="0"/>
        <v>315</v>
      </c>
      <c r="G17" s="2707">
        <f t="shared" si="0"/>
        <v>315</v>
      </c>
      <c r="H17" s="2707">
        <f t="shared" si="0"/>
        <v>315</v>
      </c>
      <c r="I17" s="2707">
        <f>SUM(I8:I12,I15)</f>
        <v>185</v>
      </c>
      <c r="J17" s="2707">
        <f t="shared" ref="J17:M17" si="1">SUM(J8:J12,J15)</f>
        <v>185</v>
      </c>
      <c r="K17" s="2707">
        <f t="shared" si="1"/>
        <v>185</v>
      </c>
      <c r="L17" s="2707">
        <f t="shared" si="1"/>
        <v>185</v>
      </c>
      <c r="M17" s="2707">
        <f t="shared" si="1"/>
        <v>185</v>
      </c>
    </row>
    <row r="18" spans="1:13">
      <c r="A18" s="1074" t="s">
        <v>1421</v>
      </c>
      <c r="B18" s="1074"/>
      <c r="C18" s="1075"/>
      <c r="D18" s="1075"/>
      <c r="E18" s="1074"/>
      <c r="F18" s="1075"/>
      <c r="G18" s="1075"/>
    </row>
    <row r="19" spans="1:13" ht="14.25" thickBot="1">
      <c r="A19" s="3419" t="s">
        <v>2895</v>
      </c>
      <c r="B19" s="3421" t="s">
        <v>2896</v>
      </c>
      <c r="C19" s="3422" t="s">
        <v>2897</v>
      </c>
      <c r="D19" s="3423"/>
      <c r="E19" s="3417" t="s">
        <v>2898</v>
      </c>
      <c r="F19" s="1077"/>
      <c r="G19" s="1077"/>
    </row>
    <row r="20" spans="1:13" s="1484" customFormat="1">
      <c r="A20" s="3721" t="s">
        <v>2889</v>
      </c>
      <c r="B20" s="3724" t="s">
        <v>2899</v>
      </c>
      <c r="C20" s="3424" t="s">
        <v>2900</v>
      </c>
      <c r="D20" s="3425"/>
      <c r="E20" s="3426">
        <v>1</v>
      </c>
      <c r="F20" s="3427" t="s">
        <v>2901</v>
      </c>
      <c r="G20" s="1079"/>
      <c r="H20" s="1069"/>
      <c r="I20" s="1069"/>
    </row>
    <row r="21" spans="1:13" s="1484" customFormat="1">
      <c r="A21" s="3722"/>
      <c r="B21" s="3725"/>
      <c r="C21" s="3428" t="s">
        <v>2902</v>
      </c>
      <c r="D21" s="3429"/>
      <c r="E21" s="3430">
        <v>1</v>
      </c>
      <c r="F21" s="3427" t="s">
        <v>2903</v>
      </c>
      <c r="G21" s="1079"/>
      <c r="H21" s="1069"/>
      <c r="I21" s="1069"/>
    </row>
    <row r="22" spans="1:13" s="1484" customFormat="1">
      <c r="A22" s="3722"/>
      <c r="B22" s="3725"/>
      <c r="C22" s="3428" t="s">
        <v>2904</v>
      </c>
      <c r="D22" s="3429"/>
      <c r="E22" s="3430">
        <v>0.9</v>
      </c>
      <c r="F22" s="3427" t="s">
        <v>2905</v>
      </c>
      <c r="G22" s="1079"/>
      <c r="H22" s="1069"/>
      <c r="I22" s="1069"/>
    </row>
    <row r="23" spans="1:13" s="1484" customFormat="1">
      <c r="A23" s="3722"/>
      <c r="B23" s="3725"/>
      <c r="C23" s="3428" t="s">
        <v>2906</v>
      </c>
      <c r="D23" s="3429"/>
      <c r="E23" s="3430">
        <v>0.9</v>
      </c>
      <c r="F23" s="3427" t="s">
        <v>2907</v>
      </c>
      <c r="G23" s="1079"/>
      <c r="H23" s="1069"/>
      <c r="I23" s="1069"/>
    </row>
    <row r="24" spans="1:13" s="1484" customFormat="1">
      <c r="A24" s="3722"/>
      <c r="B24" s="3725"/>
      <c r="C24" s="3428" t="s">
        <v>2908</v>
      </c>
      <c r="D24" s="3429"/>
      <c r="E24" s="3430">
        <v>0.8</v>
      </c>
      <c r="F24" s="3427" t="s">
        <v>2909</v>
      </c>
      <c r="G24" s="1079"/>
      <c r="H24" s="1069"/>
      <c r="I24" s="1069"/>
    </row>
    <row r="25" spans="1:13" s="1484" customFormat="1" ht="14.25" thickBot="1">
      <c r="A25" s="3723"/>
      <c r="B25" s="3726"/>
      <c r="C25" s="3431" t="s">
        <v>2910</v>
      </c>
      <c r="D25" s="3432"/>
      <c r="E25" s="3433">
        <v>0.8</v>
      </c>
      <c r="F25" s="3427" t="s">
        <v>2911</v>
      </c>
      <c r="G25" s="1079"/>
      <c r="H25" s="1069"/>
      <c r="I25" s="1069"/>
    </row>
    <row r="26" spans="1:13" s="1484" customFormat="1" ht="14.25" thickBot="1">
      <c r="A26" s="3434" t="s">
        <v>2890</v>
      </c>
      <c r="B26" s="3435" t="s">
        <v>2899</v>
      </c>
      <c r="C26" s="3436" t="s">
        <v>2912</v>
      </c>
      <c r="D26" s="3437"/>
      <c r="E26" s="3438">
        <v>1</v>
      </c>
      <c r="F26" s="3427" t="s">
        <v>2913</v>
      </c>
      <c r="G26" s="1079"/>
      <c r="H26" s="1069"/>
      <c r="I26" s="1069"/>
    </row>
    <row r="27" spans="1:13" s="1484" customFormat="1">
      <c r="A27" s="3727" t="s">
        <v>2894</v>
      </c>
      <c r="B27" s="3724" t="s">
        <v>2894</v>
      </c>
      <c r="C27" s="3424" t="s">
        <v>2914</v>
      </c>
      <c r="D27" s="3425"/>
      <c r="E27" s="3426">
        <v>1</v>
      </c>
      <c r="F27" s="3427" t="s">
        <v>2915</v>
      </c>
      <c r="G27" s="1079"/>
      <c r="H27" s="1069"/>
      <c r="I27" s="1069"/>
    </row>
    <row r="28" spans="1:13" s="1484" customFormat="1">
      <c r="A28" s="3728"/>
      <c r="B28" s="3725"/>
      <c r="C28" s="3428" t="s">
        <v>2916</v>
      </c>
      <c r="D28" s="3429"/>
      <c r="E28" s="3430">
        <v>1</v>
      </c>
      <c r="F28" s="3427" t="s">
        <v>2917</v>
      </c>
      <c r="G28" s="1079"/>
      <c r="H28" s="1069"/>
      <c r="I28" s="1069"/>
    </row>
    <row r="29" spans="1:13" s="1484" customFormat="1">
      <c r="A29" s="3728"/>
      <c r="B29" s="3725"/>
      <c r="C29" s="3428" t="s">
        <v>2918</v>
      </c>
      <c r="D29" s="3429"/>
      <c r="E29" s="3430">
        <v>0.8</v>
      </c>
      <c r="F29" s="3427" t="s">
        <v>2919</v>
      </c>
      <c r="G29" s="1079"/>
      <c r="H29" s="1069"/>
      <c r="I29" s="1069"/>
    </row>
    <row r="30" spans="1:13" s="1484" customFormat="1">
      <c r="A30" s="3728"/>
      <c r="B30" s="3725"/>
      <c r="C30" s="3428" t="s">
        <v>2920</v>
      </c>
      <c r="D30" s="3429"/>
      <c r="E30" s="3430">
        <v>0.8</v>
      </c>
      <c r="F30" s="3427" t="s">
        <v>2921</v>
      </c>
      <c r="G30" s="1079"/>
      <c r="H30" s="1069"/>
      <c r="I30" s="1069"/>
    </row>
    <row r="31" spans="1:13" s="1484" customFormat="1">
      <c r="A31" s="3728"/>
      <c r="B31" s="3725"/>
      <c r="C31" s="3428" t="s">
        <v>2922</v>
      </c>
      <c r="D31" s="3429"/>
      <c r="E31" s="3430">
        <v>0.8</v>
      </c>
      <c r="F31" s="3427" t="s">
        <v>2923</v>
      </c>
      <c r="G31" s="1079"/>
      <c r="H31" s="1069"/>
      <c r="I31" s="1069"/>
    </row>
    <row r="32" spans="1:13" s="1484" customFormat="1">
      <c r="A32" s="3728"/>
      <c r="B32" s="3725"/>
      <c r="C32" s="3428" t="s">
        <v>2924</v>
      </c>
      <c r="D32" s="3429"/>
      <c r="E32" s="3430">
        <v>0.7</v>
      </c>
      <c r="F32" s="3427" t="s">
        <v>2925</v>
      </c>
      <c r="G32" s="1079"/>
      <c r="H32" s="1069"/>
      <c r="I32" s="1069"/>
    </row>
    <row r="33" spans="1:9" s="1484" customFormat="1">
      <c r="A33" s="3728"/>
      <c r="B33" s="3725"/>
      <c r="C33" s="3428" t="s">
        <v>2926</v>
      </c>
      <c r="D33" s="3429"/>
      <c r="E33" s="3430">
        <v>0.8</v>
      </c>
      <c r="F33" s="3427" t="s">
        <v>2927</v>
      </c>
      <c r="G33" s="1079"/>
      <c r="H33" s="1069"/>
      <c r="I33" s="1069"/>
    </row>
    <row r="34" spans="1:9" s="1484" customFormat="1">
      <c r="A34" s="3728"/>
      <c r="B34" s="3725"/>
      <c r="C34" s="3428" t="s">
        <v>2928</v>
      </c>
      <c r="D34" s="3429"/>
      <c r="E34" s="3430">
        <v>0.6</v>
      </c>
      <c r="F34" s="3427" t="s">
        <v>2929</v>
      </c>
      <c r="G34" s="1079"/>
      <c r="H34" s="1069"/>
      <c r="I34" s="1069"/>
    </row>
    <row r="35" spans="1:9" s="1484" customFormat="1">
      <c r="A35" s="3728"/>
      <c r="B35" s="3725"/>
      <c r="C35" s="3428" t="s">
        <v>2930</v>
      </c>
      <c r="D35" s="3429"/>
      <c r="E35" s="3430">
        <v>0.2</v>
      </c>
      <c r="F35" s="3427" t="s">
        <v>2931</v>
      </c>
      <c r="G35" s="1079"/>
      <c r="H35" s="1069"/>
      <c r="I35" s="1069"/>
    </row>
    <row r="36" spans="1:9" s="1484" customFormat="1">
      <c r="A36" s="3728"/>
      <c r="B36" s="3725"/>
      <c r="C36" s="3428" t="s">
        <v>2932</v>
      </c>
      <c r="D36" s="3429"/>
      <c r="E36" s="3430">
        <v>0.2</v>
      </c>
      <c r="F36" s="3427" t="s">
        <v>2933</v>
      </c>
      <c r="G36" s="1079"/>
      <c r="H36" s="1069"/>
      <c r="I36" s="1069"/>
    </row>
    <row r="37" spans="1:9" s="1484" customFormat="1">
      <c r="A37" s="3728"/>
      <c r="B37" s="3719" t="s">
        <v>2934</v>
      </c>
      <c r="C37" s="3428" t="s">
        <v>2935</v>
      </c>
      <c r="D37" s="3429"/>
      <c r="E37" s="3430">
        <v>0.6</v>
      </c>
      <c r="F37" s="3427" t="s">
        <v>2936</v>
      </c>
      <c r="G37" s="1079"/>
      <c r="H37" s="1069"/>
      <c r="I37" s="1069"/>
    </row>
    <row r="38" spans="1:9" s="1484" customFormat="1">
      <c r="A38" s="3728"/>
      <c r="B38" s="3725"/>
      <c r="C38" s="3428" t="s">
        <v>2937</v>
      </c>
      <c r="D38" s="3429"/>
      <c r="E38" s="3430">
        <v>0.6</v>
      </c>
      <c r="F38" s="3427" t="s">
        <v>2938</v>
      </c>
      <c r="G38" s="1079"/>
      <c r="H38" s="1069"/>
      <c r="I38" s="1069"/>
    </row>
    <row r="39" spans="1:9" s="1484" customFormat="1" ht="14.25" thickBot="1">
      <c r="A39" s="3729"/>
      <c r="B39" s="3726"/>
      <c r="C39" s="3431" t="s">
        <v>2939</v>
      </c>
      <c r="D39" s="3432"/>
      <c r="E39" s="3433">
        <v>0.6</v>
      </c>
      <c r="F39" s="3427" t="s">
        <v>2940</v>
      </c>
      <c r="G39" s="1079"/>
      <c r="H39" s="1069"/>
      <c r="I39" s="1069"/>
    </row>
    <row r="40" spans="1:9" s="1484" customFormat="1" ht="14.25" thickBot="1">
      <c r="A40" s="3434" t="s">
        <v>2891</v>
      </c>
      <c r="B40" s="3435" t="s">
        <v>2891</v>
      </c>
      <c r="C40" s="3436" t="s">
        <v>2941</v>
      </c>
      <c r="D40" s="3437"/>
      <c r="E40" s="3438">
        <v>1</v>
      </c>
      <c r="F40" s="3427" t="s">
        <v>2942</v>
      </c>
      <c r="G40" s="1079"/>
      <c r="H40" s="1069"/>
      <c r="I40" s="1069"/>
    </row>
    <row r="41" spans="1:9" s="1484" customFormat="1">
      <c r="A41" s="3721" t="s">
        <v>2892</v>
      </c>
      <c r="B41" s="3724" t="s">
        <v>2943</v>
      </c>
      <c r="C41" s="3424" t="s">
        <v>2944</v>
      </c>
      <c r="D41" s="3425"/>
      <c r="E41" s="3426">
        <v>1</v>
      </c>
      <c r="F41" s="3427" t="s">
        <v>2945</v>
      </c>
      <c r="G41" s="1079"/>
      <c r="H41" s="1069"/>
      <c r="I41" s="1069"/>
    </row>
    <row r="42" spans="1:9" s="1484" customFormat="1">
      <c r="A42" s="3722"/>
      <c r="B42" s="3725"/>
      <c r="C42" s="3428" t="s">
        <v>2946</v>
      </c>
      <c r="D42" s="3429"/>
      <c r="E42" s="3430">
        <v>1</v>
      </c>
      <c r="F42" s="3427" t="s">
        <v>2947</v>
      </c>
      <c r="G42" s="1079"/>
      <c r="H42" s="1069"/>
      <c r="I42" s="1069"/>
    </row>
    <row r="43" spans="1:9" s="1484" customFormat="1">
      <c r="A43" s="3722"/>
      <c r="B43" s="3720"/>
      <c r="C43" s="3428" t="s">
        <v>2948</v>
      </c>
      <c r="D43" s="3429"/>
      <c r="E43" s="3430">
        <v>1.5</v>
      </c>
      <c r="F43" s="3427" t="s">
        <v>2949</v>
      </c>
      <c r="G43" s="1079"/>
      <c r="H43" s="1069"/>
      <c r="I43" s="1069"/>
    </row>
    <row r="44" spans="1:9" s="1484" customFormat="1">
      <c r="A44" s="3722"/>
      <c r="B44" s="3439" t="s">
        <v>2894</v>
      </c>
      <c r="C44" s="3428" t="s">
        <v>2893</v>
      </c>
      <c r="D44" s="3429"/>
      <c r="E44" s="3430">
        <v>2</v>
      </c>
      <c r="F44" s="3427" t="s">
        <v>2950</v>
      </c>
      <c r="G44" s="1079"/>
      <c r="H44" s="1069"/>
      <c r="I44" s="1069"/>
    </row>
    <row r="45" spans="1:9" s="1484" customFormat="1">
      <c r="A45" s="3722"/>
      <c r="B45" s="3719" t="s">
        <v>2951</v>
      </c>
      <c r="C45" s="3428" t="s">
        <v>2952</v>
      </c>
      <c r="D45" s="3429"/>
      <c r="E45" s="3430">
        <v>1</v>
      </c>
      <c r="F45" s="3427" t="s">
        <v>2953</v>
      </c>
      <c r="G45" s="1079"/>
      <c r="H45" s="1069"/>
      <c r="I45" s="1069"/>
    </row>
    <row r="46" spans="1:9" s="1484" customFormat="1">
      <c r="A46" s="3722"/>
      <c r="B46" s="3725"/>
      <c r="C46" s="3428" t="s">
        <v>2954</v>
      </c>
      <c r="D46" s="3429"/>
      <c r="E46" s="3430">
        <v>1</v>
      </c>
      <c r="F46" s="3427" t="s">
        <v>2955</v>
      </c>
      <c r="G46" s="1079"/>
      <c r="H46" s="1069"/>
      <c r="I46" s="1069"/>
    </row>
    <row r="47" spans="1:9" s="1484" customFormat="1">
      <c r="A47" s="3722"/>
      <c r="B47" s="3725"/>
      <c r="C47" s="3428" t="s">
        <v>2956</v>
      </c>
      <c r="D47" s="3429"/>
      <c r="E47" s="3430">
        <v>1</v>
      </c>
      <c r="F47" s="3427" t="s">
        <v>2957</v>
      </c>
      <c r="G47" s="1079"/>
      <c r="H47" s="1069"/>
      <c r="I47" s="1069"/>
    </row>
    <row r="48" spans="1:9" s="1484" customFormat="1">
      <c r="A48" s="3722"/>
      <c r="B48" s="3725"/>
      <c r="C48" s="3428" t="s">
        <v>2958</v>
      </c>
      <c r="D48" s="3429"/>
      <c r="E48" s="3430">
        <v>1</v>
      </c>
      <c r="F48" s="3427" t="s">
        <v>2959</v>
      </c>
      <c r="G48" s="1079"/>
      <c r="H48" s="1069"/>
      <c r="I48" s="1069"/>
    </row>
    <row r="49" spans="1:9" s="1484" customFormat="1">
      <c r="A49" s="3722"/>
      <c r="B49" s="3725"/>
      <c r="C49" s="3428" t="s">
        <v>2960</v>
      </c>
      <c r="D49" s="3429"/>
      <c r="E49" s="3430">
        <v>1</v>
      </c>
      <c r="F49" s="3427" t="s">
        <v>2961</v>
      </c>
      <c r="G49" s="1079"/>
      <c r="H49" s="1069"/>
      <c r="I49" s="1069"/>
    </row>
    <row r="50" spans="1:9" s="1484" customFormat="1">
      <c r="A50" s="3722"/>
      <c r="B50" s="3725"/>
      <c r="C50" s="3428" t="s">
        <v>2962</v>
      </c>
      <c r="D50" s="3429"/>
      <c r="E50" s="3430">
        <v>1</v>
      </c>
      <c r="F50" s="3427" t="s">
        <v>2963</v>
      </c>
      <c r="G50" s="1079"/>
      <c r="H50" s="1069"/>
      <c r="I50" s="1069"/>
    </row>
    <row r="51" spans="1:9" s="1484" customFormat="1" ht="14.25" thickBot="1">
      <c r="A51" s="3723"/>
      <c r="B51" s="3726"/>
      <c r="C51" s="3431" t="s">
        <v>2964</v>
      </c>
      <c r="D51" s="3432"/>
      <c r="E51" s="3433">
        <v>1</v>
      </c>
      <c r="F51" s="3427" t="s">
        <v>2965</v>
      </c>
      <c r="G51" s="1079"/>
      <c r="H51" s="1069"/>
      <c r="I51" s="1069"/>
    </row>
    <row r="52" spans="1:9" s="1484" customFormat="1">
      <c r="A52" s="1485"/>
      <c r="B52" s="1485"/>
      <c r="C52" s="1485"/>
      <c r="D52" s="1485"/>
      <c r="E52" s="1485"/>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7">
        <v>0.7</v>
      </c>
      <c r="C57" s="3417">
        <v>0.4</v>
      </c>
      <c r="D57" s="3417">
        <v>0.3</v>
      </c>
      <c r="E57" s="3423">
        <v>0.3</v>
      </c>
      <c r="F57" s="3417">
        <v>0.3</v>
      </c>
      <c r="G57" s="3417">
        <v>0.2</v>
      </c>
      <c r="I57" s="1030"/>
    </row>
    <row r="58" spans="1:9">
      <c r="A58" s="1097" t="s">
        <v>887</v>
      </c>
      <c r="B58" s="3417">
        <v>0.7</v>
      </c>
      <c r="C58" s="3417">
        <v>0.4</v>
      </c>
      <c r="D58" s="3417">
        <v>0.3</v>
      </c>
      <c r="E58" s="3417">
        <v>0.3</v>
      </c>
      <c r="F58" s="3417">
        <v>0.3</v>
      </c>
      <c r="G58" s="3417">
        <v>0.2</v>
      </c>
      <c r="I58" s="1030"/>
    </row>
    <row r="59" spans="1:9">
      <c r="A59" s="1097" t="s">
        <v>888</v>
      </c>
      <c r="B59" s="3417">
        <v>0.6</v>
      </c>
      <c r="C59" s="3417">
        <v>0.3</v>
      </c>
      <c r="D59" s="3417">
        <v>0.25</v>
      </c>
      <c r="E59" s="3417">
        <v>0.25</v>
      </c>
      <c r="F59" s="3417">
        <v>0.25</v>
      </c>
      <c r="G59" s="3417">
        <v>0.15</v>
      </c>
      <c r="I59" s="1030"/>
    </row>
    <row r="60" spans="1:9">
      <c r="A60" s="1097" t="s">
        <v>889</v>
      </c>
      <c r="B60" s="3417">
        <v>0.6</v>
      </c>
      <c r="C60" s="3417">
        <v>0.3</v>
      </c>
      <c r="D60" s="3417">
        <v>0.25</v>
      </c>
      <c r="E60" s="3417">
        <v>0.25</v>
      </c>
      <c r="F60" s="3417">
        <v>0.25</v>
      </c>
      <c r="G60" s="3417">
        <v>0.15</v>
      </c>
      <c r="I60" s="1030"/>
    </row>
    <row r="61" spans="1:9" s="1069" customFormat="1">
      <c r="A61" s="1097" t="s">
        <v>890</v>
      </c>
      <c r="B61" s="3417">
        <v>0.6</v>
      </c>
      <c r="C61" s="3417">
        <v>0.3</v>
      </c>
      <c r="D61" s="3417">
        <v>0.25</v>
      </c>
      <c r="E61" s="3417">
        <v>0.25</v>
      </c>
      <c r="F61" s="3417">
        <v>0.25</v>
      </c>
      <c r="G61" s="3417">
        <v>0.15</v>
      </c>
    </row>
    <row r="62" spans="1:9" s="1069" customFormat="1">
      <c r="A62" s="1097" t="s">
        <v>891</v>
      </c>
      <c r="B62" s="3417">
        <v>0.6</v>
      </c>
      <c r="C62" s="3417">
        <v>0.3</v>
      </c>
      <c r="D62" s="3417">
        <v>0.25</v>
      </c>
      <c r="E62" s="3417">
        <v>0.25</v>
      </c>
      <c r="F62" s="3417">
        <v>0.25</v>
      </c>
      <c r="G62" s="3417">
        <v>0.15</v>
      </c>
    </row>
    <row r="63" spans="1:9" s="1069" customFormat="1">
      <c r="A63" s="1097" t="s">
        <v>892</v>
      </c>
      <c r="B63" s="3417">
        <v>0.6</v>
      </c>
      <c r="C63" s="3417">
        <v>0.3</v>
      </c>
      <c r="D63" s="3417">
        <v>0.25</v>
      </c>
      <c r="E63" s="3417">
        <v>0.25</v>
      </c>
      <c r="F63" s="3417">
        <v>0.25</v>
      </c>
      <c r="G63" s="3417">
        <v>0.15</v>
      </c>
    </row>
    <row r="64" spans="1:9" s="1069" customFormat="1">
      <c r="A64" s="1097" t="s">
        <v>893</v>
      </c>
      <c r="B64" s="3417">
        <v>0.5</v>
      </c>
      <c r="C64" s="3417">
        <v>0.2</v>
      </c>
      <c r="D64" s="3417">
        <v>0.2</v>
      </c>
      <c r="E64" s="3417">
        <v>0.2</v>
      </c>
      <c r="F64" s="3417">
        <v>0.2</v>
      </c>
      <c r="G64" s="3417">
        <v>0.1</v>
      </c>
    </row>
    <row r="65" spans="1:8" s="1069" customFormat="1">
      <c r="A65" s="1097" t="s">
        <v>894</v>
      </c>
      <c r="B65" s="3417">
        <v>0.5</v>
      </c>
      <c r="C65" s="3417">
        <v>0.2</v>
      </c>
      <c r="D65" s="3417">
        <v>0.2</v>
      </c>
      <c r="E65" s="3417">
        <v>0.2</v>
      </c>
      <c r="F65" s="3417">
        <v>0.2</v>
      </c>
      <c r="G65" s="3417">
        <v>0.1</v>
      </c>
    </row>
    <row r="66" spans="1:8" s="1069" customFormat="1">
      <c r="A66" s="1097" t="s">
        <v>895</v>
      </c>
      <c r="B66" s="3417">
        <v>0.5</v>
      </c>
      <c r="C66" s="3417">
        <v>0.2</v>
      </c>
      <c r="D66" s="3417">
        <v>0.2</v>
      </c>
      <c r="E66" s="3417">
        <v>0.2</v>
      </c>
      <c r="F66" s="3417">
        <v>0.2</v>
      </c>
      <c r="G66" s="3417">
        <v>0.1</v>
      </c>
    </row>
    <row r="67" spans="1:8" s="1069" customFormat="1">
      <c r="A67" s="1097" t="s">
        <v>896</v>
      </c>
      <c r="B67" s="3417">
        <v>0.5</v>
      </c>
      <c r="C67" s="3417">
        <v>0.2</v>
      </c>
      <c r="D67" s="3417">
        <v>0.2</v>
      </c>
      <c r="E67" s="3417">
        <v>0.2</v>
      </c>
      <c r="F67" s="3417">
        <v>0.2</v>
      </c>
      <c r="G67" s="3417">
        <v>0.1</v>
      </c>
    </row>
    <row r="68" spans="1:8" s="1069" customFormat="1">
      <c r="A68" s="1097" t="s">
        <v>897</v>
      </c>
      <c r="B68" s="3417">
        <v>0.5</v>
      </c>
      <c r="C68" s="3417">
        <v>0.2</v>
      </c>
      <c r="D68" s="3417">
        <v>0.2</v>
      </c>
      <c r="E68" s="3417">
        <v>0.2</v>
      </c>
      <c r="F68" s="3417">
        <v>0.2</v>
      </c>
      <c r="G68" s="3417">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2966</v>
      </c>
      <c r="D72" s="1099"/>
      <c r="E72" s="1084" t="s">
        <v>1420</v>
      </c>
      <c r="F72" s="1099" t="s">
        <v>1420</v>
      </c>
    </row>
    <row r="73" spans="1:8" s="1069" customFormat="1">
      <c r="A73" s="3439">
        <v>1</v>
      </c>
      <c r="B73" s="3719" t="s">
        <v>2967</v>
      </c>
      <c r="C73" s="3417" t="s">
        <v>2968</v>
      </c>
      <c r="D73" s="3417" t="s">
        <v>2969</v>
      </c>
      <c r="E73" s="3440">
        <v>0.2</v>
      </c>
      <c r="F73" s="3439">
        <v>25</v>
      </c>
      <c r="H73" s="1069">
        <f>SUMIF(C71:C139,基准地价!C8,E71:E139)</f>
        <v>0</v>
      </c>
    </row>
    <row r="74" spans="1:8" s="1069" customFormat="1" ht="24">
      <c r="A74" s="3439">
        <v>2</v>
      </c>
      <c r="B74" s="3725"/>
      <c r="C74" s="3417" t="s">
        <v>2970</v>
      </c>
      <c r="D74" s="3417" t="s">
        <v>2971</v>
      </c>
      <c r="E74" s="3440">
        <v>0.2</v>
      </c>
      <c r="F74" s="3439">
        <v>25</v>
      </c>
    </row>
    <row r="75" spans="1:8" s="1069" customFormat="1" ht="24">
      <c r="A75" s="3439">
        <v>3</v>
      </c>
      <c r="B75" s="3725"/>
      <c r="C75" s="3417" t="s">
        <v>2972</v>
      </c>
      <c r="D75" s="3417" t="s">
        <v>2973</v>
      </c>
      <c r="E75" s="3440">
        <v>0.2</v>
      </c>
      <c r="F75" s="3439">
        <v>25</v>
      </c>
    </row>
    <row r="76" spans="1:8" s="1069" customFormat="1">
      <c r="A76" s="3439">
        <v>4</v>
      </c>
      <c r="B76" s="3725"/>
      <c r="C76" s="3417" t="s">
        <v>2974</v>
      </c>
      <c r="D76" s="3417" t="s">
        <v>2975</v>
      </c>
      <c r="E76" s="3440">
        <v>0.15</v>
      </c>
      <c r="F76" s="3439">
        <v>20</v>
      </c>
    </row>
    <row r="77" spans="1:8" s="1069" customFormat="1" ht="24">
      <c r="A77" s="3439">
        <v>5</v>
      </c>
      <c r="B77" s="3725"/>
      <c r="C77" s="3417" t="s">
        <v>2976</v>
      </c>
      <c r="D77" s="3417" t="s">
        <v>2977</v>
      </c>
      <c r="E77" s="3440">
        <v>0.15</v>
      </c>
      <c r="F77" s="3439">
        <v>20</v>
      </c>
    </row>
    <row r="78" spans="1:8" s="1069" customFormat="1" ht="24">
      <c r="A78" s="3439">
        <v>6</v>
      </c>
      <c r="B78" s="3725"/>
      <c r="C78" s="3417" t="s">
        <v>2978</v>
      </c>
      <c r="D78" s="3417" t="s">
        <v>2979</v>
      </c>
      <c r="E78" s="3440">
        <v>0.15</v>
      </c>
      <c r="F78" s="3439">
        <v>20</v>
      </c>
    </row>
    <row r="79" spans="1:8" s="1069" customFormat="1" ht="24">
      <c r="A79" s="3439">
        <v>7</v>
      </c>
      <c r="B79" s="3725"/>
      <c r="C79" s="3417" t="s">
        <v>2980</v>
      </c>
      <c r="D79" s="3417" t="s">
        <v>2981</v>
      </c>
      <c r="E79" s="3440">
        <v>0.15</v>
      </c>
      <c r="F79" s="3439">
        <v>20</v>
      </c>
    </row>
    <row r="80" spans="1:8" s="1069" customFormat="1" ht="24">
      <c r="A80" s="3439">
        <v>8</v>
      </c>
      <c r="B80" s="3725"/>
      <c r="C80" s="3417" t="s">
        <v>2982</v>
      </c>
      <c r="D80" s="3417" t="s">
        <v>2983</v>
      </c>
      <c r="E80" s="3440">
        <v>0.1</v>
      </c>
      <c r="F80" s="3439">
        <v>15</v>
      </c>
    </row>
    <row r="81" spans="1:6" s="1069" customFormat="1" ht="24">
      <c r="A81" s="3439">
        <v>9</v>
      </c>
      <c r="B81" s="3725"/>
      <c r="C81" s="3417" t="s">
        <v>2984</v>
      </c>
      <c r="D81" s="3417" t="s">
        <v>2985</v>
      </c>
      <c r="E81" s="3440">
        <v>0.1</v>
      </c>
      <c r="F81" s="3439">
        <v>15</v>
      </c>
    </row>
    <row r="82" spans="1:6" s="1069" customFormat="1" ht="24">
      <c r="A82" s="3439">
        <v>10</v>
      </c>
      <c r="B82" s="3725"/>
      <c r="C82" s="3417" t="s">
        <v>2986</v>
      </c>
      <c r="D82" s="3417" t="s">
        <v>2987</v>
      </c>
      <c r="E82" s="3440">
        <v>0.1</v>
      </c>
      <c r="F82" s="3439">
        <v>15</v>
      </c>
    </row>
    <row r="83" spans="1:6" s="1069" customFormat="1" ht="24">
      <c r="A83" s="3439">
        <v>11</v>
      </c>
      <c r="B83" s="3725"/>
      <c r="C83" s="3417" t="s">
        <v>2988</v>
      </c>
      <c r="D83" s="3417" t="s">
        <v>2989</v>
      </c>
      <c r="E83" s="3440">
        <v>0.1</v>
      </c>
      <c r="F83" s="3439">
        <v>15</v>
      </c>
    </row>
    <row r="84" spans="1:6" s="1069" customFormat="1" ht="24">
      <c r="A84" s="3439">
        <v>12</v>
      </c>
      <c r="B84" s="3725"/>
      <c r="C84" s="3417" t="s">
        <v>2990</v>
      </c>
      <c r="D84" s="3417" t="s">
        <v>2991</v>
      </c>
      <c r="E84" s="3440">
        <v>0.1</v>
      </c>
      <c r="F84" s="3439">
        <v>15</v>
      </c>
    </row>
    <row r="85" spans="1:6" s="1069" customFormat="1">
      <c r="A85" s="3439">
        <v>13</v>
      </c>
      <c r="B85" s="3725"/>
      <c r="C85" s="3417" t="s">
        <v>2992</v>
      </c>
      <c r="D85" s="3417" t="s">
        <v>2993</v>
      </c>
      <c r="E85" s="3440">
        <v>0.1</v>
      </c>
      <c r="F85" s="3439">
        <v>15</v>
      </c>
    </row>
    <row r="86" spans="1:6" s="1069" customFormat="1">
      <c r="A86" s="3439">
        <v>14</v>
      </c>
      <c r="B86" s="3725"/>
      <c r="C86" s="3417" t="s">
        <v>2994</v>
      </c>
      <c r="D86" s="3417" t="s">
        <v>2995</v>
      </c>
      <c r="E86" s="3440">
        <v>0.1</v>
      </c>
      <c r="F86" s="3439">
        <v>15</v>
      </c>
    </row>
    <row r="87" spans="1:6" s="1069" customFormat="1">
      <c r="A87" s="3439">
        <v>15</v>
      </c>
      <c r="B87" s="3725"/>
      <c r="C87" s="3417" t="s">
        <v>2996</v>
      </c>
      <c r="D87" s="3417" t="s">
        <v>2997</v>
      </c>
      <c r="E87" s="3440">
        <v>0.1</v>
      </c>
      <c r="F87" s="3439">
        <v>15</v>
      </c>
    </row>
    <row r="88" spans="1:6" s="1069" customFormat="1" ht="24">
      <c r="A88" s="3439">
        <v>16</v>
      </c>
      <c r="B88" s="3725"/>
      <c r="C88" s="3417" t="s">
        <v>2998</v>
      </c>
      <c r="D88" s="3417" t="s">
        <v>2999</v>
      </c>
      <c r="E88" s="3440">
        <v>0.1</v>
      </c>
      <c r="F88" s="3439">
        <v>15</v>
      </c>
    </row>
    <row r="89" spans="1:6" s="1069" customFormat="1" ht="24">
      <c r="A89" s="3439">
        <v>17</v>
      </c>
      <c r="B89" s="3720"/>
      <c r="C89" s="3417" t="s">
        <v>3000</v>
      </c>
      <c r="D89" s="3417" t="s">
        <v>3001</v>
      </c>
      <c r="E89" s="3440">
        <v>0.1</v>
      </c>
      <c r="F89" s="3439">
        <v>15</v>
      </c>
    </row>
    <row r="90" spans="1:6" s="1069" customFormat="1">
      <c r="A90" s="3439">
        <v>18</v>
      </c>
      <c r="B90" s="3719" t="s">
        <v>3002</v>
      </c>
      <c r="C90" s="3417" t="s">
        <v>3003</v>
      </c>
      <c r="D90" s="3417" t="s">
        <v>3004</v>
      </c>
      <c r="E90" s="3440">
        <v>0.2</v>
      </c>
      <c r="F90" s="3439">
        <v>25</v>
      </c>
    </row>
    <row r="91" spans="1:6" s="1069" customFormat="1" ht="24">
      <c r="A91" s="3439">
        <v>19</v>
      </c>
      <c r="B91" s="3725"/>
      <c r="C91" s="3417" t="s">
        <v>3005</v>
      </c>
      <c r="D91" s="3417" t="s">
        <v>3006</v>
      </c>
      <c r="E91" s="3440">
        <v>0.2</v>
      </c>
      <c r="F91" s="3439">
        <v>25</v>
      </c>
    </row>
    <row r="92" spans="1:6" s="1069" customFormat="1">
      <c r="A92" s="3439">
        <v>20</v>
      </c>
      <c r="B92" s="3725"/>
      <c r="C92" s="3417" t="s">
        <v>3007</v>
      </c>
      <c r="D92" s="3417" t="s">
        <v>3008</v>
      </c>
      <c r="E92" s="3440">
        <v>0.15</v>
      </c>
      <c r="F92" s="3439">
        <v>20</v>
      </c>
    </row>
    <row r="93" spans="1:6" s="1069" customFormat="1" ht="24">
      <c r="A93" s="3439">
        <v>21</v>
      </c>
      <c r="B93" s="3725"/>
      <c r="C93" s="3417" t="s">
        <v>3009</v>
      </c>
      <c r="D93" s="3417" t="s">
        <v>3010</v>
      </c>
      <c r="E93" s="3440">
        <v>0.15</v>
      </c>
      <c r="F93" s="3439">
        <v>20</v>
      </c>
    </row>
    <row r="94" spans="1:6" s="1069" customFormat="1" ht="24">
      <c r="A94" s="3439">
        <v>22</v>
      </c>
      <c r="B94" s="3725"/>
      <c r="C94" s="3417" t="s">
        <v>3011</v>
      </c>
      <c r="D94" s="3417" t="s">
        <v>3012</v>
      </c>
      <c r="E94" s="3440">
        <v>0.15</v>
      </c>
      <c r="F94" s="3439">
        <v>20</v>
      </c>
    </row>
    <row r="95" spans="1:6" s="1069" customFormat="1" ht="36">
      <c r="A95" s="3439">
        <v>23</v>
      </c>
      <c r="B95" s="3725"/>
      <c r="C95" s="3417" t="s">
        <v>3013</v>
      </c>
      <c r="D95" s="3417" t="s">
        <v>3014</v>
      </c>
      <c r="E95" s="3440">
        <v>0.15</v>
      </c>
      <c r="F95" s="3439">
        <v>20</v>
      </c>
    </row>
    <row r="96" spans="1:6" s="1069" customFormat="1">
      <c r="A96" s="3439">
        <v>24</v>
      </c>
      <c r="B96" s="3725"/>
      <c r="C96" s="3417" t="s">
        <v>3015</v>
      </c>
      <c r="D96" s="3417" t="s">
        <v>3016</v>
      </c>
      <c r="E96" s="3440">
        <v>0.1</v>
      </c>
      <c r="F96" s="3439">
        <v>15</v>
      </c>
    </row>
    <row r="97" spans="1:6" s="1069" customFormat="1" ht="24">
      <c r="A97" s="3439">
        <v>25</v>
      </c>
      <c r="B97" s="3725"/>
      <c r="C97" s="3417" t="s">
        <v>3017</v>
      </c>
      <c r="D97" s="3417" t="s">
        <v>3018</v>
      </c>
      <c r="E97" s="3440">
        <v>0.1</v>
      </c>
      <c r="F97" s="3439">
        <v>15</v>
      </c>
    </row>
    <row r="98" spans="1:6" s="1069" customFormat="1" ht="24">
      <c r="A98" s="3439">
        <v>26</v>
      </c>
      <c r="B98" s="3725"/>
      <c r="C98" s="3417" t="s">
        <v>3019</v>
      </c>
      <c r="D98" s="3417" t="s">
        <v>3020</v>
      </c>
      <c r="E98" s="3440">
        <v>0.1</v>
      </c>
      <c r="F98" s="3439">
        <v>15</v>
      </c>
    </row>
    <row r="99" spans="1:6" s="1069" customFormat="1" ht="24">
      <c r="A99" s="3439">
        <v>27</v>
      </c>
      <c r="B99" s="3725"/>
      <c r="C99" s="3417" t="s">
        <v>3021</v>
      </c>
      <c r="D99" s="3417" t="s">
        <v>3022</v>
      </c>
      <c r="E99" s="3440">
        <v>0.1</v>
      </c>
      <c r="F99" s="3439">
        <v>15</v>
      </c>
    </row>
    <row r="100" spans="1:6" s="1069" customFormat="1" ht="24">
      <c r="A100" s="3439">
        <v>28</v>
      </c>
      <c r="B100" s="3725"/>
      <c r="C100" s="3417" t="s">
        <v>3023</v>
      </c>
      <c r="D100" s="3417" t="s">
        <v>3024</v>
      </c>
      <c r="E100" s="3440">
        <v>0.1</v>
      </c>
      <c r="F100" s="3439">
        <v>15</v>
      </c>
    </row>
    <row r="101" spans="1:6" s="1069" customFormat="1" ht="24">
      <c r="A101" s="3439">
        <v>29</v>
      </c>
      <c r="B101" s="3725"/>
      <c r="C101" s="3417" t="s">
        <v>3025</v>
      </c>
      <c r="D101" s="3417" t="s">
        <v>3026</v>
      </c>
      <c r="E101" s="3440">
        <v>0.1</v>
      </c>
      <c r="F101" s="3439">
        <v>15</v>
      </c>
    </row>
    <row r="102" spans="1:6" s="1069" customFormat="1" ht="24">
      <c r="A102" s="3439">
        <v>30</v>
      </c>
      <c r="B102" s="3725"/>
      <c r="C102" s="3417" t="s">
        <v>3027</v>
      </c>
      <c r="D102" s="3417" t="s">
        <v>3028</v>
      </c>
      <c r="E102" s="3440">
        <v>0.1</v>
      </c>
      <c r="F102" s="3439">
        <v>15</v>
      </c>
    </row>
    <row r="103" spans="1:6" s="1069" customFormat="1" ht="24">
      <c r="A103" s="3439">
        <v>31</v>
      </c>
      <c r="B103" s="3725"/>
      <c r="C103" s="3417" t="s">
        <v>3029</v>
      </c>
      <c r="D103" s="3417" t="s">
        <v>3030</v>
      </c>
      <c r="E103" s="3440">
        <v>0.1</v>
      </c>
      <c r="F103" s="3439">
        <v>15</v>
      </c>
    </row>
    <row r="104" spans="1:6" s="1069" customFormat="1" ht="24">
      <c r="A104" s="3439">
        <v>32</v>
      </c>
      <c r="B104" s="3725"/>
      <c r="C104" s="3417" t="s">
        <v>3031</v>
      </c>
      <c r="D104" s="3417" t="s">
        <v>3032</v>
      </c>
      <c r="E104" s="3440">
        <v>0.1</v>
      </c>
      <c r="F104" s="3439">
        <v>15</v>
      </c>
    </row>
    <row r="105" spans="1:6" s="1069" customFormat="1" ht="24">
      <c r="A105" s="3439">
        <v>33</v>
      </c>
      <c r="B105" s="3725"/>
      <c r="C105" s="3417" t="s">
        <v>3033</v>
      </c>
      <c r="D105" s="3417" t="s">
        <v>3034</v>
      </c>
      <c r="E105" s="3440">
        <v>0.1</v>
      </c>
      <c r="F105" s="3439">
        <v>15</v>
      </c>
    </row>
    <row r="106" spans="1:6" s="1069" customFormat="1" ht="24">
      <c r="A106" s="3439">
        <v>34</v>
      </c>
      <c r="B106" s="3720"/>
      <c r="C106" s="3417" t="s">
        <v>3035</v>
      </c>
      <c r="D106" s="3417" t="s">
        <v>3036</v>
      </c>
      <c r="E106" s="3440">
        <v>0.1</v>
      </c>
      <c r="F106" s="3439">
        <v>15</v>
      </c>
    </row>
    <row r="107" spans="1:6" s="1069" customFormat="1" ht="24">
      <c r="A107" s="3439">
        <v>35</v>
      </c>
      <c r="B107" s="3719" t="s">
        <v>3037</v>
      </c>
      <c r="C107" s="3439" t="s">
        <v>3038</v>
      </c>
      <c r="D107" s="3417" t="s">
        <v>3039</v>
      </c>
      <c r="E107" s="3440">
        <v>0.15</v>
      </c>
      <c r="F107" s="3439">
        <v>20</v>
      </c>
    </row>
    <row r="108" spans="1:6" s="1069" customFormat="1" ht="24">
      <c r="A108" s="3439">
        <v>36</v>
      </c>
      <c r="B108" s="3725"/>
      <c r="C108" s="3439" t="s">
        <v>3040</v>
      </c>
      <c r="D108" s="3417" t="s">
        <v>3041</v>
      </c>
      <c r="E108" s="3440">
        <v>0.15</v>
      </c>
      <c r="F108" s="3439">
        <v>20</v>
      </c>
    </row>
    <row r="109" spans="1:6" s="1069" customFormat="1" ht="24">
      <c r="A109" s="3439">
        <v>37</v>
      </c>
      <c r="B109" s="3725"/>
      <c r="C109" s="3439" t="s">
        <v>3042</v>
      </c>
      <c r="D109" s="3417" t="s">
        <v>3043</v>
      </c>
      <c r="E109" s="3440">
        <v>0.15</v>
      </c>
      <c r="F109" s="3439">
        <v>20</v>
      </c>
    </row>
    <row r="110" spans="1:6" s="1069" customFormat="1">
      <c r="A110" s="3439">
        <v>38</v>
      </c>
      <c r="B110" s="3725"/>
      <c r="C110" s="3439" t="s">
        <v>3044</v>
      </c>
      <c r="D110" s="3417" t="s">
        <v>3045</v>
      </c>
      <c r="E110" s="3440">
        <v>0.1</v>
      </c>
      <c r="F110" s="3439">
        <v>15</v>
      </c>
    </row>
    <row r="111" spans="1:6" s="1069" customFormat="1" ht="24">
      <c r="A111" s="3439">
        <v>39</v>
      </c>
      <c r="B111" s="3725"/>
      <c r="C111" s="3439" t="s">
        <v>3046</v>
      </c>
      <c r="D111" s="3417" t="s">
        <v>3047</v>
      </c>
      <c r="E111" s="3440">
        <v>0.1</v>
      </c>
      <c r="F111" s="3439">
        <v>15</v>
      </c>
    </row>
    <row r="112" spans="1:6" s="1069" customFormat="1" ht="24">
      <c r="A112" s="3439">
        <v>40</v>
      </c>
      <c r="B112" s="3720"/>
      <c r="C112" s="3439" t="s">
        <v>3048</v>
      </c>
      <c r="D112" s="3417" t="s">
        <v>3049</v>
      </c>
      <c r="E112" s="3440">
        <v>0.1</v>
      </c>
      <c r="F112" s="3439">
        <v>15</v>
      </c>
    </row>
    <row r="113" spans="1:6" s="1069" customFormat="1" ht="24">
      <c r="A113" s="3439">
        <v>41</v>
      </c>
      <c r="B113" s="3718" t="s">
        <v>3050</v>
      </c>
      <c r="C113" s="3439" t="s">
        <v>3051</v>
      </c>
      <c r="D113" s="3417" t="s">
        <v>3052</v>
      </c>
      <c r="E113" s="3440">
        <v>0.1</v>
      </c>
      <c r="F113" s="3439">
        <v>15</v>
      </c>
    </row>
    <row r="114" spans="1:6" s="1069" customFormat="1">
      <c r="A114" s="3439">
        <v>42</v>
      </c>
      <c r="B114" s="3718"/>
      <c r="C114" s="3439" t="s">
        <v>3053</v>
      </c>
      <c r="D114" s="3417" t="s">
        <v>3054</v>
      </c>
      <c r="E114" s="3440">
        <v>0.1</v>
      </c>
      <c r="F114" s="3439">
        <v>15</v>
      </c>
    </row>
    <row r="115" spans="1:6" s="1069" customFormat="1" ht="24">
      <c r="A115" s="3439">
        <v>43</v>
      </c>
      <c r="B115" s="3718"/>
      <c r="C115" s="3439" t="s">
        <v>3055</v>
      </c>
      <c r="D115" s="3417" t="s">
        <v>3056</v>
      </c>
      <c r="E115" s="3440">
        <v>0.1</v>
      </c>
      <c r="F115" s="3439">
        <v>15</v>
      </c>
    </row>
    <row r="116" spans="1:6" s="1069" customFormat="1" ht="24">
      <c r="A116" s="3439">
        <v>44</v>
      </c>
      <c r="B116" s="3719" t="s">
        <v>3057</v>
      </c>
      <c r="C116" s="3439" t="s">
        <v>3058</v>
      </c>
      <c r="D116" s="3417" t="s">
        <v>3059</v>
      </c>
      <c r="E116" s="3440">
        <v>0.1</v>
      </c>
      <c r="F116" s="3439">
        <v>15</v>
      </c>
    </row>
    <row r="117" spans="1:6" s="1069" customFormat="1" ht="24">
      <c r="A117" s="3439">
        <v>45</v>
      </c>
      <c r="B117" s="3720"/>
      <c r="C117" s="3417" t="s">
        <v>3060</v>
      </c>
      <c r="D117" s="3417" t="s">
        <v>3061</v>
      </c>
      <c r="E117" s="3440">
        <v>0.1</v>
      </c>
      <c r="F117" s="3439">
        <v>15</v>
      </c>
    </row>
    <row r="118" spans="1:6" s="1069" customFormat="1" ht="24">
      <c r="A118" s="3439">
        <v>46</v>
      </c>
      <c r="B118" s="3719" t="s">
        <v>3062</v>
      </c>
      <c r="C118" s="3439" t="s">
        <v>3063</v>
      </c>
      <c r="D118" s="3417" t="s">
        <v>3064</v>
      </c>
      <c r="E118" s="3440">
        <v>0.1</v>
      </c>
      <c r="F118" s="3439">
        <v>15</v>
      </c>
    </row>
    <row r="119" spans="1:6" s="1069" customFormat="1" ht="24">
      <c r="A119" s="3439">
        <v>47</v>
      </c>
      <c r="B119" s="3720"/>
      <c r="C119" s="3439" t="s">
        <v>3065</v>
      </c>
      <c r="D119" s="3417" t="s">
        <v>3066</v>
      </c>
      <c r="E119" s="3440">
        <v>0.1</v>
      </c>
      <c r="F119" s="3439">
        <v>15</v>
      </c>
    </row>
    <row r="120" spans="1:6" s="1069" customFormat="1" ht="24">
      <c r="A120" s="3439">
        <v>48</v>
      </c>
      <c r="B120" s="3719" t="s">
        <v>3067</v>
      </c>
      <c r="C120" s="3439" t="s">
        <v>3068</v>
      </c>
      <c r="D120" s="3417" t="s">
        <v>3069</v>
      </c>
      <c r="E120" s="3440">
        <v>0.1</v>
      </c>
      <c r="F120" s="3439">
        <v>15</v>
      </c>
    </row>
    <row r="121" spans="1:6" s="1069" customFormat="1">
      <c r="A121" s="3439">
        <v>49</v>
      </c>
      <c r="B121" s="3720"/>
      <c r="C121" s="3439" t="s">
        <v>3070</v>
      </c>
      <c r="D121" s="3417" t="s">
        <v>3071</v>
      </c>
      <c r="E121" s="3440">
        <v>0.1</v>
      </c>
      <c r="F121" s="3439">
        <v>15</v>
      </c>
    </row>
    <row r="122" spans="1:6" s="1069" customFormat="1" ht="24">
      <c r="A122" s="3439">
        <v>50</v>
      </c>
      <c r="B122" s="3718" t="s">
        <v>3072</v>
      </c>
      <c r="C122" s="3439" t="s">
        <v>3073</v>
      </c>
      <c r="D122" s="3417" t="s">
        <v>3074</v>
      </c>
      <c r="E122" s="3440">
        <v>0.1</v>
      </c>
      <c r="F122" s="3439">
        <v>15</v>
      </c>
    </row>
    <row r="123" spans="1:6" s="1069" customFormat="1" ht="24">
      <c r="A123" s="3439">
        <v>51</v>
      </c>
      <c r="B123" s="3718"/>
      <c r="C123" s="3439" t="s">
        <v>3075</v>
      </c>
      <c r="D123" s="3417" t="s">
        <v>3076</v>
      </c>
      <c r="E123" s="3440">
        <v>0.1</v>
      </c>
      <c r="F123" s="3439">
        <v>15</v>
      </c>
    </row>
    <row r="124" spans="1:6" s="1069" customFormat="1" ht="24">
      <c r="A124" s="3439">
        <v>52</v>
      </c>
      <c r="B124" s="3718" t="s">
        <v>3077</v>
      </c>
      <c r="C124" s="3439" t="s">
        <v>3078</v>
      </c>
      <c r="D124" s="3417" t="s">
        <v>3079</v>
      </c>
      <c r="E124" s="3440">
        <v>0.1</v>
      </c>
      <c r="F124" s="3439">
        <v>15</v>
      </c>
    </row>
    <row r="125" spans="1:6" s="1069" customFormat="1" ht="24">
      <c r="A125" s="3439">
        <v>53</v>
      </c>
      <c r="B125" s="3718"/>
      <c r="C125" s="3439" t="s">
        <v>3080</v>
      </c>
      <c r="D125" s="3417" t="s">
        <v>3081</v>
      </c>
      <c r="E125" s="3440">
        <v>0.1</v>
      </c>
      <c r="F125" s="3439">
        <v>15</v>
      </c>
    </row>
    <row r="126" spans="1:6" ht="24">
      <c r="A126" s="3439">
        <v>54</v>
      </c>
      <c r="B126" s="3439" t="s">
        <v>3082</v>
      </c>
      <c r="C126" s="3439" t="s">
        <v>3083</v>
      </c>
      <c r="D126" s="3417" t="s">
        <v>3084</v>
      </c>
      <c r="E126" s="3440">
        <v>0.1</v>
      </c>
      <c r="F126" s="3439">
        <v>15</v>
      </c>
    </row>
    <row r="127" spans="1:6">
      <c r="A127" s="3439">
        <v>55</v>
      </c>
      <c r="B127" s="3718" t="s">
        <v>3085</v>
      </c>
      <c r="C127" s="3439" t="s">
        <v>3086</v>
      </c>
      <c r="D127" s="3417" t="s">
        <v>3087</v>
      </c>
      <c r="E127" s="3440">
        <v>0.1</v>
      </c>
      <c r="F127" s="3439">
        <v>15</v>
      </c>
    </row>
    <row r="128" spans="1:6">
      <c r="A128" s="3439">
        <v>56</v>
      </c>
      <c r="B128" s="3718"/>
      <c r="C128" s="3439" t="s">
        <v>3088</v>
      </c>
      <c r="D128" s="3417" t="s">
        <v>3089</v>
      </c>
      <c r="E128" s="3440">
        <v>0.1</v>
      </c>
      <c r="F128" s="3439">
        <v>15</v>
      </c>
    </row>
    <row r="129" spans="1:14" ht="24">
      <c r="A129" s="3439">
        <v>57</v>
      </c>
      <c r="B129" s="3718"/>
      <c r="C129" s="3439" t="s">
        <v>3090</v>
      </c>
      <c r="D129" s="3417" t="s">
        <v>3091</v>
      </c>
      <c r="E129" s="3440">
        <v>0.1</v>
      </c>
      <c r="F129" s="3439">
        <v>15</v>
      </c>
    </row>
    <row r="130" spans="1:14" ht="24">
      <c r="A130" s="3439">
        <v>58</v>
      </c>
      <c r="B130" s="3718" t="s">
        <v>3092</v>
      </c>
      <c r="C130" s="3439" t="s">
        <v>3093</v>
      </c>
      <c r="D130" s="3417" t="s">
        <v>3094</v>
      </c>
      <c r="E130" s="3440">
        <v>0.1</v>
      </c>
      <c r="F130" s="3439">
        <v>15</v>
      </c>
    </row>
    <row r="131" spans="1:14" ht="24">
      <c r="A131" s="3439">
        <v>59</v>
      </c>
      <c r="B131" s="3718"/>
      <c r="C131" s="3439" t="s">
        <v>3095</v>
      </c>
      <c r="D131" s="3417" t="s">
        <v>3096</v>
      </c>
      <c r="E131" s="3440">
        <v>0.1</v>
      </c>
      <c r="F131" s="3439">
        <v>15</v>
      </c>
    </row>
    <row r="132" spans="1:14" ht="24">
      <c r="A132" s="3439">
        <v>60</v>
      </c>
      <c r="B132" s="3719" t="s">
        <v>3097</v>
      </c>
      <c r="C132" s="3439" t="s">
        <v>3098</v>
      </c>
      <c r="D132" s="3417" t="s">
        <v>3099</v>
      </c>
      <c r="E132" s="3440">
        <v>0.1</v>
      </c>
      <c r="F132" s="3439">
        <v>15</v>
      </c>
    </row>
    <row r="133" spans="1:14" ht="24">
      <c r="A133" s="3439">
        <v>61</v>
      </c>
      <c r="B133" s="3720"/>
      <c r="C133" s="3439" t="s">
        <v>3100</v>
      </c>
      <c r="D133" s="3417" t="s">
        <v>3101</v>
      </c>
      <c r="E133" s="3440">
        <v>0.1</v>
      </c>
      <c r="F133" s="3439">
        <v>15</v>
      </c>
    </row>
    <row r="134" spans="1:14" ht="24">
      <c r="A134" s="3439">
        <v>62</v>
      </c>
      <c r="B134" s="3439" t="s">
        <v>3102</v>
      </c>
      <c r="C134" s="3439" t="s">
        <v>3103</v>
      </c>
      <c r="D134" s="3417" t="s">
        <v>3104</v>
      </c>
      <c r="E134" s="3440">
        <v>0.1</v>
      </c>
      <c r="F134" s="3439">
        <v>15</v>
      </c>
    </row>
    <row r="135" spans="1:14" ht="24">
      <c r="A135" s="3439">
        <v>63</v>
      </c>
      <c r="B135" s="3718" t="s">
        <v>3105</v>
      </c>
      <c r="C135" s="3439" t="s">
        <v>3106</v>
      </c>
      <c r="D135" s="3417" t="s">
        <v>3107</v>
      </c>
      <c r="E135" s="3440">
        <v>0.1</v>
      </c>
      <c r="F135" s="3439">
        <v>15</v>
      </c>
    </row>
    <row r="136" spans="1:14">
      <c r="A136" s="3439">
        <v>64</v>
      </c>
      <c r="B136" s="3718"/>
      <c r="C136" s="3439" t="s">
        <v>3108</v>
      </c>
      <c r="D136" s="3417" t="s">
        <v>3109</v>
      </c>
      <c r="E136" s="3440">
        <v>0.1</v>
      </c>
      <c r="F136" s="3439">
        <v>15</v>
      </c>
    </row>
    <row r="137" spans="1:14" ht="24">
      <c r="A137" s="3439">
        <v>65</v>
      </c>
      <c r="B137" s="3439" t="s">
        <v>3110</v>
      </c>
      <c r="C137" s="3439" t="s">
        <v>3111</v>
      </c>
      <c r="D137" s="3417" t="s">
        <v>3112</v>
      </c>
      <c r="E137" s="3440">
        <v>0.1</v>
      </c>
      <c r="F137" s="3439">
        <v>15</v>
      </c>
    </row>
    <row r="138" spans="1:14">
      <c r="A138" s="1099"/>
      <c r="B138" s="3397"/>
      <c r="C138" s="1099"/>
      <c r="D138" s="1032"/>
      <c r="E138" s="1084"/>
      <c r="F138" s="1099"/>
    </row>
    <row r="139" spans="1:14">
      <c r="A139" s="1099"/>
      <c r="B139" s="1099"/>
      <c r="C139" s="1099"/>
      <c r="D139" s="1099"/>
      <c r="E139" s="1084"/>
      <c r="F139" s="1099"/>
    </row>
    <row r="141" spans="1:14">
      <c r="A141" s="3703" t="s">
        <v>1434</v>
      </c>
      <c r="B141" s="3703"/>
      <c r="C141" s="3703"/>
      <c r="D141" s="3703"/>
      <c r="E141" s="3703"/>
      <c r="F141" s="3703"/>
      <c r="G141" s="3703"/>
      <c r="H141" s="3703"/>
      <c r="I141" s="3703"/>
      <c r="J141" s="3703"/>
      <c r="K141" s="1100"/>
      <c r="L141" s="1100"/>
      <c r="M141" s="1100"/>
      <c r="N141" s="1100"/>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30" t="s">
        <v>1018</v>
      </c>
      <c r="B1" s="3730"/>
      <c r="C1" s="3730"/>
      <c r="D1" s="3730"/>
      <c r="E1" s="3730"/>
      <c r="F1" s="3730"/>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31" t="s">
        <v>1031</v>
      </c>
      <c r="B2" s="3731"/>
      <c r="C2" s="3731"/>
      <c r="D2" s="3731"/>
      <c r="E2" s="3731"/>
      <c r="F2" s="3731"/>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32"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33"/>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34" t="s">
        <v>1871</v>
      </c>
      <c r="B1" s="3734"/>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57" sqref="A57:XFD57"/>
    </sheetView>
  </sheetViews>
  <sheetFormatPr defaultColWidth="9" defaultRowHeight="12.75"/>
  <cols>
    <col min="1" max="1" width="9" style="2802"/>
    <col min="2" max="6" width="9" style="2802" customWidth="1"/>
    <col min="7" max="7" width="9" style="2830" customWidth="1"/>
    <col min="8" max="12" width="9" style="2802" customWidth="1"/>
    <col min="13" max="13" width="2.25" style="2802" customWidth="1"/>
    <col min="14" max="14" width="9" style="2830" customWidth="1"/>
    <col min="15" max="17" width="9" style="2802" customWidth="1"/>
    <col min="18" max="18" width="2.375" style="2802" customWidth="1"/>
    <col min="19" max="19" width="7.125" style="2830" customWidth="1"/>
    <col min="20" max="22" width="7.125" style="2802" customWidth="1"/>
    <col min="23" max="23" width="24" style="2802" customWidth="1"/>
    <col min="24" max="25" width="9" style="2802"/>
    <col min="26" max="27" width="11.625" style="2802" customWidth="1"/>
    <col min="28" max="28" width="9" style="2802"/>
    <col min="29" max="29" width="2" style="2802" customWidth="1"/>
    <col min="30" max="16384" width="9" style="2802"/>
  </cols>
  <sheetData>
    <row r="1" spans="1:34" s="2780" customFormat="1">
      <c r="B1" s="3737" t="s">
        <v>2293</v>
      </c>
      <c r="C1" s="3737"/>
      <c r="D1" s="3737"/>
      <c r="E1" s="3737"/>
      <c r="F1" s="3737"/>
      <c r="G1" s="3736" t="s">
        <v>2294</v>
      </c>
      <c r="H1" s="3736"/>
      <c r="I1" s="3736"/>
      <c r="J1" s="3736"/>
      <c r="K1" s="3736"/>
      <c r="L1" s="3736"/>
      <c r="N1" s="3736" t="s">
        <v>2295</v>
      </c>
      <c r="O1" s="3736"/>
      <c r="P1" s="3736"/>
      <c r="Q1" s="3736"/>
      <c r="S1" s="3736" t="s">
        <v>2296</v>
      </c>
      <c r="T1" s="3736"/>
      <c r="U1" s="3736"/>
      <c r="V1" s="3736"/>
      <c r="X1" s="3735" t="s">
        <v>2356</v>
      </c>
      <c r="Y1" s="3736"/>
      <c r="Z1" s="3736"/>
      <c r="AA1" s="3736"/>
      <c r="AB1" s="3736"/>
      <c r="AD1" s="3735" t="s">
        <v>2360</v>
      </c>
      <c r="AE1" s="3736"/>
      <c r="AF1" s="3736"/>
      <c r="AG1" s="3736"/>
      <c r="AH1" s="3736"/>
    </row>
    <row r="2" spans="1:34" s="2781" customFormat="1" ht="14.25" thickBot="1">
      <c r="B2" s="2782" t="s">
        <v>2297</v>
      </c>
      <c r="C2" s="2782" t="s">
        <v>2358</v>
      </c>
      <c r="D2" s="2783" t="s">
        <v>1444</v>
      </c>
      <c r="E2" s="2783" t="s">
        <v>1741</v>
      </c>
      <c r="F2" s="2782" t="s">
        <v>2359</v>
      </c>
      <c r="G2" s="2784"/>
      <c r="I2" s="2782" t="s">
        <v>2651</v>
      </c>
      <c r="J2" s="2783" t="s">
        <v>2653</v>
      </c>
      <c r="K2" s="2783" t="s">
        <v>2654</v>
      </c>
      <c r="L2" s="2782" t="s">
        <v>2655</v>
      </c>
      <c r="N2" s="2782" t="s">
        <v>2297</v>
      </c>
      <c r="O2" s="2783" t="s">
        <v>2652</v>
      </c>
      <c r="P2" s="2783" t="s">
        <v>1741</v>
      </c>
      <c r="Q2" s="2782" t="s">
        <v>2359</v>
      </c>
      <c r="S2" s="2782" t="s">
        <v>2297</v>
      </c>
      <c r="T2" s="2783" t="s">
        <v>2652</v>
      </c>
      <c r="U2" s="2783" t="s">
        <v>1741</v>
      </c>
      <c r="V2" s="2782" t="s">
        <v>2359</v>
      </c>
      <c r="X2" s="2782" t="s">
        <v>2297</v>
      </c>
      <c r="Y2" s="2782" t="s">
        <v>2358</v>
      </c>
      <c r="Z2" s="2783" t="s">
        <v>1444</v>
      </c>
      <c r="AA2" s="2783" t="s">
        <v>1741</v>
      </c>
      <c r="AB2" s="2782" t="s">
        <v>2359</v>
      </c>
      <c r="AD2" s="2782" t="s">
        <v>2297</v>
      </c>
      <c r="AE2" s="2782" t="s">
        <v>2358</v>
      </c>
      <c r="AF2" s="2783" t="s">
        <v>1444</v>
      </c>
      <c r="AG2" s="2783" t="s">
        <v>1741</v>
      </c>
      <c r="AH2" s="2782" t="s">
        <v>2359</v>
      </c>
    </row>
    <row r="3" spans="1:34" s="2791" customFormat="1" ht="14.25">
      <c r="A3" s="2785" t="s">
        <v>2662</v>
      </c>
      <c r="B3" s="2786"/>
      <c r="C3" s="2786"/>
      <c r="D3" s="2787"/>
      <c r="E3" s="2787"/>
      <c r="F3" s="2786"/>
      <c r="G3" s="2788"/>
      <c r="H3" s="2789"/>
      <c r="I3" s="2790">
        <f>ROUND(AVERAGE($I4:$I41),2)</f>
        <v>1.47</v>
      </c>
      <c r="J3" s="2790">
        <f>ROUND(AVERAGE($J4:$J41),2)</f>
        <v>0.92</v>
      </c>
      <c r="K3" s="2790">
        <f>ROUND(AVERAGE($K4:$K41),2)</f>
        <v>1.61</v>
      </c>
      <c r="L3" s="2790">
        <f>ROUND(AVERAGE($L4:$L41),2)</f>
        <v>1.07</v>
      </c>
      <c r="N3" s="2788"/>
      <c r="S3" s="2788"/>
      <c r="W3" s="2792"/>
      <c r="X3" s="2793">
        <f>ROUND(SUMPRODUCT(PRODUCT(1+N3:N$40)),4)</f>
        <v>1.6585000000000001</v>
      </c>
      <c r="Y3" s="2793">
        <f>ROUND(SUMPRODUCT(PRODUCT(1+O3:O$40)),4)</f>
        <v>1.3676999999999999</v>
      </c>
      <c r="Z3" s="2793">
        <f t="shared" ref="Z3:Z38" si="0">Y3</f>
        <v>1.3676999999999999</v>
      </c>
      <c r="AA3" s="2793">
        <f>ROUND(SUMPRODUCT(PRODUCT(1+P3:P$40)),4)</f>
        <v>1.7434000000000001</v>
      </c>
      <c r="AB3" s="2793">
        <f>ROUND(SUMPRODUCT(PRODUCT(1+Q3:Q$40)),4)</f>
        <v>1.4609000000000001</v>
      </c>
      <c r="AD3" s="2794">
        <f>ROUND(AVERAGE(I3:I$41)/100,4)</f>
        <v>1.47E-2</v>
      </c>
      <c r="AE3" s="2794">
        <f>ROUND(AVERAGE(J3:J$41)/100,4)</f>
        <v>9.1999999999999998E-3</v>
      </c>
      <c r="AF3" s="2794">
        <f t="shared" ref="AF3:AF39" si="1">AE3</f>
        <v>9.1999999999999998E-3</v>
      </c>
      <c r="AG3" s="2794">
        <f>ROUND(AVERAGE(K3:K$41)/100,4)</f>
        <v>1.61E-2</v>
      </c>
      <c r="AH3" s="2794">
        <f>ROUND(AVERAGE(L3:L$41)/100,4)</f>
        <v>1.0699999999999999E-2</v>
      </c>
    </row>
    <row r="4" spans="1:34" s="2795" customFormat="1" ht="14.25">
      <c r="B4" s="2796"/>
      <c r="C4" s="2796"/>
      <c r="D4" s="2797"/>
      <c r="E4" s="2797"/>
      <c r="F4" s="2796"/>
      <c r="G4" s="2798"/>
      <c r="H4" s="2799"/>
      <c r="I4" s="2800"/>
      <c r="J4" s="2800"/>
      <c r="K4" s="2800"/>
      <c r="L4" s="2800"/>
      <c r="N4" s="2798"/>
      <c r="S4" s="2798"/>
      <c r="W4" s="2801"/>
      <c r="X4" s="2802"/>
      <c r="Y4" s="2802"/>
      <c r="Z4" s="2802"/>
      <c r="AA4" s="2802"/>
      <c r="AB4" s="2802"/>
      <c r="AD4" s="2803"/>
      <c r="AE4" s="2803"/>
      <c r="AF4" s="2803"/>
      <c r="AG4" s="2803"/>
      <c r="AH4" s="2803"/>
    </row>
    <row r="5" spans="1:34" s="2811" customFormat="1">
      <c r="A5" s="2804" t="s">
        <v>2886</v>
      </c>
      <c r="B5" s="2805">
        <f t="shared" ref="B5" si="2">B6*(1+N5)</f>
        <v>510.07089659554606</v>
      </c>
      <c r="C5" s="2805">
        <f t="shared" ref="C5" si="3">C6*(1+O5)</f>
        <v>352.55593185737411</v>
      </c>
      <c r="D5" s="2805">
        <f t="shared" ref="D5" si="4">C5</f>
        <v>352.55593185737411</v>
      </c>
      <c r="E5" s="2805">
        <f t="shared" ref="E5" si="5">E6*(1+P5)</f>
        <v>737.27992463403655</v>
      </c>
      <c r="F5" s="2805">
        <f t="shared" ref="F5" si="6">F6*(1+Q5)</f>
        <v>335.88319198297864</v>
      </c>
      <c r="G5" s="2798">
        <v>2023</v>
      </c>
      <c r="H5" s="2806">
        <v>1</v>
      </c>
      <c r="I5" s="2778">
        <v>0</v>
      </c>
      <c r="J5" s="2778">
        <v>0</v>
      </c>
      <c r="K5" s="2778">
        <v>0</v>
      </c>
      <c r="L5" s="2779">
        <v>0</v>
      </c>
      <c r="M5" s="2802"/>
      <c r="N5" s="2807">
        <f t="shared" ref="N5" si="7">I5/100</f>
        <v>0</v>
      </c>
      <c r="O5" s="2803">
        <f t="shared" ref="O5" si="8">J5/100</f>
        <v>0</v>
      </c>
      <c r="P5" s="2803">
        <f t="shared" ref="P5" si="9">K5/100</f>
        <v>0</v>
      </c>
      <c r="Q5" s="2803">
        <f t="shared" ref="Q5" si="10">L5/100</f>
        <v>0</v>
      </c>
      <c r="R5" s="2808"/>
      <c r="S5" s="2809">
        <f>B5/B6-1</f>
        <v>0</v>
      </c>
      <c r="T5" s="2810">
        <f>C5/C6-1</f>
        <v>0</v>
      </c>
      <c r="U5" s="2810">
        <f>E5/E6-1</f>
        <v>0</v>
      </c>
      <c r="V5" s="2810">
        <f>F5/F6-1</f>
        <v>0</v>
      </c>
      <c r="W5" s="2802"/>
      <c r="X5" s="2802">
        <f>ROUND(IF(项目基本情况!B8="出让",SUMPRODUCT(PRODUCT(1+N5:N$41)),SUMPRODUCT(PRODUCT(1+N5:N$40))),4)</f>
        <v>1.6585000000000001</v>
      </c>
      <c r="Y5" s="2802">
        <f>ROUND(IF(项目基本情况!B8="出让",SUMPRODUCT(PRODUCT(1+O5:O$41)),SUMPRODUCT(PRODUCT(1+O5:O$40))),4)</f>
        <v>1.3676999999999999</v>
      </c>
      <c r="Z5" s="2802">
        <f t="shared" ref="Z5" si="11">Y5</f>
        <v>1.3676999999999999</v>
      </c>
      <c r="AA5" s="2802">
        <f>ROUND(IF(项目基本情况!B8="出让",SUMPRODUCT(PRODUCT(1+P5:P$41)),SUMPRODUCT(PRODUCT(1+P5:P$40))),4)</f>
        <v>1.7434000000000001</v>
      </c>
      <c r="AB5" s="2802">
        <f>ROUND(IF(项目基本情况!B8="出让",SUMPRODUCT(PRODUCT(1+Q5:Q$41)),SUMPRODUCT(PRODUCT(1+Q5:Q$40))),4)</f>
        <v>1.4609000000000001</v>
      </c>
      <c r="AC5" s="2802"/>
      <c r="AD5" s="2803">
        <f>ROUND(AVERAGE(I5:I$41)/100,4)</f>
        <v>1.47E-2</v>
      </c>
      <c r="AE5" s="2803">
        <f>ROUND(AVERAGE(J5:J$41)/100,4)</f>
        <v>9.1999999999999998E-3</v>
      </c>
      <c r="AF5" s="2803">
        <f t="shared" ref="AF5" si="12">AE5</f>
        <v>9.1999999999999998E-3</v>
      </c>
      <c r="AG5" s="2803">
        <f>ROUND(AVERAGE(K5:K$41)/100,4)</f>
        <v>1.61E-2</v>
      </c>
      <c r="AH5" s="2803">
        <f>ROUND(AVERAGE(L5:L$41)/100,4)</f>
        <v>1.0699999999999999E-2</v>
      </c>
    </row>
    <row r="6" spans="1:34" s="2811" customFormat="1">
      <c r="A6" s="2804" t="s">
        <v>2885</v>
      </c>
      <c r="B6" s="2805">
        <f t="shared" ref="B6" si="13">B7*(1+N6)</f>
        <v>510.07089659554606</v>
      </c>
      <c r="C6" s="2805">
        <f t="shared" ref="C6" si="14">C7*(1+O6)</f>
        <v>352.55593185737411</v>
      </c>
      <c r="D6" s="2805">
        <f t="shared" ref="D6" si="15">C6</f>
        <v>352.55593185737411</v>
      </c>
      <c r="E6" s="2805">
        <f t="shared" ref="E6" si="16">E7*(1+P6)</f>
        <v>737.27992463403655</v>
      </c>
      <c r="F6" s="2805">
        <f t="shared" ref="F6" si="17">F7*(1+Q6)</f>
        <v>335.88319198297864</v>
      </c>
      <c r="G6" s="2798">
        <v>2022</v>
      </c>
      <c r="H6" s="2806">
        <v>4</v>
      </c>
      <c r="I6" s="2778">
        <v>0</v>
      </c>
      <c r="J6" s="2778">
        <v>0</v>
      </c>
      <c r="K6" s="2778">
        <v>0</v>
      </c>
      <c r="L6" s="2779">
        <v>0</v>
      </c>
      <c r="M6" s="2802"/>
      <c r="N6" s="2807">
        <f t="shared" ref="N6" si="18">I6/100</f>
        <v>0</v>
      </c>
      <c r="O6" s="2803">
        <f t="shared" ref="O6" si="19">J6/100</f>
        <v>0</v>
      </c>
      <c r="P6" s="2803">
        <f t="shared" ref="P6" si="20">K6/100</f>
        <v>0</v>
      </c>
      <c r="Q6" s="2803">
        <f t="shared" ref="Q6" si="21">L6/100</f>
        <v>0</v>
      </c>
      <c r="R6" s="2808"/>
      <c r="S6" s="2809"/>
      <c r="T6" s="2810"/>
      <c r="U6" s="2810"/>
      <c r="V6" s="2810"/>
      <c r="W6" s="2802"/>
      <c r="X6" s="2802">
        <f>ROUND(IF(项目基本情况!B8="出让",SUMPRODUCT(PRODUCT(1+N6:N$41)),SUMPRODUCT(PRODUCT(1+N6:N$40))),4)</f>
        <v>1.6585000000000001</v>
      </c>
      <c r="Y6" s="2802">
        <f>ROUND(IF(项目基本情况!B8="出让",SUMPRODUCT(PRODUCT(1+O6:O$41)),SUMPRODUCT(PRODUCT(1+O6:O$40))),4)</f>
        <v>1.3676999999999999</v>
      </c>
      <c r="Z6" s="2802">
        <f t="shared" ref="Z6" si="22">Y6</f>
        <v>1.3676999999999999</v>
      </c>
      <c r="AA6" s="2802">
        <f>ROUND(IF(项目基本情况!B8="出让",SUMPRODUCT(PRODUCT(1+P6:P$41)),SUMPRODUCT(PRODUCT(1+P6:P$40))),4)</f>
        <v>1.7434000000000001</v>
      </c>
      <c r="AB6" s="2802">
        <f>ROUND(IF(项目基本情况!B8="出让",SUMPRODUCT(PRODUCT(1+Q6:Q$41)),SUMPRODUCT(PRODUCT(1+Q6:Q$40))),4)</f>
        <v>1.4609000000000001</v>
      </c>
      <c r="AC6" s="2802"/>
      <c r="AD6" s="2803">
        <f>ROUND(AVERAGE(I6:I$41)/100,4)</f>
        <v>1.5100000000000001E-2</v>
      </c>
      <c r="AE6" s="2803">
        <f>ROUND(AVERAGE(J6:J$41)/100,4)</f>
        <v>9.4000000000000004E-3</v>
      </c>
      <c r="AF6" s="2803">
        <f t="shared" ref="AF6" si="23">AE6</f>
        <v>9.4000000000000004E-3</v>
      </c>
      <c r="AG6" s="2803">
        <f>ROUND(AVERAGE(K6:K$41)/100,4)</f>
        <v>1.66E-2</v>
      </c>
      <c r="AH6" s="2803">
        <f>ROUND(AVERAGE(L6:L$41)/100,4)</f>
        <v>1.0999999999999999E-2</v>
      </c>
    </row>
    <row r="7" spans="1:34" s="2811" customFormat="1">
      <c r="A7" s="2804" t="s">
        <v>2884</v>
      </c>
      <c r="B7" s="2805">
        <f t="shared" ref="B7" si="24">B8*(1+N7)</f>
        <v>510.07089659554606</v>
      </c>
      <c r="C7" s="2805">
        <f t="shared" ref="C7" si="25">C8*(1+O7)</f>
        <v>352.55593185737411</v>
      </c>
      <c r="D7" s="2805">
        <f t="shared" ref="D7" si="26">C7</f>
        <v>352.55593185737411</v>
      </c>
      <c r="E7" s="2805">
        <f t="shared" ref="E7" si="27">E8*(1+P7)</f>
        <v>737.27992463403655</v>
      </c>
      <c r="F7" s="2805">
        <f t="shared" ref="F7" si="28">F8*(1+Q7)</f>
        <v>335.88319198297864</v>
      </c>
      <c r="G7" s="2798">
        <v>2022</v>
      </c>
      <c r="H7" s="2806">
        <v>3</v>
      </c>
      <c r="I7" s="2778">
        <v>0</v>
      </c>
      <c r="J7" s="2778">
        <v>0</v>
      </c>
      <c r="K7" s="2778">
        <v>0</v>
      </c>
      <c r="L7" s="2779">
        <v>0</v>
      </c>
      <c r="M7" s="2802"/>
      <c r="N7" s="2807">
        <f t="shared" ref="N7" si="29">I7/100</f>
        <v>0</v>
      </c>
      <c r="O7" s="2803">
        <f t="shared" ref="O7" si="30">J7/100</f>
        <v>0</v>
      </c>
      <c r="P7" s="2803">
        <f t="shared" ref="P7" si="31">K7/100</f>
        <v>0</v>
      </c>
      <c r="Q7" s="2803">
        <f t="shared" ref="Q7" si="32">L7/100</f>
        <v>0</v>
      </c>
      <c r="R7" s="2808"/>
      <c r="S7" s="2809"/>
      <c r="T7" s="2810"/>
      <c r="U7" s="2810"/>
      <c r="V7" s="2810"/>
      <c r="W7" s="2802"/>
      <c r="X7" s="2802">
        <f>ROUND(IF(项目基本情况!B8="出让",SUMPRODUCT(PRODUCT(1+N7:N$41)),SUMPRODUCT(PRODUCT(1+N7:N$40))),4)</f>
        <v>1.6585000000000001</v>
      </c>
      <c r="Y7" s="2802">
        <f>ROUND(IF(项目基本情况!B8="出让",SUMPRODUCT(PRODUCT(1+O7:O$41)),SUMPRODUCT(PRODUCT(1+O7:O$40))),4)</f>
        <v>1.3676999999999999</v>
      </c>
      <c r="Z7" s="2802">
        <f t="shared" ref="Z7" si="33">Y7</f>
        <v>1.3676999999999999</v>
      </c>
      <c r="AA7" s="2802">
        <f>ROUND(IF(项目基本情况!B8="出让",SUMPRODUCT(PRODUCT(1+P7:P$41)),SUMPRODUCT(PRODUCT(1+P7:P$40))),4)</f>
        <v>1.7434000000000001</v>
      </c>
      <c r="AB7" s="2802">
        <f>ROUND(IF(项目基本情况!B8="出让",SUMPRODUCT(PRODUCT(1+Q7:Q$41)),SUMPRODUCT(PRODUCT(1+Q7:Q$40))),4)</f>
        <v>1.4609000000000001</v>
      </c>
      <c r="AC7" s="2802"/>
      <c r="AD7" s="2803">
        <f>ROUND(AVERAGE(I7:I$41)/100,4)</f>
        <v>1.55E-2</v>
      </c>
      <c r="AE7" s="2803">
        <f>ROUND(AVERAGE(J7:J$41)/100,4)</f>
        <v>9.7000000000000003E-3</v>
      </c>
      <c r="AF7" s="2803">
        <f t="shared" ref="AF7" si="34">AE7</f>
        <v>9.7000000000000003E-3</v>
      </c>
      <c r="AG7" s="2803">
        <f>ROUND(AVERAGE(K7:K$41)/100,4)</f>
        <v>1.7100000000000001E-2</v>
      </c>
      <c r="AH7" s="2803">
        <f>ROUND(AVERAGE(L7:L$41)/100,4)</f>
        <v>1.1299999999999999E-2</v>
      </c>
    </row>
    <row r="8" spans="1:34" s="2811" customFormat="1">
      <c r="A8" s="2804" t="s">
        <v>2883</v>
      </c>
      <c r="B8" s="2805">
        <f t="shared" ref="B8" si="35">B9*(1+N8)</f>
        <v>510.07089659554606</v>
      </c>
      <c r="C8" s="2805">
        <f t="shared" ref="C8" si="36">C9*(1+O8)</f>
        <v>352.55593185737411</v>
      </c>
      <c r="D8" s="2805">
        <f t="shared" ref="D8" si="37">C8</f>
        <v>352.55593185737411</v>
      </c>
      <c r="E8" s="2805">
        <f t="shared" ref="E8" si="38">E9*(1+P8)</f>
        <v>737.27992463403655</v>
      </c>
      <c r="F8" s="2805">
        <f t="shared" ref="F8" si="39">F9*(1+Q8)</f>
        <v>335.88319198297864</v>
      </c>
      <c r="G8" s="2798">
        <v>2022</v>
      </c>
      <c r="H8" s="2806">
        <v>2</v>
      </c>
      <c r="I8" s="2778">
        <v>0</v>
      </c>
      <c r="J8" s="2778">
        <v>0</v>
      </c>
      <c r="K8" s="2778">
        <v>0</v>
      </c>
      <c r="L8" s="2779">
        <v>0</v>
      </c>
      <c r="M8" s="2802"/>
      <c r="N8" s="2807">
        <f t="shared" ref="N8" si="40">I8/100</f>
        <v>0</v>
      </c>
      <c r="O8" s="2803">
        <f t="shared" ref="O8" si="41">J8/100</f>
        <v>0</v>
      </c>
      <c r="P8" s="2803">
        <f t="shared" ref="P8" si="42">K8/100</f>
        <v>0</v>
      </c>
      <c r="Q8" s="2803">
        <f t="shared" ref="Q8" si="43">L8/100</f>
        <v>0</v>
      </c>
      <c r="R8" s="2808"/>
      <c r="S8" s="2809"/>
      <c r="T8" s="2810"/>
      <c r="U8" s="2810"/>
      <c r="V8" s="2810"/>
      <c r="W8" s="2802"/>
      <c r="X8" s="2802">
        <f>ROUND(IF(项目基本情况!B8="出让",SUMPRODUCT(PRODUCT(1+N8:N$41)),SUMPRODUCT(PRODUCT(1+N8:N$40))),4)</f>
        <v>1.6585000000000001</v>
      </c>
      <c r="Y8" s="2802">
        <f>ROUND(IF(项目基本情况!B8="出让",SUMPRODUCT(PRODUCT(1+O8:O$41)),SUMPRODUCT(PRODUCT(1+O8:O$40))),4)</f>
        <v>1.3676999999999999</v>
      </c>
      <c r="Z8" s="2802">
        <f t="shared" ref="Z8" si="44">Y8</f>
        <v>1.3676999999999999</v>
      </c>
      <c r="AA8" s="2802">
        <f>ROUND(IF(项目基本情况!B8="出让",SUMPRODUCT(PRODUCT(1+P8:P$41)),SUMPRODUCT(PRODUCT(1+P8:P$40))),4)</f>
        <v>1.7434000000000001</v>
      </c>
      <c r="AB8" s="2802">
        <f>ROUND(IF(项目基本情况!B8="出让",SUMPRODUCT(PRODUCT(1+Q8:Q$41)),SUMPRODUCT(PRODUCT(1+Q8:Q$40))),4)</f>
        <v>1.4609000000000001</v>
      </c>
      <c r="AC8" s="2802"/>
      <c r="AD8" s="2803">
        <f>ROUND(AVERAGE(I8:I$41)/100,4)</f>
        <v>1.6E-2</v>
      </c>
      <c r="AE8" s="2803">
        <f>ROUND(AVERAGE(J8:J$41)/100,4)</f>
        <v>0.01</v>
      </c>
      <c r="AF8" s="2803">
        <f t="shared" ref="AF8" si="45">AE8</f>
        <v>0.01</v>
      </c>
      <c r="AG8" s="2803">
        <f>ROUND(AVERAGE(K8:K$41)/100,4)</f>
        <v>1.7600000000000001E-2</v>
      </c>
      <c r="AH8" s="2803">
        <f>ROUND(AVERAGE(L8:L$41)/100,4)</f>
        <v>1.1599999999999999E-2</v>
      </c>
    </row>
    <row r="9" spans="1:34" s="2811" customFormat="1">
      <c r="A9" s="2804" t="s">
        <v>2882</v>
      </c>
      <c r="B9" s="2805">
        <f t="shared" ref="B9" si="46">B10*(1+N9)</f>
        <v>510.07089659554606</v>
      </c>
      <c r="C9" s="2805">
        <f t="shared" ref="C9" si="47">C10*(1+O9)</f>
        <v>352.55593185737411</v>
      </c>
      <c r="D9" s="2805">
        <f t="shared" ref="D9" si="48">C9</f>
        <v>352.55593185737411</v>
      </c>
      <c r="E9" s="2805">
        <f t="shared" ref="E9" si="49">E10*(1+P9)</f>
        <v>737.27992463403655</v>
      </c>
      <c r="F9" s="2805">
        <f t="shared" ref="F9" si="50">F10*(1+Q9)</f>
        <v>335.88319198297864</v>
      </c>
      <c r="G9" s="2798">
        <v>2022</v>
      </c>
      <c r="H9" s="2806">
        <v>1</v>
      </c>
      <c r="I9" s="2778">
        <v>0</v>
      </c>
      <c r="J9" s="2778">
        <v>0</v>
      </c>
      <c r="K9" s="2778">
        <v>0</v>
      </c>
      <c r="L9" s="2779">
        <v>0</v>
      </c>
      <c r="M9" s="2802"/>
      <c r="N9" s="2807">
        <f t="shared" ref="N9" si="51">I9/100</f>
        <v>0</v>
      </c>
      <c r="O9" s="2803">
        <f t="shared" ref="O9" si="52">J9/100</f>
        <v>0</v>
      </c>
      <c r="P9" s="2803">
        <f t="shared" ref="P9" si="53">K9/100</f>
        <v>0</v>
      </c>
      <c r="Q9" s="2803">
        <f t="shared" ref="Q9" si="54">L9/100</f>
        <v>0</v>
      </c>
      <c r="R9" s="2808"/>
      <c r="S9" s="2809">
        <f>B9/B10-1</f>
        <v>0</v>
      </c>
      <c r="T9" s="2810">
        <f>C9/C10-1</f>
        <v>0</v>
      </c>
      <c r="U9" s="2810">
        <f>E9/E10-1</f>
        <v>0</v>
      </c>
      <c r="V9" s="2810">
        <f>F9/F10-1</f>
        <v>0</v>
      </c>
      <c r="W9" s="2802"/>
      <c r="X9" s="2802">
        <f>ROUND(IF(项目基本情况!B1="出让",SUMPRODUCT(PRODUCT(1+N9:N$41)),SUMPRODUCT(PRODUCT(1+N9:N$40))),4)</f>
        <v>1.6585000000000001</v>
      </c>
      <c r="Y9" s="2802">
        <f>ROUND(IF(项目基本情况!B1="出让",SUMPRODUCT(PRODUCT(1+O9:O$41)),SUMPRODUCT(PRODUCT(1+O9:O$40))),4)</f>
        <v>1.3676999999999999</v>
      </c>
      <c r="Z9" s="2802">
        <f t="shared" ref="Z9" si="55">Y9</f>
        <v>1.3676999999999999</v>
      </c>
      <c r="AA9" s="2802">
        <f>ROUND(IF(项目基本情况!B1="出让",SUMPRODUCT(PRODUCT(1+P9:P$41)),SUMPRODUCT(PRODUCT(1+P9:P$40))),4)</f>
        <v>1.7434000000000001</v>
      </c>
      <c r="AB9" s="2802">
        <f>ROUND(IF(项目基本情况!B1="出让",SUMPRODUCT(PRODUCT(1+Q9:Q$41)),SUMPRODUCT(PRODUCT(1+Q9:Q$40))),4)</f>
        <v>1.4609000000000001</v>
      </c>
      <c r="AC9" s="2802"/>
      <c r="AD9" s="2803">
        <f>ROUND(AVERAGE(I9:I$41)/100,4)</f>
        <v>1.6400000000000001E-2</v>
      </c>
      <c r="AE9" s="2803">
        <f>ROUND(AVERAGE(J9:J$41)/100,4)</f>
        <v>1.03E-2</v>
      </c>
      <c r="AF9" s="2803">
        <f t="shared" ref="AF9" si="56">AE9</f>
        <v>1.03E-2</v>
      </c>
      <c r="AG9" s="2803">
        <f>ROUND(AVERAGE(K9:K$41)/100,4)</f>
        <v>1.8100000000000002E-2</v>
      </c>
      <c r="AH9" s="2803">
        <f>ROUND(AVERAGE(L9:L$41)/100,4)</f>
        <v>1.2E-2</v>
      </c>
    </row>
    <row r="10" spans="1:34" s="2811" customFormat="1">
      <c r="A10" s="2804" t="s">
        <v>2731</v>
      </c>
      <c r="B10" s="2805">
        <f t="shared" ref="B10" si="57">B11*(1+N10)</f>
        <v>510.07089659554606</v>
      </c>
      <c r="C10" s="2805">
        <f t="shared" ref="C10" si="58">C11*(1+O10)</f>
        <v>352.55593185737411</v>
      </c>
      <c r="D10" s="2805">
        <f t="shared" ref="D10" si="59">C10</f>
        <v>352.55593185737411</v>
      </c>
      <c r="E10" s="2805">
        <f t="shared" ref="E10" si="60">E11*(1+P10)</f>
        <v>737.27992463403655</v>
      </c>
      <c r="F10" s="2805">
        <f t="shared" ref="F10" si="61">F11*(1+Q10)</f>
        <v>335.88319198297864</v>
      </c>
      <c r="G10" s="2798">
        <v>2021</v>
      </c>
      <c r="H10" s="2806">
        <v>4</v>
      </c>
      <c r="I10" s="2778">
        <v>1.03</v>
      </c>
      <c r="J10" s="2778">
        <v>0.24</v>
      </c>
      <c r="K10" s="2778">
        <v>1.17</v>
      </c>
      <c r="L10" s="2779">
        <v>0.55000000000000004</v>
      </c>
      <c r="M10" s="2802"/>
      <c r="N10" s="2807">
        <f t="shared" ref="N10" si="62">I10/100</f>
        <v>1.03E-2</v>
      </c>
      <c r="O10" s="2803">
        <f t="shared" ref="O10" si="63">J10/100</f>
        <v>2.3999999999999998E-3</v>
      </c>
      <c r="P10" s="2803">
        <f t="shared" ref="P10" si="64">K10/100</f>
        <v>1.1699999999999999E-2</v>
      </c>
      <c r="Q10" s="2803">
        <f t="shared" ref="Q10" si="65">L10/100</f>
        <v>5.5000000000000005E-3</v>
      </c>
      <c r="R10" s="2808"/>
      <c r="S10" s="2809"/>
      <c r="T10" s="2810"/>
      <c r="U10" s="2810"/>
      <c r="V10" s="2810"/>
      <c r="W10" s="2802"/>
      <c r="X10" s="2802">
        <f>ROUND(IF(项目基本情况!B2="出让",SUMPRODUCT(PRODUCT(1+N10:N$41)),SUMPRODUCT(PRODUCT(1+N10:N$40))),4)</f>
        <v>1.6585000000000001</v>
      </c>
      <c r="Y10" s="2802">
        <f>ROUND(IF(项目基本情况!B2="出让",SUMPRODUCT(PRODUCT(1+O10:O$41)),SUMPRODUCT(PRODUCT(1+O10:O$40))),4)</f>
        <v>1.3676999999999999</v>
      </c>
      <c r="Z10" s="2802">
        <f t="shared" ref="Z10" si="66">Y10</f>
        <v>1.3676999999999999</v>
      </c>
      <c r="AA10" s="2802">
        <f>ROUND(IF(项目基本情况!B2="出让",SUMPRODUCT(PRODUCT(1+P10:P$41)),SUMPRODUCT(PRODUCT(1+P10:P$40))),4)</f>
        <v>1.7434000000000001</v>
      </c>
      <c r="AB10" s="2802">
        <f>ROUND(IF(项目基本情况!B2="出让",SUMPRODUCT(PRODUCT(1+Q10:Q$41)),SUMPRODUCT(PRODUCT(1+Q10:Q$40))),4)</f>
        <v>1.4609000000000001</v>
      </c>
      <c r="AC10" s="2802"/>
      <c r="AD10" s="2803">
        <f>ROUND(AVERAGE(I10:I$41)/100,4)</f>
        <v>1.6899999999999998E-2</v>
      </c>
      <c r="AE10" s="2803">
        <f>ROUND(AVERAGE(J10:J$41)/100,4)</f>
        <v>1.06E-2</v>
      </c>
      <c r="AF10" s="2803">
        <f t="shared" ref="AF10" si="67">AE10</f>
        <v>1.06E-2</v>
      </c>
      <c r="AG10" s="2803">
        <f>ROUND(AVERAGE(K10:K$41)/100,4)</f>
        <v>1.8700000000000001E-2</v>
      </c>
      <c r="AH10" s="2803">
        <f>ROUND(AVERAGE(L10:L$41)/100,4)</f>
        <v>1.24E-2</v>
      </c>
    </row>
    <row r="11" spans="1:34" s="2811" customFormat="1">
      <c r="A11" s="2804" t="s">
        <v>2730</v>
      </c>
      <c r="B11" s="2805">
        <f t="shared" ref="B11" si="68">B12*(1+N11)</f>
        <v>504.87072809615569</v>
      </c>
      <c r="C11" s="2805">
        <f t="shared" ref="C11" si="69">C12*(1+O11)</f>
        <v>351.71182348101968</v>
      </c>
      <c r="D11" s="2805">
        <f t="shared" ref="D11" si="70">C11</f>
        <v>351.71182348101968</v>
      </c>
      <c r="E11" s="2805">
        <f t="shared" ref="E11" si="71">E12*(1+P11)</f>
        <v>728.75350858360832</v>
      </c>
      <c r="F11" s="2805">
        <f t="shared" ref="F11" si="72">F12*(1+Q11)</f>
        <v>334.04593931673656</v>
      </c>
      <c r="G11" s="2798">
        <v>2021</v>
      </c>
      <c r="H11" s="2806">
        <v>3</v>
      </c>
      <c r="I11" s="2778">
        <v>0.47</v>
      </c>
      <c r="J11" s="2778">
        <v>0.41</v>
      </c>
      <c r="K11" s="2778">
        <v>0.48</v>
      </c>
      <c r="L11" s="2779">
        <v>0.48</v>
      </c>
      <c r="M11" s="2802"/>
      <c r="N11" s="2807">
        <f t="shared" ref="N11" si="73">I11/100</f>
        <v>4.6999999999999993E-3</v>
      </c>
      <c r="O11" s="2803">
        <f t="shared" ref="O11" si="74">J11/100</f>
        <v>4.0999999999999995E-3</v>
      </c>
      <c r="P11" s="2803">
        <f t="shared" ref="P11" si="75">K11/100</f>
        <v>4.7999999999999996E-3</v>
      </c>
      <c r="Q11" s="2803">
        <f t="shared" ref="Q11" si="76">L11/100</f>
        <v>4.7999999999999996E-3</v>
      </c>
      <c r="R11" s="2808"/>
      <c r="S11" s="2809"/>
      <c r="T11" s="2810"/>
      <c r="U11" s="2810"/>
      <c r="V11" s="2810"/>
      <c r="W11" s="2802"/>
      <c r="X11" s="2802">
        <f>ROUND(IF(项目基本情况!B3="出让",SUMPRODUCT(PRODUCT(1+N11:N$41)),SUMPRODUCT(PRODUCT(1+N11:N$40))),4)</f>
        <v>1.6415999999999999</v>
      </c>
      <c r="Y11" s="2802">
        <f>ROUND(IF(项目基本情况!B3="出让",SUMPRODUCT(PRODUCT(1+O11:O$41)),SUMPRODUCT(PRODUCT(1+O11:O$40))),4)</f>
        <v>1.3644000000000001</v>
      </c>
      <c r="Z11" s="2802">
        <f t="shared" ref="Z11" si="77">Y11</f>
        <v>1.3644000000000001</v>
      </c>
      <c r="AA11" s="2802">
        <f>ROUND(IF(项目基本情况!B3="出让",SUMPRODUCT(PRODUCT(1+P11:P$41)),SUMPRODUCT(PRODUCT(1+P11:P$40))),4)</f>
        <v>1.7232000000000001</v>
      </c>
      <c r="AB11" s="2802">
        <f>ROUND(IF(项目基本情况!B3="出让",SUMPRODUCT(PRODUCT(1+Q11:Q$41)),SUMPRODUCT(PRODUCT(1+Q11:Q$40))),4)</f>
        <v>1.4529000000000001</v>
      </c>
      <c r="AC11" s="2802"/>
      <c r="AD11" s="2803">
        <f>ROUND(AVERAGE(I11:I$41)/100,4)</f>
        <v>1.72E-2</v>
      </c>
      <c r="AE11" s="2803">
        <f>ROUND(AVERAGE(J11:J$41)/100,4)</f>
        <v>1.09E-2</v>
      </c>
      <c r="AF11" s="2803">
        <f t="shared" ref="AF11" si="78">AE11</f>
        <v>1.09E-2</v>
      </c>
      <c r="AG11" s="2803">
        <f>ROUND(AVERAGE(K11:K$41)/100,4)</f>
        <v>1.89E-2</v>
      </c>
      <c r="AH11" s="2803">
        <f>ROUND(AVERAGE(L11:L$41)/100,4)</f>
        <v>1.26E-2</v>
      </c>
    </row>
    <row r="12" spans="1:34" s="2811" customFormat="1">
      <c r="A12" s="2804" t="s">
        <v>2729</v>
      </c>
      <c r="B12" s="2805">
        <f t="shared" ref="B12" si="79">B13*(1+N12)</f>
        <v>502.50893609650217</v>
      </c>
      <c r="C12" s="2805">
        <f t="shared" ref="C12" si="80">C13*(1+O12)</f>
        <v>350.27569313914915</v>
      </c>
      <c r="D12" s="2805">
        <f t="shared" ref="D12" si="81">C12</f>
        <v>350.27569313914915</v>
      </c>
      <c r="E12" s="2805">
        <f t="shared" ref="E12" si="82">E13*(1+P12)</f>
        <v>725.27220201394141</v>
      </c>
      <c r="F12" s="2805">
        <f t="shared" ref="F12" si="83">F13*(1+Q12)</f>
        <v>332.45017846012797</v>
      </c>
      <c r="G12" s="2798">
        <v>2021</v>
      </c>
      <c r="H12" s="2806">
        <v>2</v>
      </c>
      <c r="I12" s="2778">
        <v>0.92</v>
      </c>
      <c r="J12" s="2778">
        <v>0.72</v>
      </c>
      <c r="K12" s="2778">
        <v>0.95</v>
      </c>
      <c r="L12" s="2779">
        <v>1.01</v>
      </c>
      <c r="M12" s="2802"/>
      <c r="N12" s="2807">
        <f t="shared" ref="N12" si="84">I12/100</f>
        <v>9.1999999999999998E-3</v>
      </c>
      <c r="O12" s="2803">
        <f t="shared" ref="O12" si="85">J12/100</f>
        <v>7.1999999999999998E-3</v>
      </c>
      <c r="P12" s="2803">
        <f t="shared" ref="P12" si="86">K12/100</f>
        <v>9.4999999999999998E-3</v>
      </c>
      <c r="Q12" s="2803">
        <f t="shared" ref="Q12" si="87">L12/100</f>
        <v>1.01E-2</v>
      </c>
      <c r="R12" s="2808"/>
      <c r="S12" s="2809"/>
      <c r="T12" s="2810"/>
      <c r="U12" s="2810"/>
      <c r="V12" s="2810"/>
      <c r="W12" s="2802"/>
      <c r="X12" s="2802">
        <f>ROUND(IF(项目基本情况!B4="出让",SUMPRODUCT(PRODUCT(1+N12:N$41)),SUMPRODUCT(PRODUCT(1+N12:N$40))),4)</f>
        <v>1.6338999999999999</v>
      </c>
      <c r="Y12" s="2802">
        <f>ROUND(IF(项目基本情况!B4="出让",SUMPRODUCT(PRODUCT(1+O12:O$41)),SUMPRODUCT(PRODUCT(1+O12:O$40))),4)</f>
        <v>1.3588</v>
      </c>
      <c r="Z12" s="2802">
        <f t="shared" ref="Z12" si="88">Y12</f>
        <v>1.3588</v>
      </c>
      <c r="AA12" s="2802">
        <f>ROUND(IF(项目基本情况!B4="出让",SUMPRODUCT(PRODUCT(1+P12:P$41)),SUMPRODUCT(PRODUCT(1+P12:P$40))),4)</f>
        <v>1.7150000000000001</v>
      </c>
      <c r="AB12" s="2802">
        <f>ROUND(IF(项目基本情况!B4="出让",SUMPRODUCT(PRODUCT(1+Q12:Q$41)),SUMPRODUCT(PRODUCT(1+Q12:Q$40))),4)</f>
        <v>1.446</v>
      </c>
      <c r="AC12" s="2802"/>
      <c r="AD12" s="2803">
        <f>ROUND(AVERAGE(I12:I$41)/100,4)</f>
        <v>1.7600000000000001E-2</v>
      </c>
      <c r="AE12" s="2803">
        <f>ROUND(AVERAGE(J12:J$41)/100,4)</f>
        <v>1.11E-2</v>
      </c>
      <c r="AF12" s="2803">
        <f t="shared" ref="AF12" si="89">AE12</f>
        <v>1.11E-2</v>
      </c>
      <c r="AG12" s="2803">
        <f>ROUND(AVERAGE(K12:K$41)/100,4)</f>
        <v>1.9400000000000001E-2</v>
      </c>
      <c r="AH12" s="2803">
        <f>ROUND(AVERAGE(L12:L$41)/100,4)</f>
        <v>1.2800000000000001E-2</v>
      </c>
    </row>
    <row r="13" spans="1:34" s="2811" customFormat="1">
      <c r="A13" s="2804" t="s">
        <v>2728</v>
      </c>
      <c r="B13" s="2805">
        <f t="shared" ref="B13" si="90">B14*(1+N13)</f>
        <v>497.92799851020823</v>
      </c>
      <c r="C13" s="2805">
        <f t="shared" ref="C13" si="91">C14*(1+O13)</f>
        <v>347.77173663537445</v>
      </c>
      <c r="D13" s="2805">
        <f t="shared" ref="D13" si="92">C13</f>
        <v>347.77173663537445</v>
      </c>
      <c r="E13" s="2805">
        <f t="shared" ref="E13" si="93">E14*(1+P13)</f>
        <v>718.44695593258189</v>
      </c>
      <c r="F13" s="2805">
        <f t="shared" ref="F13" si="94">F14*(1+Q13)</f>
        <v>329.12600580153247</v>
      </c>
      <c r="G13" s="2798">
        <v>2021</v>
      </c>
      <c r="H13" s="2806">
        <v>1</v>
      </c>
      <c r="I13" s="2778">
        <v>0.97</v>
      </c>
      <c r="J13" s="2778">
        <v>0.16</v>
      </c>
      <c r="K13" s="2778">
        <v>1.1100000000000001</v>
      </c>
      <c r="L13" s="2779">
        <v>0.36</v>
      </c>
      <c r="M13" s="2802"/>
      <c r="N13" s="2807">
        <f t="shared" ref="N13" si="95">I13/100</f>
        <v>9.7000000000000003E-3</v>
      </c>
      <c r="O13" s="2803">
        <f t="shared" ref="O13" si="96">J13/100</f>
        <v>1.6000000000000001E-3</v>
      </c>
      <c r="P13" s="2803">
        <f t="shared" ref="P13" si="97">K13/100</f>
        <v>1.11E-2</v>
      </c>
      <c r="Q13" s="2803">
        <f t="shared" ref="Q13" si="98">L13/100</f>
        <v>3.5999999999999999E-3</v>
      </c>
      <c r="R13" s="2808"/>
      <c r="S13" s="2809">
        <f>B13/B14-1</f>
        <v>9.7000000000000419E-3</v>
      </c>
      <c r="T13" s="2810">
        <f>C13/C14-1</f>
        <v>1.6000000000000458E-3</v>
      </c>
      <c r="U13" s="2810">
        <f>E13/E14-1</f>
        <v>1.110000000000011E-2</v>
      </c>
      <c r="V13" s="2810">
        <f>F13/F14-1</f>
        <v>3.6000000000000476E-3</v>
      </c>
      <c r="W13" s="2802"/>
      <c r="X13" s="2802">
        <f>ROUND(IF(项目基本情况!B5="出让",SUMPRODUCT(PRODUCT(1+N13:N$41)),SUMPRODUCT(PRODUCT(1+N13:N$40))),4)</f>
        <v>1.619</v>
      </c>
      <c r="Y13" s="2802">
        <f>ROUND(IF(项目基本情况!B5="出让",SUMPRODUCT(PRODUCT(1+O13:O$41)),SUMPRODUCT(PRODUCT(1+O13:O$40))),4)</f>
        <v>1.3491</v>
      </c>
      <c r="Z13" s="2802">
        <f t="shared" ref="Z13" si="99">Y13</f>
        <v>1.3491</v>
      </c>
      <c r="AA13" s="2802">
        <f>ROUND(IF(项目基本情况!B5="出让",SUMPRODUCT(PRODUCT(1+P13:P$41)),SUMPRODUCT(PRODUCT(1+P13:P$40))),4)</f>
        <v>1.6988000000000001</v>
      </c>
      <c r="AB13" s="2802">
        <f>ROUND(IF(项目基本情况!B5="出让",SUMPRODUCT(PRODUCT(1+Q13:Q$41)),SUMPRODUCT(PRODUCT(1+Q13:Q$40))),4)</f>
        <v>1.4315</v>
      </c>
      <c r="AC13" s="2802"/>
      <c r="AD13" s="2803">
        <f>ROUND(AVERAGE(I13:I$41)/100,4)</f>
        <v>1.7899999999999999E-2</v>
      </c>
      <c r="AE13" s="2803">
        <f>ROUND(AVERAGE(J13:J$41)/100,4)</f>
        <v>1.12E-2</v>
      </c>
      <c r="AF13" s="2803">
        <f t="shared" ref="AF13" si="100">AE13</f>
        <v>1.12E-2</v>
      </c>
      <c r="AG13" s="2803">
        <f>ROUND(AVERAGE(K13:K$41)/100,4)</f>
        <v>1.9699999999999999E-2</v>
      </c>
      <c r="AH13" s="2803">
        <f>ROUND(AVERAGE(L13:L$41)/100,4)</f>
        <v>1.29E-2</v>
      </c>
    </row>
    <row r="14" spans="1:34" s="2811" customFormat="1">
      <c r="A14" s="2804" t="s">
        <v>2726</v>
      </c>
      <c r="B14" s="2805">
        <f t="shared" ref="B14" si="101">B15*(1+N14)</f>
        <v>493.14449689037161</v>
      </c>
      <c r="C14" s="2805">
        <f t="shared" ref="C14" si="102">C15*(1+O14)</f>
        <v>347.21619073020611</v>
      </c>
      <c r="D14" s="2805">
        <f t="shared" ref="D14" si="103">C14</f>
        <v>347.21619073020611</v>
      </c>
      <c r="E14" s="2805">
        <f t="shared" ref="E14" si="104">E15*(1+P14)</f>
        <v>710.55974278763904</v>
      </c>
      <c r="F14" s="2805">
        <f t="shared" ref="F14" si="105">F15*(1+Q14)</f>
        <v>327.94540235306141</v>
      </c>
      <c r="G14" s="2798">
        <v>2020</v>
      </c>
      <c r="H14" s="2806">
        <v>4</v>
      </c>
      <c r="I14" s="2778">
        <v>2.0699999999999998</v>
      </c>
      <c r="J14" s="2778">
        <v>0.37</v>
      </c>
      <c r="K14" s="2778">
        <v>2.35</v>
      </c>
      <c r="L14" s="2779">
        <v>2.69</v>
      </c>
      <c r="M14" s="2802"/>
      <c r="N14" s="2807">
        <f t="shared" ref="N14" si="106">I14/100</f>
        <v>2.07E-2</v>
      </c>
      <c r="O14" s="2803">
        <f t="shared" ref="O14" si="107">J14/100</f>
        <v>3.7000000000000002E-3</v>
      </c>
      <c r="P14" s="2803">
        <f t="shared" ref="P14" si="108">K14/100</f>
        <v>2.35E-2</v>
      </c>
      <c r="Q14" s="2803">
        <f t="shared" ref="Q14" si="109">L14/100</f>
        <v>2.69E-2</v>
      </c>
      <c r="R14" s="2808"/>
      <c r="S14" s="2809"/>
      <c r="T14" s="2810"/>
      <c r="U14" s="2810"/>
      <c r="V14" s="2810"/>
      <c r="W14" s="2802"/>
      <c r="X14" s="2802">
        <f>ROUND(IF(项目基本情况!B6="出让",SUMPRODUCT(PRODUCT(1+N14:N$41)),SUMPRODUCT(PRODUCT(1+N14:N$40))),4)</f>
        <v>1.6034999999999999</v>
      </c>
      <c r="Y14" s="2802">
        <f>ROUND(IF(项目基本情况!B6="出让",SUMPRODUCT(PRODUCT(1+O14:O$41)),SUMPRODUCT(PRODUCT(1+O14:O$40))),4)</f>
        <v>1.3469</v>
      </c>
      <c r="Z14" s="2802">
        <f t="shared" ref="Z14" si="110">Y14</f>
        <v>1.3469</v>
      </c>
      <c r="AA14" s="2802">
        <f>ROUND(IF(项目基本情况!B6="出让",SUMPRODUCT(PRODUCT(1+P14:P$41)),SUMPRODUCT(PRODUCT(1+P14:P$40))),4)</f>
        <v>1.6801999999999999</v>
      </c>
      <c r="AB14" s="2802">
        <f>ROUND(IF(项目基本情况!B6="出让",SUMPRODUCT(PRODUCT(1+Q14:Q$41)),SUMPRODUCT(PRODUCT(1+Q14:Q$40))),4)</f>
        <v>1.4263999999999999</v>
      </c>
      <c r="AC14" s="2802"/>
      <c r="AD14" s="2803">
        <f>ROUND(AVERAGE(I14:I$41)/100,4)</f>
        <v>1.8200000000000001E-2</v>
      </c>
      <c r="AE14" s="2803">
        <f>ROUND(AVERAGE(J14:J$41)/100,4)</f>
        <v>1.1599999999999999E-2</v>
      </c>
      <c r="AF14" s="2803">
        <f t="shared" ref="AF14" si="111">AE14</f>
        <v>1.1599999999999999E-2</v>
      </c>
      <c r="AG14" s="2803">
        <f>ROUND(AVERAGE(K14:K$41)/100,4)</f>
        <v>0.02</v>
      </c>
      <c r="AH14" s="2803">
        <f>ROUND(AVERAGE(L14:L$41)/100,4)</f>
        <v>1.3299999999999999E-2</v>
      </c>
    </row>
    <row r="15" spans="1:34" s="2811" customFormat="1">
      <c r="A15" s="2804" t="s">
        <v>2725</v>
      </c>
      <c r="B15" s="2805">
        <f t="shared" ref="B15" si="112">B16*(1+N15)</f>
        <v>483.1434279321756</v>
      </c>
      <c r="C15" s="2805">
        <f t="shared" ref="C15" si="113">C16*(1+O15)</f>
        <v>345.93622669144776</v>
      </c>
      <c r="D15" s="2805">
        <f t="shared" ref="D15" si="114">C15</f>
        <v>345.93622669144776</v>
      </c>
      <c r="E15" s="2805">
        <f t="shared" ref="E15" si="115">E16*(1+P15)</f>
        <v>694.24498562544113</v>
      </c>
      <c r="F15" s="2805">
        <f t="shared" ref="F15" si="116">F16*(1+Q15)</f>
        <v>319.35475932716082</v>
      </c>
      <c r="G15" s="2798">
        <v>2020</v>
      </c>
      <c r="H15" s="2806">
        <v>3</v>
      </c>
      <c r="I15" s="2778">
        <v>0.36</v>
      </c>
      <c r="J15" s="2778">
        <v>-0.39</v>
      </c>
      <c r="K15" s="2778">
        <v>0.49</v>
      </c>
      <c r="L15" s="2779">
        <v>7.0000000000000007E-2</v>
      </c>
      <c r="M15" s="2802"/>
      <c r="N15" s="2807">
        <f t="shared" ref="N15" si="117">I15/100</f>
        <v>3.5999999999999999E-3</v>
      </c>
      <c r="O15" s="2803">
        <f t="shared" ref="O15" si="118">J15/100</f>
        <v>-3.9000000000000003E-3</v>
      </c>
      <c r="P15" s="2803">
        <f t="shared" ref="P15" si="119">K15/100</f>
        <v>4.8999999999999998E-3</v>
      </c>
      <c r="Q15" s="2803">
        <f t="shared" ref="Q15" si="120">L15/100</f>
        <v>7.000000000000001E-4</v>
      </c>
      <c r="R15" s="2808"/>
      <c r="S15" s="2809"/>
      <c r="T15" s="2810"/>
      <c r="U15" s="2810"/>
      <c r="V15" s="2810"/>
      <c r="W15" s="2802"/>
      <c r="X15" s="2802">
        <f>ROUND(IF(项目基本情况!B7="出让",SUMPRODUCT(PRODUCT(1+N15:N$41)),SUMPRODUCT(PRODUCT(1+N15:N$40))),4)</f>
        <v>1.571</v>
      </c>
      <c r="Y15" s="2802">
        <f>ROUND(IF(项目基本情况!B7="出让",SUMPRODUCT(PRODUCT(1+O15:O$41)),SUMPRODUCT(PRODUCT(1+O15:O$40))),4)</f>
        <v>1.3420000000000001</v>
      </c>
      <c r="Z15" s="2802">
        <f t="shared" ref="Z15" si="121">Y15</f>
        <v>1.3420000000000001</v>
      </c>
      <c r="AA15" s="2802">
        <f>ROUND(IF(项目基本情况!B7="出让",SUMPRODUCT(PRODUCT(1+P15:P$41)),SUMPRODUCT(PRODUCT(1+P15:P$40))),4)</f>
        <v>1.6415999999999999</v>
      </c>
      <c r="AB15" s="2802">
        <f>ROUND(IF(项目基本情况!B7="出让",SUMPRODUCT(PRODUCT(1+Q15:Q$41)),SUMPRODUCT(PRODUCT(1+Q15:Q$40))),4)</f>
        <v>1.389</v>
      </c>
      <c r="AC15" s="2802"/>
      <c r="AD15" s="2803">
        <f>ROUND(AVERAGE(I15:I$41)/100,4)</f>
        <v>1.8100000000000002E-2</v>
      </c>
      <c r="AE15" s="2803">
        <f>ROUND(AVERAGE(J15:J$41)/100,4)</f>
        <v>1.1900000000000001E-2</v>
      </c>
      <c r="AF15" s="2803">
        <f t="shared" ref="AF15" si="122">AE15</f>
        <v>1.1900000000000001E-2</v>
      </c>
      <c r="AG15" s="2803">
        <f>ROUND(AVERAGE(K15:K$41)/100,4)</f>
        <v>1.9900000000000001E-2</v>
      </c>
      <c r="AH15" s="2803">
        <f>ROUND(AVERAGE(L15:L$41)/100,4)</f>
        <v>1.2800000000000001E-2</v>
      </c>
    </row>
    <row r="16" spans="1:34" s="2811" customFormat="1">
      <c r="A16" s="2804" t="s">
        <v>2689</v>
      </c>
      <c r="B16" s="2805">
        <f t="shared" ref="B16" si="123">B17*(1+N16)</f>
        <v>481.4103506697644</v>
      </c>
      <c r="C16" s="2805">
        <f t="shared" ref="C16" si="124">C17*(1+O16)</f>
        <v>347.29066026648707</v>
      </c>
      <c r="D16" s="2805">
        <f t="shared" ref="D16" si="125">C16</f>
        <v>347.29066026648707</v>
      </c>
      <c r="E16" s="2805">
        <f t="shared" ref="E16" si="126">E17*(1+P16)</f>
        <v>690.85977273901995</v>
      </c>
      <c r="F16" s="2805">
        <f t="shared" ref="F16" si="127">F17*(1+Q16)</f>
        <v>319.13136737000184</v>
      </c>
      <c r="G16" s="2798">
        <v>2020</v>
      </c>
      <c r="H16" s="2806">
        <v>2</v>
      </c>
      <c r="I16" s="2778">
        <v>0.31</v>
      </c>
      <c r="J16" s="2778">
        <v>-0.78</v>
      </c>
      <c r="K16" s="2778">
        <v>0.5</v>
      </c>
      <c r="L16" s="2779">
        <v>0.47</v>
      </c>
      <c r="M16" s="2802"/>
      <c r="N16" s="2807">
        <f t="shared" ref="N16" si="128">I16/100</f>
        <v>3.0999999999999999E-3</v>
      </c>
      <c r="O16" s="2803">
        <f t="shared" ref="O16" si="129">J16/100</f>
        <v>-7.8000000000000005E-3</v>
      </c>
      <c r="P16" s="2803">
        <f t="shared" ref="P16" si="130">K16/100</f>
        <v>5.0000000000000001E-3</v>
      </c>
      <c r="Q16" s="2803">
        <f t="shared" ref="Q16" si="131">L16/100</f>
        <v>4.6999999999999993E-3</v>
      </c>
      <c r="R16" s="2808"/>
      <c r="S16" s="2809"/>
      <c r="T16" s="2810"/>
      <c r="U16" s="2810"/>
      <c r="V16" s="2810"/>
      <c r="W16" s="2802"/>
      <c r="X16" s="2802">
        <f>ROUND(IF(项目基本情况!B8="出让",SUMPRODUCT(PRODUCT(1+N16:N$41)),SUMPRODUCT(PRODUCT(1+N16:N$40))),4)</f>
        <v>1.5652999999999999</v>
      </c>
      <c r="Y16" s="2802">
        <f>ROUND(IF(项目基本情况!B8="出让",SUMPRODUCT(PRODUCT(1+O16:O$41)),SUMPRODUCT(PRODUCT(1+O16:O$40))),4)</f>
        <v>1.3472</v>
      </c>
      <c r="Z16" s="2802">
        <f t="shared" ref="Z16" si="132">Y16</f>
        <v>1.3472</v>
      </c>
      <c r="AA16" s="2802">
        <f>ROUND(IF(项目基本情况!B8="出让",SUMPRODUCT(PRODUCT(1+P16:P$41)),SUMPRODUCT(PRODUCT(1+P16:P$40))),4)</f>
        <v>1.6335999999999999</v>
      </c>
      <c r="AB16" s="2802">
        <f>ROUND(IF(项目基本情况!B8="出让",SUMPRODUCT(PRODUCT(1+Q16:Q$41)),SUMPRODUCT(PRODUCT(1+Q16:Q$40))),4)</f>
        <v>1.3880999999999999</v>
      </c>
      <c r="AC16" s="2802"/>
      <c r="AD16" s="2803">
        <f>ROUND(AVERAGE(I16:I$41)/100,4)</f>
        <v>1.8599999999999998E-2</v>
      </c>
      <c r="AE16" s="2803">
        <f>ROUND(AVERAGE(J16:J$41)/100,4)</f>
        <v>1.2500000000000001E-2</v>
      </c>
      <c r="AF16" s="2803">
        <f t="shared" ref="AF16" si="133">AE16</f>
        <v>1.2500000000000001E-2</v>
      </c>
      <c r="AG16" s="2803">
        <f>ROUND(AVERAGE(K16:K$41)/100,4)</f>
        <v>2.0400000000000001E-2</v>
      </c>
      <c r="AH16" s="2803">
        <f>ROUND(AVERAGE(L16:L$41)/100,4)</f>
        <v>1.32E-2</v>
      </c>
    </row>
    <row r="17" spans="1:34" s="2811" customFormat="1">
      <c r="A17" s="2804" t="s">
        <v>2687</v>
      </c>
      <c r="B17" s="2805">
        <f t="shared" ref="B17" si="134">B18*(1+N17)</f>
        <v>479.92259063878413</v>
      </c>
      <c r="C17" s="2805">
        <f t="shared" ref="C17" si="135">C18*(1+O17)</f>
        <v>350.02082268341775</v>
      </c>
      <c r="D17" s="2805">
        <f t="shared" ref="D17" si="136">C17</f>
        <v>350.02082268341775</v>
      </c>
      <c r="E17" s="2805">
        <f t="shared" ref="E17" si="137">E18*(1+P17)</f>
        <v>687.42265944181099</v>
      </c>
      <c r="F17" s="2805">
        <f t="shared" ref="F17" si="138">F18*(1+Q17)</f>
        <v>317.63846657708956</v>
      </c>
      <c r="G17" s="2798">
        <v>2020</v>
      </c>
      <c r="H17" s="2806">
        <v>1</v>
      </c>
      <c r="I17" s="2778">
        <v>0.12</v>
      </c>
      <c r="J17" s="2778">
        <v>-0.4</v>
      </c>
      <c r="K17" s="2778">
        <v>0.21</v>
      </c>
      <c r="L17" s="2779">
        <v>0.27</v>
      </c>
      <c r="M17" s="2802"/>
      <c r="N17" s="2807">
        <f t="shared" ref="N17" si="139">I17/100</f>
        <v>1.1999999999999999E-3</v>
      </c>
      <c r="O17" s="2803">
        <f t="shared" ref="O17" si="140">J17/100</f>
        <v>-4.0000000000000001E-3</v>
      </c>
      <c r="P17" s="2803">
        <f t="shared" ref="P17" si="141">K17/100</f>
        <v>2.0999999999999999E-3</v>
      </c>
      <c r="Q17" s="2803">
        <f t="shared" ref="Q17" si="142">L17/100</f>
        <v>2.7000000000000001E-3</v>
      </c>
      <c r="R17" s="2808"/>
      <c r="S17" s="2809">
        <f>B17/B18-1</f>
        <v>1.2000000000000899E-3</v>
      </c>
      <c r="T17" s="2810">
        <f>C17/C18-1</f>
        <v>-4.0000000000000036E-3</v>
      </c>
      <c r="U17" s="2810">
        <f>E17/E18-1</f>
        <v>2.0999999999999908E-3</v>
      </c>
      <c r="V17" s="2810">
        <f>F17/F18-1</f>
        <v>2.6999999999999247E-3</v>
      </c>
      <c r="W17" s="2802"/>
      <c r="X17" s="2802">
        <f>ROUND(IF(项目基本情况!B8="出让",SUMPRODUCT(PRODUCT(1+N17:N$41)),SUMPRODUCT(PRODUCT(1+N17:N$40))),4)</f>
        <v>1.5605</v>
      </c>
      <c r="Y17" s="2802">
        <f>ROUND(IF(项目基本情况!B8="出让",SUMPRODUCT(PRODUCT(1+O17:O$41)),SUMPRODUCT(PRODUCT(1+O17:O$40))),4)</f>
        <v>1.3577999999999999</v>
      </c>
      <c r="Z17" s="2802">
        <f t="shared" ref="Z17" si="143">Y17</f>
        <v>1.3577999999999999</v>
      </c>
      <c r="AA17" s="2802">
        <f>ROUND(IF(项目基本情况!B8="出让",SUMPRODUCT(PRODUCT(1+P17:P$41)),SUMPRODUCT(PRODUCT(1+P17:P$40))),4)</f>
        <v>1.6254999999999999</v>
      </c>
      <c r="AB17" s="2802">
        <f>ROUND(IF(项目基本情况!B8="出让",SUMPRODUCT(PRODUCT(1+Q17:Q$41)),SUMPRODUCT(PRODUCT(1+Q17:Q$40))),4)</f>
        <v>1.3815999999999999</v>
      </c>
      <c r="AC17" s="2802"/>
      <c r="AD17" s="2803">
        <f>ROUND(AVERAGE(I17:I$41)/100,4)</f>
        <v>1.9199999999999998E-2</v>
      </c>
      <c r="AE17" s="2803">
        <f>ROUND(AVERAGE(J17:J$41)/100,4)</f>
        <v>1.3299999999999999E-2</v>
      </c>
      <c r="AF17" s="2803">
        <f t="shared" ref="AF17" si="144">AE17</f>
        <v>1.3299999999999999E-2</v>
      </c>
      <c r="AG17" s="2803">
        <f>ROUND(AVERAGE(K17:K$41)/100,4)</f>
        <v>2.1100000000000001E-2</v>
      </c>
      <c r="AH17" s="2803">
        <f>ROUND(AVERAGE(L17:L$41)/100,4)</f>
        <v>1.3599999999999999E-2</v>
      </c>
    </row>
    <row r="18" spans="1:34" s="2811" customFormat="1">
      <c r="A18" s="2804" t="s">
        <v>2685</v>
      </c>
      <c r="B18" s="2805">
        <f t="shared" ref="B18" si="145">B19*(1+N18)</f>
        <v>479.34737379023579</v>
      </c>
      <c r="C18" s="2805">
        <f t="shared" ref="C18" si="146">C19*(1+O18)</f>
        <v>351.4265287986122</v>
      </c>
      <c r="D18" s="2805">
        <f t="shared" ref="D18" si="147">C18</f>
        <v>351.4265287986122</v>
      </c>
      <c r="E18" s="2805">
        <f t="shared" ref="E18" si="148">E19*(1+P18)</f>
        <v>685.98209703803116</v>
      </c>
      <c r="F18" s="2805">
        <f t="shared" ref="F18" si="149">F19*(1+Q18)</f>
        <v>316.78315206651001</v>
      </c>
      <c r="G18" s="2798">
        <v>2019</v>
      </c>
      <c r="H18" s="2806">
        <v>4</v>
      </c>
      <c r="I18" s="2806">
        <v>0.45</v>
      </c>
      <c r="J18" s="2806">
        <v>-0.12</v>
      </c>
      <c r="K18" s="2806">
        <v>0.54</v>
      </c>
      <c r="L18" s="2812">
        <v>0.48</v>
      </c>
      <c r="M18" s="2802"/>
      <c r="N18" s="2807">
        <f t="shared" ref="N18" si="150">I18/100</f>
        <v>4.5000000000000005E-3</v>
      </c>
      <c r="O18" s="2803">
        <f t="shared" ref="O18" si="151">J18/100</f>
        <v>-1.1999999999999999E-3</v>
      </c>
      <c r="P18" s="2803">
        <f t="shared" ref="P18" si="152">K18/100</f>
        <v>5.4000000000000003E-3</v>
      </c>
      <c r="Q18" s="2803">
        <f t="shared" ref="Q18" si="153">L18/100</f>
        <v>4.7999999999999996E-3</v>
      </c>
      <c r="R18" s="2808"/>
      <c r="S18" s="2809"/>
      <c r="T18" s="2810"/>
      <c r="U18" s="2810"/>
      <c r="V18" s="2810"/>
      <c r="W18" s="2802"/>
      <c r="X18" s="2802">
        <f>ROUND(IF(项目基本情况!B8="出让",SUMPRODUCT(PRODUCT(1+N18:N$41)),SUMPRODUCT(PRODUCT(1+N18:N$40))),4)</f>
        <v>1.5586</v>
      </c>
      <c r="Y18" s="2802">
        <f>ROUND(IF(项目基本情况!B8="出让",SUMPRODUCT(PRODUCT(1+O18:O$41)),SUMPRODUCT(PRODUCT(1+O18:O$40))),4)</f>
        <v>1.3633</v>
      </c>
      <c r="Z18" s="2802">
        <f t="shared" ref="Z18" si="154">Y18</f>
        <v>1.3633</v>
      </c>
      <c r="AA18" s="2802">
        <f>ROUND(IF(项目基本情况!B8="出让",SUMPRODUCT(PRODUCT(1+P18:P$41)),SUMPRODUCT(PRODUCT(1+P18:P$40))),4)</f>
        <v>1.6221000000000001</v>
      </c>
      <c r="AB18" s="2802">
        <f>ROUND(IF(项目基本情况!B8="出让",SUMPRODUCT(PRODUCT(1+Q18:Q$41)),SUMPRODUCT(PRODUCT(1+Q18:Q$40))),4)</f>
        <v>1.3777999999999999</v>
      </c>
      <c r="AC18" s="2802"/>
      <c r="AD18" s="2803">
        <f>ROUND(AVERAGE(I18:I$41)/100,4)</f>
        <v>0.02</v>
      </c>
      <c r="AE18" s="2803">
        <f>ROUND(AVERAGE(J18:J$41)/100,4)</f>
        <v>1.4E-2</v>
      </c>
      <c r="AF18" s="2803">
        <f t="shared" ref="AF18" si="155">AE18</f>
        <v>1.4E-2</v>
      </c>
      <c r="AG18" s="2803">
        <f>ROUND(AVERAGE(K18:K$41)/100,4)</f>
        <v>2.1899999999999999E-2</v>
      </c>
      <c r="AH18" s="2803">
        <f>ROUND(AVERAGE(L18:L$41)/100,4)</f>
        <v>1.4E-2</v>
      </c>
    </row>
    <row r="19" spans="1:34" s="2811" customFormat="1" ht="13.5" thickBot="1">
      <c r="A19" s="2804" t="s">
        <v>2684</v>
      </c>
      <c r="B19" s="2805">
        <f t="shared" ref="B19" si="156">B20*(1+N19)</f>
        <v>477.19997390765138</v>
      </c>
      <c r="C19" s="2805">
        <f t="shared" ref="C19" si="157">C20*(1+O19)</f>
        <v>351.84874729536665</v>
      </c>
      <c r="D19" s="2805">
        <f t="shared" ref="D19" si="158">C19</f>
        <v>351.84874729536665</v>
      </c>
      <c r="E19" s="2805">
        <f t="shared" ref="E19" si="159">E20*(1+P19)</f>
        <v>682.29768951465201</v>
      </c>
      <c r="F19" s="2805">
        <f t="shared" ref="F19" si="160">F20*(1+Q19)</f>
        <v>315.26985675409043</v>
      </c>
      <c r="G19" s="2798">
        <v>2019</v>
      </c>
      <c r="H19" s="2806">
        <v>3</v>
      </c>
      <c r="I19" s="2806">
        <v>0.61</v>
      </c>
      <c r="J19" s="2806">
        <v>0.67</v>
      </c>
      <c r="K19" s="2806">
        <v>0.6</v>
      </c>
      <c r="L19" s="2812">
        <v>1.03</v>
      </c>
      <c r="M19" s="2802"/>
      <c r="N19" s="2807">
        <f t="shared" ref="N19" si="161">I19/100</f>
        <v>6.0999999999999995E-3</v>
      </c>
      <c r="O19" s="2803">
        <f t="shared" ref="O19" si="162">J19/100</f>
        <v>6.7000000000000002E-3</v>
      </c>
      <c r="P19" s="2803">
        <f t="shared" ref="P19" si="163">K19/100</f>
        <v>6.0000000000000001E-3</v>
      </c>
      <c r="Q19" s="2803">
        <f t="shared" ref="Q19" si="164">L19/100</f>
        <v>1.03E-2</v>
      </c>
      <c r="R19" s="2808"/>
      <c r="S19" s="2809"/>
      <c r="T19" s="2810"/>
      <c r="U19" s="2810"/>
      <c r="V19" s="2810"/>
      <c r="W19" s="2802"/>
      <c r="X19" s="2802">
        <f>ROUND(IF(项目基本情况!B8="出让",SUMPRODUCT(PRODUCT(1+N19:N$41)),SUMPRODUCT(PRODUCT(1+N19:N$40))),4)</f>
        <v>1.5516000000000001</v>
      </c>
      <c r="Y19" s="2802">
        <f>ROUND(IF(项目基本情况!B8="出让",SUMPRODUCT(PRODUCT(1+O19:O$41)),SUMPRODUCT(PRODUCT(1+O19:O$40))),4)</f>
        <v>1.3649</v>
      </c>
      <c r="Z19" s="2802">
        <f t="shared" ref="Z19" si="165">Y19</f>
        <v>1.3649</v>
      </c>
      <c r="AA19" s="2802">
        <f>ROUND(IF(项目基本情况!B8="出让",SUMPRODUCT(PRODUCT(1+P19:P$41)),SUMPRODUCT(PRODUCT(1+P19:P$40))),4)</f>
        <v>1.6133999999999999</v>
      </c>
      <c r="AB19" s="2802">
        <f>ROUND(IF(项目基本情况!B8="出让",SUMPRODUCT(PRODUCT(1+Q19:Q$41)),SUMPRODUCT(PRODUCT(1+Q19:Q$40))),4)</f>
        <v>1.3713</v>
      </c>
      <c r="AC19" s="2802"/>
      <c r="AD19" s="2803">
        <f>ROUND(AVERAGE(I19:I$41)/100,4)</f>
        <v>2.07E-2</v>
      </c>
      <c r="AE19" s="2803">
        <f>ROUND(AVERAGE(J19:J$41)/100,4)</f>
        <v>1.47E-2</v>
      </c>
      <c r="AF19" s="2803">
        <f t="shared" ref="AF19" si="166">AE19</f>
        <v>1.47E-2</v>
      </c>
      <c r="AG19" s="2803">
        <f>ROUND(AVERAGE(K19:K$41)/100,4)</f>
        <v>2.2599999999999999E-2</v>
      </c>
      <c r="AH19" s="2803">
        <f>ROUND(AVERAGE(L19:L$41)/100,4)</f>
        <v>1.44E-2</v>
      </c>
    </row>
    <row r="20" spans="1:34" s="2811" customFormat="1">
      <c r="A20" s="2804" t="s">
        <v>2681</v>
      </c>
      <c r="B20" s="2805">
        <f t="shared" ref="B20:B25" si="167">B21*(1+N20)</f>
        <v>474.30670301923408</v>
      </c>
      <c r="C20" s="2805">
        <f t="shared" ref="C20" si="168">C21*(1+O20)</f>
        <v>349.50705005996491</v>
      </c>
      <c r="D20" s="2805">
        <f t="shared" ref="D20" si="169">C20</f>
        <v>349.50705005996491</v>
      </c>
      <c r="E20" s="2805">
        <f t="shared" ref="E20" si="170">E21*(1+P20)</f>
        <v>678.22831959706957</v>
      </c>
      <c r="F20" s="2805">
        <f t="shared" ref="F20" si="171">F21*(1+Q20)</f>
        <v>312.0556832169558</v>
      </c>
      <c r="G20" s="2798">
        <v>2019</v>
      </c>
      <c r="H20" s="2813">
        <v>2</v>
      </c>
      <c r="I20" s="2813">
        <v>1.53</v>
      </c>
      <c r="J20" s="2813">
        <v>1.01</v>
      </c>
      <c r="K20" s="2813">
        <v>1.62</v>
      </c>
      <c r="L20" s="2814">
        <v>1.25</v>
      </c>
      <c r="M20" s="2802"/>
      <c r="N20" s="2807">
        <f t="shared" ref="N20" si="172">I20/100</f>
        <v>1.5300000000000001E-2</v>
      </c>
      <c r="O20" s="2803">
        <f t="shared" ref="O20" si="173">J20/100</f>
        <v>1.01E-2</v>
      </c>
      <c r="P20" s="2803">
        <f t="shared" ref="P20" si="174">K20/100</f>
        <v>1.6200000000000003E-2</v>
      </c>
      <c r="Q20" s="2803">
        <f t="shared" ref="Q20" si="175">L20/100</f>
        <v>1.2500000000000001E-2</v>
      </c>
      <c r="R20" s="2808"/>
      <c r="S20" s="2809"/>
      <c r="T20" s="2810"/>
      <c r="U20" s="2810"/>
      <c r="V20" s="2810"/>
      <c r="W20" s="2802"/>
      <c r="X20" s="2802">
        <f>ROUND(IF(项目基本情况!B8="出让",SUMPRODUCT(PRODUCT(1+N20:N$41)),SUMPRODUCT(PRODUCT(1+N20:N$40))),4)</f>
        <v>1.5422</v>
      </c>
      <c r="Y20" s="2802">
        <f>ROUND(IF(项目基本情况!B8="出让",SUMPRODUCT(PRODUCT(1+O20:O$41)),SUMPRODUCT(PRODUCT(1+O20:O$40))),4)</f>
        <v>1.3557999999999999</v>
      </c>
      <c r="Z20" s="2802">
        <f t="shared" ref="Z20" si="176">Y20</f>
        <v>1.3557999999999999</v>
      </c>
      <c r="AA20" s="2802">
        <f>ROUND(IF(项目基本情况!B8="出让",SUMPRODUCT(PRODUCT(1+P20:P$41)),SUMPRODUCT(PRODUCT(1+P20:P$40))),4)</f>
        <v>1.6036999999999999</v>
      </c>
      <c r="AB20" s="2802">
        <f>ROUND(IF(项目基本情况!B8="出让",SUMPRODUCT(PRODUCT(1+Q20:Q$41)),SUMPRODUCT(PRODUCT(1+Q20:Q$40))),4)</f>
        <v>1.3573</v>
      </c>
      <c r="AC20" s="2802"/>
      <c r="AD20" s="2803">
        <f>ROUND(AVERAGE(I20:I$41)/100,4)</f>
        <v>2.1299999999999999E-2</v>
      </c>
      <c r="AE20" s="2803">
        <f>ROUND(AVERAGE(J20:J$41)/100,4)</f>
        <v>1.4999999999999999E-2</v>
      </c>
      <c r="AF20" s="2803">
        <f t="shared" ref="AF20" si="177">AE20</f>
        <v>1.4999999999999999E-2</v>
      </c>
      <c r="AG20" s="2803">
        <f>ROUND(AVERAGE(K20:K$41)/100,4)</f>
        <v>2.3300000000000001E-2</v>
      </c>
      <c r="AH20" s="2803">
        <f>ROUND(AVERAGE(L20:L$41)/100,4)</f>
        <v>1.46E-2</v>
      </c>
    </row>
    <row r="21" spans="1:34" s="2811" customFormat="1" ht="13.5" thickBot="1">
      <c r="A21" s="2804" t="s">
        <v>2680</v>
      </c>
      <c r="B21" s="2805">
        <f t="shared" si="167"/>
        <v>467.15916775261894</v>
      </c>
      <c r="C21" s="2805">
        <f t="shared" ref="C21" si="178">C22*(1+O21)</f>
        <v>346.01232557169084</v>
      </c>
      <c r="D21" s="2805">
        <f t="shared" ref="D21" si="179">C21</f>
        <v>346.01232557169084</v>
      </c>
      <c r="E21" s="2805">
        <f t="shared" ref="E21" si="180">E22*(1+P21)</f>
        <v>667.41617752122568</v>
      </c>
      <c r="F21" s="2805">
        <f t="shared" ref="F21" si="181">F22*(1+Q21)</f>
        <v>308.20314391798104</v>
      </c>
      <c r="G21" s="2798">
        <v>2019</v>
      </c>
      <c r="H21" s="2806">
        <v>1</v>
      </c>
      <c r="I21" s="2806">
        <v>0.6</v>
      </c>
      <c r="J21" s="2806">
        <v>0.37</v>
      </c>
      <c r="K21" s="2806">
        <v>0.63</v>
      </c>
      <c r="L21" s="2812">
        <v>1.1299999999999999</v>
      </c>
      <c r="M21" s="2802"/>
      <c r="N21" s="2807">
        <f t="shared" ref="N21" si="182">I21/100</f>
        <v>6.0000000000000001E-3</v>
      </c>
      <c r="O21" s="2803">
        <f t="shared" ref="O21" si="183">J21/100</f>
        <v>3.7000000000000002E-3</v>
      </c>
      <c r="P21" s="2803">
        <f t="shared" ref="P21" si="184">K21/100</f>
        <v>6.3E-3</v>
      </c>
      <c r="Q21" s="2803">
        <f t="shared" ref="Q21" si="185">L21/100</f>
        <v>1.1299999999999999E-2</v>
      </c>
      <c r="R21" s="2808"/>
      <c r="S21" s="2809">
        <f>B21/B22-1</f>
        <v>6.0000000000000053E-3</v>
      </c>
      <c r="T21" s="2810">
        <f>C21/C22-1</f>
        <v>3.7000000000000366E-3</v>
      </c>
      <c r="U21" s="2810">
        <f>E21/E22-1</f>
        <v>6.2999999999999723E-3</v>
      </c>
      <c r="V21" s="2810">
        <f>F21/F22-1</f>
        <v>1.1300000000000088E-2</v>
      </c>
      <c r="W21" s="2802"/>
      <c r="X21" s="2802">
        <f>ROUND(IF(项目基本情况!B8="出让",SUMPRODUCT(PRODUCT(1+N21:N$41)),SUMPRODUCT(PRODUCT(1+N21:N$40))),4)</f>
        <v>1.5189999999999999</v>
      </c>
      <c r="Y21" s="2802">
        <f>ROUND(IF(项目基本情况!B8="出让",SUMPRODUCT(PRODUCT(1+O21:O$41)),SUMPRODUCT(PRODUCT(1+O21:O$40))),4)</f>
        <v>1.3423</v>
      </c>
      <c r="Z21" s="2802">
        <f t="shared" ref="Z21" si="186">Y21</f>
        <v>1.3423</v>
      </c>
      <c r="AA21" s="2802">
        <f>ROUND(IF(项目基本情况!B8="出让",SUMPRODUCT(PRODUCT(1+P21:P$41)),SUMPRODUCT(PRODUCT(1+P21:P$40))),4)</f>
        <v>1.5782</v>
      </c>
      <c r="AB21" s="2802">
        <f>ROUND(IF(项目基本情况!B8="出让",SUMPRODUCT(PRODUCT(1+Q21:Q$41)),SUMPRODUCT(PRODUCT(1+Q21:Q$40))),4)</f>
        <v>1.3405</v>
      </c>
      <c r="AC21" s="2802"/>
      <c r="AD21" s="2803">
        <f>ROUND(AVERAGE(I21:I$41)/100,4)</f>
        <v>2.1600000000000001E-2</v>
      </c>
      <c r="AE21" s="2803">
        <f>ROUND(AVERAGE(J21:J$41)/100,4)</f>
        <v>1.5299999999999999E-2</v>
      </c>
      <c r="AF21" s="2803">
        <f t="shared" ref="AF21" si="187">AE21</f>
        <v>1.5299999999999999E-2</v>
      </c>
      <c r="AG21" s="2803">
        <f>ROUND(AVERAGE(K21:K$41)/100,4)</f>
        <v>2.3699999999999999E-2</v>
      </c>
      <c r="AH21" s="2803">
        <f>ROUND(AVERAGE(L21:L$41)/100,4)</f>
        <v>1.47E-2</v>
      </c>
    </row>
    <row r="22" spans="1:34" s="2811" customFormat="1">
      <c r="A22" s="2804" t="s">
        <v>2678</v>
      </c>
      <c r="B22" s="2815">
        <f t="shared" si="167"/>
        <v>464.37293017158942</v>
      </c>
      <c r="C22" s="2815">
        <f t="shared" ref="C22" si="188">C23*(1+O22)</f>
        <v>344.73679941385956</v>
      </c>
      <c r="D22" s="2815">
        <f t="shared" ref="D22" si="189">C22</f>
        <v>344.73679941385956</v>
      </c>
      <c r="E22" s="2815">
        <f t="shared" ref="E22" si="190">E23*(1+P22)</f>
        <v>663.2377795103107</v>
      </c>
      <c r="F22" s="2816">
        <f t="shared" ref="F22" si="191">F23*(1+Q22)</f>
        <v>304.75936311478398</v>
      </c>
      <c r="G22" s="3739">
        <v>2018</v>
      </c>
      <c r="H22" s="2813">
        <v>4</v>
      </c>
      <c r="I22" s="2813">
        <v>0.96</v>
      </c>
      <c r="J22" s="2813">
        <v>1.03</v>
      </c>
      <c r="K22" s="2813">
        <v>0.92</v>
      </c>
      <c r="L22" s="2814">
        <v>1.29</v>
      </c>
      <c r="M22" s="2802"/>
      <c r="N22" s="2807">
        <f t="shared" ref="N22" si="192">I22/100</f>
        <v>9.5999999999999992E-3</v>
      </c>
      <c r="O22" s="2803">
        <f t="shared" ref="O22" si="193">J22/100</f>
        <v>1.03E-2</v>
      </c>
      <c r="P22" s="2803">
        <f t="shared" ref="P22" si="194">K22/100</f>
        <v>9.1999999999999998E-3</v>
      </c>
      <c r="Q22" s="2803">
        <f t="shared" ref="Q22" si="195">L22/100</f>
        <v>1.29E-2</v>
      </c>
      <c r="R22" s="2808"/>
      <c r="S22" s="2817"/>
      <c r="T22" s="2818"/>
      <c r="U22" s="2818"/>
      <c r="V22" s="2818"/>
      <c r="W22" s="2802"/>
      <c r="X22" s="2802">
        <f>ROUND(SUMPRODUCT(PRODUCT(1+N22:N$40)),4)</f>
        <v>1.5099</v>
      </c>
      <c r="Y22" s="2802">
        <f>ROUND(SUMPRODUCT(PRODUCT(1+O22:O$40)),4)</f>
        <v>1.3372999999999999</v>
      </c>
      <c r="Z22" s="2802">
        <f t="shared" ref="Z22" si="196">Y22</f>
        <v>1.3372999999999999</v>
      </c>
      <c r="AA22" s="2802">
        <f>ROUND(SUMPRODUCT(PRODUCT(1+P22:P$40)),4)</f>
        <v>1.5683</v>
      </c>
      <c r="AB22" s="2802">
        <f>ROUND(SUMPRODUCT(PRODUCT(1+Q22:Q$40)),4)</f>
        <v>1.3255999999999999</v>
      </c>
      <c r="AC22" s="2802"/>
      <c r="AD22" s="2803">
        <f>ROUND(AVERAGE(I22:I$41)/100,4)</f>
        <v>2.24E-2</v>
      </c>
      <c r="AE22" s="2803">
        <f>ROUND(AVERAGE(J22:J$41)/100,4)</f>
        <v>1.5800000000000002E-2</v>
      </c>
      <c r="AF22" s="2803">
        <f t="shared" ref="AF22" si="197">AE22</f>
        <v>1.5800000000000002E-2</v>
      </c>
      <c r="AG22" s="2803">
        <f>ROUND(AVERAGE(K22:K$41)/100,4)</f>
        <v>2.4500000000000001E-2</v>
      </c>
      <c r="AH22" s="2803">
        <f>ROUND(AVERAGE(L22:L$41)/100,4)</f>
        <v>1.49E-2</v>
      </c>
    </row>
    <row r="23" spans="1:34" s="2811" customFormat="1" ht="14.45" customHeight="1">
      <c r="A23" s="2804" t="s">
        <v>2671</v>
      </c>
      <c r="B23" s="2805">
        <f t="shared" si="167"/>
        <v>459.95733971036987</v>
      </c>
      <c r="C23" s="2805">
        <f t="shared" ref="C23" si="198">C24*(1+O23)</f>
        <v>341.22221064422405</v>
      </c>
      <c r="D23" s="2805">
        <f t="shared" ref="D23" si="199">C23</f>
        <v>341.22221064422405</v>
      </c>
      <c r="E23" s="2805">
        <f t="shared" ref="E23" si="200">E24*(1+P23)</f>
        <v>657.19161663724799</v>
      </c>
      <c r="F23" s="2805">
        <f t="shared" ref="F23" si="201">F24*(1+Q23)</f>
        <v>300.87803644464805</v>
      </c>
      <c r="G23" s="3739"/>
      <c r="H23" s="2806">
        <v>3</v>
      </c>
      <c r="I23" s="2806">
        <v>1.51</v>
      </c>
      <c r="J23" s="2806">
        <v>1.41</v>
      </c>
      <c r="K23" s="2806">
        <v>1.52</v>
      </c>
      <c r="L23" s="2812">
        <v>1.74</v>
      </c>
      <c r="M23" s="2802"/>
      <c r="N23" s="2807">
        <f t="shared" ref="N23" si="202">I23/100</f>
        <v>1.5100000000000001E-2</v>
      </c>
      <c r="O23" s="2803">
        <f t="shared" ref="O23" si="203">J23/100</f>
        <v>1.41E-2</v>
      </c>
      <c r="P23" s="2803">
        <f t="shared" ref="P23" si="204">K23/100</f>
        <v>1.52E-2</v>
      </c>
      <c r="Q23" s="2803">
        <f t="shared" ref="Q23" si="205">L23/100</f>
        <v>1.7399999999999999E-2</v>
      </c>
      <c r="R23" s="2808"/>
      <c r="S23" s="2807"/>
      <c r="T23" s="2803"/>
      <c r="U23" s="2803"/>
      <c r="V23" s="2803"/>
      <c r="W23" s="2802"/>
      <c r="X23" s="2802">
        <f>ROUND(SUMPRODUCT(PRODUCT(1+N23:N$40)),4)</f>
        <v>1.4956</v>
      </c>
      <c r="Y23" s="2802">
        <f>ROUND(SUMPRODUCT(PRODUCT(1+O23:O$40)),4)</f>
        <v>1.3237000000000001</v>
      </c>
      <c r="Z23" s="2802">
        <f t="shared" ref="Z23" si="206">Y23</f>
        <v>1.3237000000000001</v>
      </c>
      <c r="AA23" s="2802">
        <f>ROUND(SUMPRODUCT(PRODUCT(1+P23:P$40)),4)</f>
        <v>1.554</v>
      </c>
      <c r="AB23" s="2802">
        <f>ROUND(SUMPRODUCT(PRODUCT(1+Q23:Q$40)),4)</f>
        <v>1.3087</v>
      </c>
      <c r="AC23" s="2802"/>
      <c r="AD23" s="2803">
        <f>ROUND(AVERAGE(I23:I$41)/100,4)</f>
        <v>2.3099999999999999E-2</v>
      </c>
      <c r="AE23" s="2803">
        <f>ROUND(AVERAGE(J23:J$41)/100,4)</f>
        <v>1.61E-2</v>
      </c>
      <c r="AF23" s="2803">
        <f t="shared" ref="AF23" si="207">AE23</f>
        <v>1.61E-2</v>
      </c>
      <c r="AG23" s="2803">
        <f>ROUND(AVERAGE(K23:K$41)/100,4)</f>
        <v>2.53E-2</v>
      </c>
      <c r="AH23" s="2803">
        <f>ROUND(AVERAGE(L23:L$41)/100,4)</f>
        <v>1.4999999999999999E-2</v>
      </c>
    </row>
    <row r="24" spans="1:34" s="2811" customFormat="1" ht="14.45" customHeight="1">
      <c r="A24" s="2804" t="s">
        <v>2672</v>
      </c>
      <c r="B24" s="2805">
        <f t="shared" si="167"/>
        <v>453.11529869999993</v>
      </c>
      <c r="C24" s="2805">
        <f t="shared" ref="C24" si="208">C25*(1+O24)</f>
        <v>336.47787264000004</v>
      </c>
      <c r="D24" s="2805">
        <f t="shared" ref="D24" si="209">C24</f>
        <v>336.47787264000004</v>
      </c>
      <c r="E24" s="2805">
        <f t="shared" ref="E24" si="210">E25*(1+P24)</f>
        <v>647.35186823999993</v>
      </c>
      <c r="F24" s="2805">
        <f t="shared" ref="F24" si="211">F25*(1+Q24)</f>
        <v>295.73229452000004</v>
      </c>
      <c r="G24" s="3739"/>
      <c r="H24" s="2819">
        <v>2</v>
      </c>
      <c r="I24" s="2819">
        <v>1.49</v>
      </c>
      <c r="J24" s="2819">
        <v>0.96</v>
      </c>
      <c r="K24" s="2819">
        <v>1.58</v>
      </c>
      <c r="L24" s="2820">
        <v>2.44</v>
      </c>
      <c r="M24" s="2802"/>
      <c r="N24" s="2807">
        <f t="shared" ref="N24" si="212">I24/100</f>
        <v>1.49E-2</v>
      </c>
      <c r="O24" s="2803">
        <f t="shared" ref="O24" si="213">J24/100</f>
        <v>9.5999999999999992E-3</v>
      </c>
      <c r="P24" s="2803">
        <f t="shared" ref="P24" si="214">K24/100</f>
        <v>1.5800000000000002E-2</v>
      </c>
      <c r="Q24" s="2803">
        <f t="shared" ref="Q24" si="215">L24/100</f>
        <v>2.4399999999999998E-2</v>
      </c>
      <c r="R24" s="2808"/>
      <c r="S24" s="2807"/>
      <c r="T24" s="2803"/>
      <c r="U24" s="2803"/>
      <c r="V24" s="2803"/>
      <c r="W24" s="2802"/>
      <c r="X24" s="2802">
        <f>ROUND(SUMPRODUCT(PRODUCT(1+N24:N$40)),4)</f>
        <v>1.4733000000000001</v>
      </c>
      <c r="Y24" s="2802">
        <f>ROUND(SUMPRODUCT(PRODUCT(1+O24:O$40)),4)</f>
        <v>1.3052999999999999</v>
      </c>
      <c r="Z24" s="2802">
        <f t="shared" ref="Z24" si="216">Y24</f>
        <v>1.3052999999999999</v>
      </c>
      <c r="AA24" s="2802">
        <f>ROUND(SUMPRODUCT(PRODUCT(1+P24:P$40)),4)</f>
        <v>1.5306999999999999</v>
      </c>
      <c r="AB24" s="2802">
        <f>ROUND(SUMPRODUCT(PRODUCT(1+Q24:Q$40)),4)</f>
        <v>1.2863</v>
      </c>
      <c r="AC24" s="2802"/>
      <c r="AD24" s="2803">
        <f>ROUND(AVERAGE(I24:I$41)/100,4)</f>
        <v>2.35E-2</v>
      </c>
      <c r="AE24" s="2803">
        <f>ROUND(AVERAGE(J24:J$41)/100,4)</f>
        <v>1.6199999999999999E-2</v>
      </c>
      <c r="AF24" s="2803">
        <f t="shared" ref="AF24" si="217">AE24</f>
        <v>1.6199999999999999E-2</v>
      </c>
      <c r="AG24" s="2803">
        <f>ROUND(AVERAGE(K24:K$41)/100,4)</f>
        <v>2.5899999999999999E-2</v>
      </c>
      <c r="AH24" s="2803">
        <f>ROUND(AVERAGE(L24:L$41)/100,4)</f>
        <v>1.49E-2</v>
      </c>
    </row>
    <row r="25" spans="1:34" s="2811" customFormat="1" ht="15" customHeight="1" thickBot="1">
      <c r="A25" s="2804" t="s">
        <v>2668</v>
      </c>
      <c r="B25" s="2805">
        <f t="shared" si="167"/>
        <v>446.46299999999997</v>
      </c>
      <c r="C25" s="2805">
        <f t="shared" ref="C25" si="218">C26*(1+O25)</f>
        <v>333.27840000000003</v>
      </c>
      <c r="D25" s="2805">
        <f t="shared" ref="D25:D30" si="219">C25</f>
        <v>333.27840000000003</v>
      </c>
      <c r="E25" s="2805">
        <f t="shared" ref="E25" si="220">E26*(1+P25)</f>
        <v>637.28279999999995</v>
      </c>
      <c r="F25" s="2805">
        <f t="shared" ref="F25" si="221">F26*(1+Q25)</f>
        <v>288.68830000000003</v>
      </c>
      <c r="G25" s="3745"/>
      <c r="H25" s="2806">
        <v>1</v>
      </c>
      <c r="I25" s="2806">
        <v>1.7</v>
      </c>
      <c r="J25" s="2806">
        <v>1.92</v>
      </c>
      <c r="K25" s="2806">
        <v>1.64</v>
      </c>
      <c r="L25" s="2812">
        <v>2.0099999999999998</v>
      </c>
      <c r="M25" s="2802"/>
      <c r="N25" s="2807">
        <f t="shared" ref="N25:N30" si="222">I25/100</f>
        <v>1.7000000000000001E-2</v>
      </c>
      <c r="O25" s="2803">
        <f t="shared" ref="O25" si="223">J25/100</f>
        <v>1.9199999999999998E-2</v>
      </c>
      <c r="P25" s="2803">
        <f t="shared" ref="P25" si="224">K25/100</f>
        <v>1.6399999999999998E-2</v>
      </c>
      <c r="Q25" s="2803">
        <f t="shared" ref="Q25" si="225">L25/100</f>
        <v>2.0099999999999996E-2</v>
      </c>
      <c r="R25" s="2808"/>
      <c r="S25" s="2809">
        <f>B25/B26-1</f>
        <v>1.6999999999999904E-2</v>
      </c>
      <c r="T25" s="2810">
        <f>C25/C26-1</f>
        <v>1.9200000000000106E-2</v>
      </c>
      <c r="U25" s="2810">
        <f>E25/E26-1</f>
        <v>1.639999999999997E-2</v>
      </c>
      <c r="V25" s="2810">
        <f>F25/F26-1</f>
        <v>2.0100000000000007E-2</v>
      </c>
      <c r="W25" s="2802"/>
      <c r="X25" s="2802">
        <f>ROUND(SUMPRODUCT(PRODUCT(1+N25:N$40)),4)</f>
        <v>1.4517</v>
      </c>
      <c r="Y25" s="2802">
        <f>ROUND(SUMPRODUCT(PRODUCT(1+O25:O$40)),4)</f>
        <v>1.2928999999999999</v>
      </c>
      <c r="Z25" s="2802">
        <f t="shared" ref="Z25" si="226">Y25</f>
        <v>1.2928999999999999</v>
      </c>
      <c r="AA25" s="2802">
        <f>ROUND(SUMPRODUCT(PRODUCT(1+P25:P$40)),4)</f>
        <v>1.5068999999999999</v>
      </c>
      <c r="AB25" s="2802">
        <f>ROUND(SUMPRODUCT(PRODUCT(1+Q25:Q$40)),4)</f>
        <v>1.2557</v>
      </c>
      <c r="AC25" s="2802"/>
      <c r="AD25" s="2803">
        <f>ROUND(AVERAGE(I25:I$41)/100,4)</f>
        <v>2.4E-2</v>
      </c>
      <c r="AE25" s="2803">
        <f>ROUND(AVERAGE(J25:J$41)/100,4)</f>
        <v>1.66E-2</v>
      </c>
      <c r="AF25" s="2803">
        <f t="shared" ref="AF25" si="227">AE25</f>
        <v>1.66E-2</v>
      </c>
      <c r="AG25" s="2803">
        <f>ROUND(AVERAGE(K25:K$41)/100,4)</f>
        <v>2.6499999999999999E-2</v>
      </c>
      <c r="AH25" s="2803">
        <f>ROUND(AVERAGE(L25:L$41)/100,4)</f>
        <v>1.43E-2</v>
      </c>
    </row>
    <row r="26" spans="1:34">
      <c r="A26" s="2804" t="s">
        <v>2661</v>
      </c>
      <c r="B26" s="2821">
        <v>439</v>
      </c>
      <c r="C26" s="2821">
        <v>327</v>
      </c>
      <c r="D26" s="2821">
        <f t="shared" si="219"/>
        <v>327</v>
      </c>
      <c r="E26" s="2821">
        <v>627</v>
      </c>
      <c r="F26" s="2822">
        <v>283</v>
      </c>
      <c r="G26" s="3744">
        <v>2017</v>
      </c>
      <c r="H26" s="2813">
        <v>4</v>
      </c>
      <c r="I26" s="2813">
        <v>1.71</v>
      </c>
      <c r="J26" s="2813">
        <v>1.78</v>
      </c>
      <c r="K26" s="2813">
        <v>1.71</v>
      </c>
      <c r="L26" s="2814">
        <v>1.43</v>
      </c>
      <c r="N26" s="2823">
        <f t="shared" si="222"/>
        <v>1.7100000000000001E-2</v>
      </c>
      <c r="O26" s="2824">
        <f t="shared" ref="O26" si="228">J26/100</f>
        <v>1.78E-2</v>
      </c>
      <c r="P26" s="2824">
        <f t="shared" ref="P26" si="229">K26/100</f>
        <v>1.7100000000000001E-2</v>
      </c>
      <c r="Q26" s="2824">
        <f t="shared" ref="Q26" si="230">L26/100</f>
        <v>1.43E-2</v>
      </c>
      <c r="R26" s="2808"/>
      <c r="S26" s="2817"/>
      <c r="T26" s="2818"/>
      <c r="U26" s="2818"/>
      <c r="V26" s="2818"/>
      <c r="X26" s="2802">
        <f>ROUND(SUMPRODUCT(PRODUCT(1+N26:N$40)),4)</f>
        <v>1.4274</v>
      </c>
      <c r="Y26" s="2802">
        <f>ROUND(SUMPRODUCT(PRODUCT(1+O26:O$40)),4)</f>
        <v>1.2685</v>
      </c>
      <c r="Z26" s="2802">
        <f t="shared" si="0"/>
        <v>1.2685</v>
      </c>
      <c r="AA26" s="2802">
        <f>ROUND(SUMPRODUCT(PRODUCT(1+P26:P$40)),4)</f>
        <v>1.4825999999999999</v>
      </c>
      <c r="AB26" s="2802">
        <f>ROUND(SUMPRODUCT(PRODUCT(1+Q26:Q$40)),4)</f>
        <v>1.2309000000000001</v>
      </c>
      <c r="AD26" s="2803">
        <f>ROUND(AVERAGE(I26:I$41)/100,4)</f>
        <v>2.4500000000000001E-2</v>
      </c>
      <c r="AE26" s="2803">
        <f>ROUND(AVERAGE(J26:J$41)/100,4)</f>
        <v>1.6500000000000001E-2</v>
      </c>
      <c r="AF26" s="2803">
        <f t="shared" si="1"/>
        <v>1.6500000000000001E-2</v>
      </c>
      <c r="AG26" s="2803">
        <f>ROUND(AVERAGE(K26:K$41)/100,4)</f>
        <v>2.7099999999999999E-2</v>
      </c>
      <c r="AH26" s="2803">
        <f>ROUND(AVERAGE(L26:L$41)/100,4)</f>
        <v>1.3899999999999999E-2</v>
      </c>
    </row>
    <row r="27" spans="1:34" s="2811" customFormat="1" ht="14.45" customHeight="1">
      <c r="A27" s="2804" t="s">
        <v>2663</v>
      </c>
      <c r="B27" s="2805">
        <f t="shared" ref="B27:C29" si="231">B28*(1+N27)</f>
        <v>431.80730811680002</v>
      </c>
      <c r="C27" s="2805">
        <f t="shared" si="231"/>
        <v>320.57880516480003</v>
      </c>
      <c r="D27" s="2805">
        <f t="shared" si="219"/>
        <v>320.57880516480003</v>
      </c>
      <c r="E27" s="2805">
        <f t="shared" ref="E27:F29" si="232">E28*(1+P27)</f>
        <v>615.96110553196797</v>
      </c>
      <c r="F27" s="2805">
        <f t="shared" si="232"/>
        <v>279.46777300108801</v>
      </c>
      <c r="G27" s="3739"/>
      <c r="H27" s="2806">
        <v>3</v>
      </c>
      <c r="I27" s="2806">
        <v>2.98</v>
      </c>
      <c r="J27" s="2806">
        <v>2.11</v>
      </c>
      <c r="K27" s="2806">
        <v>3.24</v>
      </c>
      <c r="L27" s="2812">
        <v>1.72</v>
      </c>
      <c r="M27" s="2802"/>
      <c r="N27" s="2807">
        <f t="shared" si="222"/>
        <v>2.98E-2</v>
      </c>
      <c r="O27" s="2825">
        <f t="shared" ref="O27:O28" si="233">J27/100</f>
        <v>2.1099999999999997E-2</v>
      </c>
      <c r="P27" s="2825">
        <f t="shared" ref="P27:P28" si="234">K27/100</f>
        <v>3.2400000000000005E-2</v>
      </c>
      <c r="Q27" s="2825">
        <f t="shared" ref="Q27:Q28" si="235">L27/100</f>
        <v>1.72E-2</v>
      </c>
      <c r="R27" s="2808"/>
      <c r="S27" s="2807"/>
      <c r="T27" s="2803"/>
      <c r="U27" s="2803"/>
      <c r="V27" s="2803"/>
      <c r="W27" s="2802"/>
      <c r="X27" s="2802">
        <f>ROUND(SUMPRODUCT(PRODUCT(1+N27:N$40)),4)</f>
        <v>1.4034</v>
      </c>
      <c r="Y27" s="2802">
        <f>ROUND(SUMPRODUCT(PRODUCT(1+O27:O$40)),4)</f>
        <v>1.2463</v>
      </c>
      <c r="Z27" s="2802">
        <f t="shared" si="0"/>
        <v>1.2463</v>
      </c>
      <c r="AA27" s="2802">
        <f>ROUND(SUMPRODUCT(PRODUCT(1+P27:P$40)),4)</f>
        <v>1.4577</v>
      </c>
      <c r="AB27" s="2802">
        <f>ROUND(SUMPRODUCT(PRODUCT(1+Q27:Q$40)),4)</f>
        <v>1.2136</v>
      </c>
      <c r="AC27" s="2802"/>
      <c r="AD27" s="2803">
        <f>ROUND(AVERAGE(I27:I$41)/100,4)</f>
        <v>2.4899999999999999E-2</v>
      </c>
      <c r="AE27" s="2803">
        <f>ROUND(AVERAGE(J27:J$41)/100,4)</f>
        <v>1.6400000000000001E-2</v>
      </c>
      <c r="AF27" s="2803">
        <f t="shared" si="1"/>
        <v>1.6400000000000001E-2</v>
      </c>
      <c r="AG27" s="2803">
        <f>ROUND(AVERAGE(K27:K$41)/100,4)</f>
        <v>2.7799999999999998E-2</v>
      </c>
      <c r="AH27" s="2803">
        <f>ROUND(AVERAGE(L27:L$41)/100,4)</f>
        <v>1.3899999999999999E-2</v>
      </c>
    </row>
    <row r="28" spans="1:34" s="2780" customFormat="1" ht="14.45" customHeight="1">
      <c r="A28" s="2804" t="s">
        <v>2298</v>
      </c>
      <c r="B28" s="2805">
        <f t="shared" si="231"/>
        <v>419.31181600000002</v>
      </c>
      <c r="C28" s="2805">
        <f t="shared" si="231"/>
        <v>313.95436800000004</v>
      </c>
      <c r="D28" s="2805">
        <f t="shared" si="219"/>
        <v>313.95436800000004</v>
      </c>
      <c r="E28" s="2805">
        <f t="shared" si="232"/>
        <v>596.63028431999999</v>
      </c>
      <c r="F28" s="2805">
        <f t="shared" si="232"/>
        <v>274.74220703999998</v>
      </c>
      <c r="G28" s="3739"/>
      <c r="H28" s="2819">
        <v>2</v>
      </c>
      <c r="I28" s="2819">
        <v>3.4</v>
      </c>
      <c r="J28" s="2819">
        <v>2</v>
      </c>
      <c r="K28" s="2819">
        <v>3.82</v>
      </c>
      <c r="L28" s="2820">
        <v>1.68</v>
      </c>
      <c r="N28" s="2807">
        <f t="shared" si="222"/>
        <v>3.4000000000000002E-2</v>
      </c>
      <c r="O28" s="2825">
        <f t="shared" si="233"/>
        <v>0.02</v>
      </c>
      <c r="P28" s="2825">
        <f t="shared" si="234"/>
        <v>3.8199999999999998E-2</v>
      </c>
      <c r="Q28" s="2825">
        <f t="shared" si="235"/>
        <v>1.6799999999999999E-2</v>
      </c>
      <c r="S28" s="2807"/>
      <c r="T28" s="2803"/>
      <c r="U28" s="2803"/>
      <c r="V28" s="2803"/>
      <c r="X28" s="2802">
        <f>ROUND(SUMPRODUCT(PRODUCT(1+N28:N$40)),4)</f>
        <v>1.3628</v>
      </c>
      <c r="Y28" s="2802">
        <f>ROUND(SUMPRODUCT(PRODUCT(1+O28:O$40)),4)</f>
        <v>1.2205999999999999</v>
      </c>
      <c r="Z28" s="2802">
        <f t="shared" si="0"/>
        <v>1.2205999999999999</v>
      </c>
      <c r="AA28" s="2802">
        <f>ROUND(SUMPRODUCT(PRODUCT(1+P28:P$40)),4)</f>
        <v>1.4118999999999999</v>
      </c>
      <c r="AB28" s="2802">
        <f>ROUND(SUMPRODUCT(PRODUCT(1+Q28:Q$40)),4)</f>
        <v>1.1930000000000001</v>
      </c>
      <c r="AD28" s="2803">
        <f>ROUND(AVERAGE(I28:I$41)/100,4)</f>
        <v>2.46E-2</v>
      </c>
      <c r="AE28" s="2803">
        <f>ROUND(AVERAGE(J28:J$41)/100,4)</f>
        <v>1.6E-2</v>
      </c>
      <c r="AF28" s="2803">
        <f t="shared" si="1"/>
        <v>1.6E-2</v>
      </c>
      <c r="AG28" s="2803">
        <f>ROUND(AVERAGE(K28:K$41)/100,4)</f>
        <v>2.75E-2</v>
      </c>
      <c r="AH28" s="2803">
        <f>ROUND(AVERAGE(L28:L$41)/100,4)</f>
        <v>1.37E-2</v>
      </c>
    </row>
    <row r="29" spans="1:34" s="2811" customFormat="1" ht="15" customHeight="1" thickBot="1">
      <c r="A29" s="2804" t="s">
        <v>2299</v>
      </c>
      <c r="B29" s="2805">
        <f t="shared" si="231"/>
        <v>405.524</v>
      </c>
      <c r="C29" s="2805">
        <f t="shared" si="231"/>
        <v>307.79840000000002</v>
      </c>
      <c r="D29" s="2805">
        <f t="shared" si="219"/>
        <v>307.79840000000002</v>
      </c>
      <c r="E29" s="2805">
        <f t="shared" si="232"/>
        <v>574.67759999999998</v>
      </c>
      <c r="F29" s="2805">
        <f t="shared" si="232"/>
        <v>270.20280000000002</v>
      </c>
      <c r="G29" s="3745"/>
      <c r="H29" s="2806">
        <v>1</v>
      </c>
      <c r="I29" s="2806">
        <v>3.45</v>
      </c>
      <c r="J29" s="2806">
        <v>1.92</v>
      </c>
      <c r="K29" s="2806">
        <v>3.92</v>
      </c>
      <c r="L29" s="2812">
        <v>1.58</v>
      </c>
      <c r="M29" s="2802"/>
      <c r="N29" s="2809">
        <f t="shared" si="222"/>
        <v>3.4500000000000003E-2</v>
      </c>
      <c r="O29" s="2810">
        <f t="shared" ref="O29" si="236">J29/100</f>
        <v>1.9199999999999998E-2</v>
      </c>
      <c r="P29" s="2810">
        <f t="shared" ref="P29" si="237">K29/100</f>
        <v>3.9199999999999999E-2</v>
      </c>
      <c r="Q29" s="2810">
        <f t="shared" ref="Q29" si="238">L29/100</f>
        <v>1.5800000000000002E-2</v>
      </c>
      <c r="R29" s="2808"/>
      <c r="S29" s="2809">
        <f>B29/B30-1</f>
        <v>3.4499999999999975E-2</v>
      </c>
      <c r="T29" s="2810">
        <f>C29/C30-1</f>
        <v>1.9200000000000106E-2</v>
      </c>
      <c r="U29" s="2810">
        <f>E29/E30-1</f>
        <v>3.9199999999999902E-2</v>
      </c>
      <c r="V29" s="2810">
        <f>F29/F30-1</f>
        <v>1.5800000000000036E-2</v>
      </c>
      <c r="W29" s="2802"/>
      <c r="X29" s="2802">
        <f>ROUND(SUMPRODUCT(PRODUCT(1+N29:N$40)),4)</f>
        <v>1.3180000000000001</v>
      </c>
      <c r="Y29" s="2802">
        <f>ROUND(SUMPRODUCT(PRODUCT(1+O29:O$40)),4)</f>
        <v>1.1966000000000001</v>
      </c>
      <c r="Z29" s="2802">
        <f t="shared" si="0"/>
        <v>1.1966000000000001</v>
      </c>
      <c r="AA29" s="2802">
        <f>ROUND(SUMPRODUCT(PRODUCT(1+P29:P$40)),4)</f>
        <v>1.36</v>
      </c>
      <c r="AB29" s="2802">
        <f>ROUND(SUMPRODUCT(PRODUCT(1+Q29:Q$40)),4)</f>
        <v>1.1733</v>
      </c>
      <c r="AC29" s="2802"/>
      <c r="AD29" s="2803">
        <f>ROUND(AVERAGE(I29:I$41)/100,4)</f>
        <v>2.3900000000000001E-2</v>
      </c>
      <c r="AE29" s="2803">
        <f>ROUND(AVERAGE(J29:J$41)/100,4)</f>
        <v>1.5699999999999999E-2</v>
      </c>
      <c r="AF29" s="2803">
        <f t="shared" si="1"/>
        <v>1.5699999999999999E-2</v>
      </c>
      <c r="AG29" s="2803">
        <f>ROUND(AVERAGE(K29:K$41)/100,4)</f>
        <v>2.6599999999999999E-2</v>
      </c>
      <c r="AH29" s="2803">
        <f>ROUND(AVERAGE(L29:L$41)/100,4)</f>
        <v>1.34E-2</v>
      </c>
    </row>
    <row r="30" spans="1:34">
      <c r="A30" s="2804" t="s">
        <v>949</v>
      </c>
      <c r="B30" s="2826">
        <v>392</v>
      </c>
      <c r="C30" s="2826">
        <v>302</v>
      </c>
      <c r="D30" s="2826">
        <f t="shared" si="219"/>
        <v>302</v>
      </c>
      <c r="E30" s="2826">
        <v>553</v>
      </c>
      <c r="F30" s="2827">
        <v>266</v>
      </c>
      <c r="G30" s="3744">
        <v>2016</v>
      </c>
      <c r="H30" s="2813">
        <v>4</v>
      </c>
      <c r="I30" s="2813">
        <v>4.5599999999999996</v>
      </c>
      <c r="J30" s="2813">
        <v>2.15</v>
      </c>
      <c r="K30" s="2813">
        <v>5.32</v>
      </c>
      <c r="L30" s="2814">
        <v>1.57</v>
      </c>
      <c r="N30" s="2807">
        <f t="shared" si="222"/>
        <v>4.5599999999999995E-2</v>
      </c>
      <c r="O30" s="2803">
        <f t="shared" ref="O30:Q45" si="239">J30/100</f>
        <v>2.1499999999999998E-2</v>
      </c>
      <c r="P30" s="2803">
        <f t="shared" si="239"/>
        <v>5.3200000000000004E-2</v>
      </c>
      <c r="Q30" s="2803">
        <f t="shared" si="239"/>
        <v>1.5700000000000002E-2</v>
      </c>
      <c r="R30" s="2808"/>
      <c r="S30" s="2817"/>
      <c r="T30" s="2818"/>
      <c r="U30" s="2818"/>
      <c r="V30" s="2818"/>
      <c r="X30" s="2802">
        <f>ROUND(SUMPRODUCT(PRODUCT(1+N30:N$40)),4)</f>
        <v>1.274</v>
      </c>
      <c r="Y30" s="2802">
        <f>ROUND(SUMPRODUCT(PRODUCT(1+O30:O$40)),4)</f>
        <v>1.1740999999999999</v>
      </c>
      <c r="Z30" s="2802">
        <f t="shared" si="0"/>
        <v>1.1740999999999999</v>
      </c>
      <c r="AA30" s="2802">
        <f>ROUND(SUMPRODUCT(PRODUCT(1+P30:P$40)),4)</f>
        <v>1.3087</v>
      </c>
      <c r="AB30" s="2802">
        <f>ROUND(SUMPRODUCT(PRODUCT(1+Q30:Q$40)),4)</f>
        <v>1.1551</v>
      </c>
      <c r="AD30" s="2803">
        <f>ROUND(AVERAGE(I30:I$41)/100,4)</f>
        <v>2.3E-2</v>
      </c>
      <c r="AE30" s="2803">
        <f>ROUND(AVERAGE(J30:J$41)/100,4)</f>
        <v>1.55E-2</v>
      </c>
      <c r="AF30" s="2803">
        <f t="shared" si="1"/>
        <v>1.55E-2</v>
      </c>
      <c r="AG30" s="2803">
        <f>ROUND(AVERAGE(K30:K$41)/100,4)</f>
        <v>2.5600000000000001E-2</v>
      </c>
      <c r="AH30" s="2803">
        <f>ROUND(AVERAGE(L30:L$41)/100,4)</f>
        <v>1.32E-2</v>
      </c>
    </row>
    <row r="31" spans="1:34">
      <c r="A31" s="2804" t="s">
        <v>948</v>
      </c>
      <c r="B31" s="2805">
        <f t="shared" ref="B31:C33" si="240">B30/(1+N30)</f>
        <v>374.90436113236416</v>
      </c>
      <c r="C31" s="2805">
        <f t="shared" si="240"/>
        <v>295.64366128242779</v>
      </c>
      <c r="D31" s="2805">
        <f t="shared" ref="D31:D90" si="241">C31</f>
        <v>295.64366128242779</v>
      </c>
      <c r="E31" s="2805">
        <f t="shared" ref="E31:F33" si="242">E30/(1+P30)</f>
        <v>525.06646410938095</v>
      </c>
      <c r="F31" s="2805">
        <f t="shared" si="242"/>
        <v>261.88835286009646</v>
      </c>
      <c r="G31" s="3739"/>
      <c r="H31" s="2806">
        <v>3</v>
      </c>
      <c r="I31" s="2806">
        <v>4.12</v>
      </c>
      <c r="J31" s="2806">
        <v>2</v>
      </c>
      <c r="K31" s="2806">
        <v>4.79</v>
      </c>
      <c r="L31" s="2812">
        <v>1.97</v>
      </c>
      <c r="N31" s="2807">
        <f t="shared" ref="N31:Q65" si="243">I31/100</f>
        <v>4.1200000000000001E-2</v>
      </c>
      <c r="O31" s="2803">
        <f t="shared" si="239"/>
        <v>0.02</v>
      </c>
      <c r="P31" s="2803">
        <f t="shared" si="239"/>
        <v>4.7899999999999998E-2</v>
      </c>
      <c r="Q31" s="2803">
        <f t="shared" si="239"/>
        <v>1.9699999999999999E-2</v>
      </c>
      <c r="R31" s="2808"/>
      <c r="S31" s="2807"/>
      <c r="T31" s="2803"/>
      <c r="U31" s="2803"/>
      <c r="V31" s="2803"/>
      <c r="X31" s="2802">
        <f>ROUND(SUMPRODUCT(PRODUCT(1+N31:N$40)),4)</f>
        <v>1.2184999999999999</v>
      </c>
      <c r="Y31" s="2802">
        <f>ROUND(SUMPRODUCT(PRODUCT(1+O31:O$40)),4)</f>
        <v>1.1494</v>
      </c>
      <c r="Z31" s="2802">
        <f t="shared" si="0"/>
        <v>1.1494</v>
      </c>
      <c r="AA31" s="2802">
        <f>ROUND(SUMPRODUCT(PRODUCT(1+P31:P$40)),4)</f>
        <v>1.2425999999999999</v>
      </c>
      <c r="AB31" s="2802">
        <f>ROUND(SUMPRODUCT(PRODUCT(1+Q31:Q$40)),4)</f>
        <v>1.1372</v>
      </c>
      <c r="AD31" s="2803">
        <f>ROUND(AVERAGE(I31:I$41)/100,4)</f>
        <v>2.0899999999999998E-2</v>
      </c>
      <c r="AE31" s="2803">
        <f>ROUND(AVERAGE(J31:J$41)/100,4)</f>
        <v>1.49E-2</v>
      </c>
      <c r="AF31" s="2803">
        <f t="shared" si="1"/>
        <v>1.49E-2</v>
      </c>
      <c r="AG31" s="2803">
        <f>ROUND(AVERAGE(K31:K$41)/100,4)</f>
        <v>2.3099999999999999E-2</v>
      </c>
      <c r="AH31" s="2803">
        <f>ROUND(AVERAGE(L31:L$41)/100,4)</f>
        <v>1.2999999999999999E-2</v>
      </c>
    </row>
    <row r="32" spans="1:34">
      <c r="A32" s="2804" t="s">
        <v>938</v>
      </c>
      <c r="B32" s="2805">
        <f t="shared" si="240"/>
        <v>360.06949782209392</v>
      </c>
      <c r="C32" s="2805">
        <f t="shared" si="240"/>
        <v>289.84672674747821</v>
      </c>
      <c r="D32" s="2805">
        <f t="shared" si="241"/>
        <v>289.84672674747821</v>
      </c>
      <c r="E32" s="2805">
        <f t="shared" si="242"/>
        <v>501.06543001181495</v>
      </c>
      <c r="F32" s="2805">
        <f t="shared" si="242"/>
        <v>256.82882500744967</v>
      </c>
      <c r="G32" s="3739"/>
      <c r="H32" s="2819">
        <v>2</v>
      </c>
      <c r="I32" s="2819">
        <v>3.85</v>
      </c>
      <c r="J32" s="2819">
        <v>1.95</v>
      </c>
      <c r="K32" s="2819">
        <v>4.4800000000000004</v>
      </c>
      <c r="L32" s="2820">
        <v>1.41</v>
      </c>
      <c r="N32" s="2807">
        <f t="shared" si="243"/>
        <v>3.85E-2</v>
      </c>
      <c r="O32" s="2803">
        <f t="shared" si="239"/>
        <v>1.95E-2</v>
      </c>
      <c r="P32" s="2803">
        <f t="shared" si="239"/>
        <v>4.4800000000000006E-2</v>
      </c>
      <c r="Q32" s="2803">
        <f t="shared" si="239"/>
        <v>1.41E-2</v>
      </c>
      <c r="R32" s="2808"/>
      <c r="S32" s="2807"/>
      <c r="T32" s="2803"/>
      <c r="U32" s="2803"/>
      <c r="V32" s="2803"/>
      <c r="X32" s="2802">
        <f>ROUND(SUMPRODUCT(PRODUCT(1+N32:N$40)),4)</f>
        <v>1.1702999999999999</v>
      </c>
      <c r="Y32" s="2802">
        <f>ROUND(SUMPRODUCT(PRODUCT(1+O32:O$40)),4)</f>
        <v>1.1269</v>
      </c>
      <c r="Z32" s="2802">
        <f t="shared" si="0"/>
        <v>1.1269</v>
      </c>
      <c r="AA32" s="2802">
        <f>ROUND(SUMPRODUCT(PRODUCT(1+P32:P$40)),4)</f>
        <v>1.1858</v>
      </c>
      <c r="AB32" s="2802">
        <f>ROUND(SUMPRODUCT(PRODUCT(1+Q32:Q$40)),4)</f>
        <v>1.1152</v>
      </c>
      <c r="AD32" s="2803">
        <f>ROUND(AVERAGE(I32:I$41)/100,4)</f>
        <v>1.89E-2</v>
      </c>
      <c r="AE32" s="2803">
        <f>ROUND(AVERAGE(J32:J$41)/100,4)</f>
        <v>1.44E-2</v>
      </c>
      <c r="AF32" s="2803">
        <f t="shared" si="1"/>
        <v>1.44E-2</v>
      </c>
      <c r="AG32" s="2803">
        <f>ROUND(AVERAGE(K32:K$41)/100,4)</f>
        <v>2.06E-2</v>
      </c>
      <c r="AH32" s="2803">
        <f>ROUND(AVERAGE(L32:L$41)/100,4)</f>
        <v>1.23E-2</v>
      </c>
    </row>
    <row r="33" spans="1:34" ht="13.5" thickBot="1">
      <c r="A33" s="2804" t="s">
        <v>947</v>
      </c>
      <c r="B33" s="2805">
        <f t="shared" si="240"/>
        <v>346.720748986128</v>
      </c>
      <c r="C33" s="2805">
        <f t="shared" si="240"/>
        <v>284.30282172386285</v>
      </c>
      <c r="D33" s="2805">
        <f t="shared" si="241"/>
        <v>284.30282172386285</v>
      </c>
      <c r="E33" s="2805">
        <f t="shared" si="242"/>
        <v>479.58023546306947</v>
      </c>
      <c r="F33" s="2805">
        <f t="shared" si="242"/>
        <v>253.25788877571213</v>
      </c>
      <c r="G33" s="3740"/>
      <c r="H33" s="2806">
        <v>1</v>
      </c>
      <c r="I33" s="2806">
        <v>4.09</v>
      </c>
      <c r="J33" s="2806">
        <v>2.93</v>
      </c>
      <c r="K33" s="2806">
        <v>4.54</v>
      </c>
      <c r="L33" s="2812">
        <v>1.48</v>
      </c>
      <c r="N33" s="2807">
        <f t="shared" si="243"/>
        <v>4.0899999999999999E-2</v>
      </c>
      <c r="O33" s="2803">
        <f t="shared" si="239"/>
        <v>2.9300000000000003E-2</v>
      </c>
      <c r="P33" s="2803">
        <f t="shared" si="239"/>
        <v>4.5400000000000003E-2</v>
      </c>
      <c r="Q33" s="2803">
        <f t="shared" si="239"/>
        <v>1.4800000000000001E-2</v>
      </c>
      <c r="R33" s="2808"/>
      <c r="S33" s="2809">
        <f>B33/B34-1</f>
        <v>4.1203450408792808E-2</v>
      </c>
      <c r="T33" s="2810">
        <f>C33/C34-1</f>
        <v>2.6363977342465095E-2</v>
      </c>
      <c r="U33" s="2810">
        <f>E33/E34-1</f>
        <v>4.4837114298626357E-2</v>
      </c>
      <c r="V33" s="2810">
        <f>F33/F34-1</f>
        <v>1.7099954922538574E-2</v>
      </c>
      <c r="X33" s="2802">
        <f>ROUND(SUMPRODUCT(PRODUCT(1+N33:N$40)),4)</f>
        <v>1.1269</v>
      </c>
      <c r="Y33" s="2802">
        <f>ROUND(SUMPRODUCT(PRODUCT(1+O33:O$40)),4)</f>
        <v>1.1052999999999999</v>
      </c>
      <c r="Z33" s="2802">
        <f t="shared" si="0"/>
        <v>1.1052999999999999</v>
      </c>
      <c r="AA33" s="2802">
        <f>ROUND(SUMPRODUCT(PRODUCT(1+P33:P$40)),4)</f>
        <v>1.1349</v>
      </c>
      <c r="AB33" s="2802">
        <f>ROUND(SUMPRODUCT(PRODUCT(1+Q33:Q$40)),4)</f>
        <v>1.0996999999999999</v>
      </c>
      <c r="AD33" s="2803">
        <f>ROUND(AVERAGE(I33:I$41)/100,4)</f>
        <v>1.67E-2</v>
      </c>
      <c r="AE33" s="2803">
        <f>ROUND(AVERAGE(J33:J$41)/100,4)</f>
        <v>1.38E-2</v>
      </c>
      <c r="AF33" s="2803">
        <f t="shared" si="1"/>
        <v>1.38E-2</v>
      </c>
      <c r="AG33" s="2803">
        <f>ROUND(AVERAGE(K33:K$41)/100,4)</f>
        <v>1.7899999999999999E-2</v>
      </c>
      <c r="AH33" s="2803">
        <f>ROUND(AVERAGE(L33:L$41)/100,4)</f>
        <v>1.21E-2</v>
      </c>
    </row>
    <row r="34" spans="1:34" ht="13.5" thickBot="1">
      <c r="A34" s="2804" t="s">
        <v>946</v>
      </c>
      <c r="B34" s="2826">
        <v>333</v>
      </c>
      <c r="C34" s="2826">
        <v>277</v>
      </c>
      <c r="D34" s="2826">
        <f t="shared" si="241"/>
        <v>277</v>
      </c>
      <c r="E34" s="2826">
        <v>459</v>
      </c>
      <c r="F34" s="2827">
        <v>249</v>
      </c>
      <c r="G34" s="3738">
        <v>2015</v>
      </c>
      <c r="H34" s="2828">
        <v>4</v>
      </c>
      <c r="I34" s="2828">
        <v>1.63</v>
      </c>
      <c r="J34" s="2828">
        <v>1.1100000000000001</v>
      </c>
      <c r="K34" s="2828">
        <v>1.77</v>
      </c>
      <c r="L34" s="2829">
        <v>1.89</v>
      </c>
      <c r="N34" s="2823">
        <f t="shared" si="243"/>
        <v>1.6299999999999999E-2</v>
      </c>
      <c r="O34" s="2824">
        <f t="shared" si="239"/>
        <v>1.11E-2</v>
      </c>
      <c r="P34" s="2824">
        <f t="shared" si="239"/>
        <v>1.77E-2</v>
      </c>
      <c r="Q34" s="2824">
        <f t="shared" si="239"/>
        <v>1.89E-2</v>
      </c>
      <c r="R34" s="2808"/>
      <c r="X34" s="2802">
        <f>ROUND(SUMPRODUCT(PRODUCT(1+N34:N$40)),4)</f>
        <v>1.0826</v>
      </c>
      <c r="Y34" s="2802">
        <f>ROUND(SUMPRODUCT(PRODUCT(1+O34:O$40)),4)</f>
        <v>1.0738000000000001</v>
      </c>
      <c r="Z34" s="2802">
        <f t="shared" si="0"/>
        <v>1.0738000000000001</v>
      </c>
      <c r="AA34" s="2802">
        <f>ROUND(SUMPRODUCT(PRODUCT(1+P34:P$40)),4)</f>
        <v>1.0855999999999999</v>
      </c>
      <c r="AB34" s="2802">
        <f>ROUND(SUMPRODUCT(PRODUCT(1+Q34:Q$40)),4)</f>
        <v>1.0837000000000001</v>
      </c>
      <c r="AD34" s="2803">
        <f>ROUND(AVERAGE(I34:I$41)/100,4)</f>
        <v>1.37E-2</v>
      </c>
      <c r="AE34" s="2803">
        <f>ROUND(AVERAGE(J34:J$41)/100,4)</f>
        <v>1.1900000000000001E-2</v>
      </c>
      <c r="AF34" s="2803">
        <f t="shared" si="1"/>
        <v>1.1900000000000001E-2</v>
      </c>
      <c r="AG34" s="2803">
        <f>ROUND(AVERAGE(K34:K$41)/100,4)</f>
        <v>1.4500000000000001E-2</v>
      </c>
      <c r="AH34" s="2803">
        <f>ROUND(AVERAGE(L34:L$41)/100,4)</f>
        <v>1.18E-2</v>
      </c>
    </row>
    <row r="35" spans="1:34">
      <c r="A35" s="2804" t="s">
        <v>945</v>
      </c>
      <c r="B35" s="2805">
        <f t="shared" ref="B35:C37" si="244">B34/(1+N34)</f>
        <v>327.65915576109415</v>
      </c>
      <c r="C35" s="2805">
        <f t="shared" si="244"/>
        <v>273.95905449510434</v>
      </c>
      <c r="D35" s="2805">
        <f t="shared" si="241"/>
        <v>273.95905449510434</v>
      </c>
      <c r="E35" s="2805">
        <f t="shared" ref="E35:F37" si="245">E34/(1+P34)</f>
        <v>451.01699911565294</v>
      </c>
      <c r="F35" s="2805">
        <f t="shared" si="245"/>
        <v>244.38119540681129</v>
      </c>
      <c r="G35" s="3739"/>
      <c r="H35" s="2831">
        <v>3</v>
      </c>
      <c r="I35" s="2831">
        <v>1.65</v>
      </c>
      <c r="J35" s="2831">
        <v>0.92</v>
      </c>
      <c r="K35" s="2831">
        <v>1.88</v>
      </c>
      <c r="L35" s="2832">
        <v>1.26</v>
      </c>
      <c r="N35" s="2807">
        <f t="shared" si="243"/>
        <v>1.6500000000000001E-2</v>
      </c>
      <c r="O35" s="2825">
        <f t="shared" si="239"/>
        <v>9.1999999999999998E-3</v>
      </c>
      <c r="P35" s="2825">
        <f t="shared" si="239"/>
        <v>1.8799999999999997E-2</v>
      </c>
      <c r="Q35" s="2825">
        <f t="shared" si="239"/>
        <v>1.26E-2</v>
      </c>
      <c r="R35" s="2808"/>
      <c r="S35" s="2807"/>
      <c r="T35" s="2803"/>
      <c r="U35" s="2803"/>
      <c r="V35" s="2803"/>
      <c r="X35" s="2802">
        <f>ROUND(SUMPRODUCT(PRODUCT(1+N35:N$40)),4)</f>
        <v>1.0651999999999999</v>
      </c>
      <c r="Y35" s="2802">
        <f>ROUND(SUMPRODUCT(PRODUCT(1+O35:O$40)),4)</f>
        <v>1.0621</v>
      </c>
      <c r="Z35" s="2802">
        <f t="shared" si="0"/>
        <v>1.0621</v>
      </c>
      <c r="AA35" s="2802">
        <f>ROUND(SUMPRODUCT(PRODUCT(1+P35:P$40)),4)</f>
        <v>1.0668</v>
      </c>
      <c r="AB35" s="2802">
        <f>ROUND(SUMPRODUCT(PRODUCT(1+Q35:Q$40)),4)</f>
        <v>1.0636000000000001</v>
      </c>
      <c r="AD35" s="2803">
        <f>ROUND(AVERAGE(I35:I$41)/100,4)</f>
        <v>1.3299999999999999E-2</v>
      </c>
      <c r="AE35" s="2803">
        <f>ROUND(AVERAGE(J35:J$41)/100,4)</f>
        <v>1.2E-2</v>
      </c>
      <c r="AF35" s="2803">
        <f t="shared" si="1"/>
        <v>1.2E-2</v>
      </c>
      <c r="AG35" s="2803">
        <f>ROUND(AVERAGE(K35:K$41)/100,4)</f>
        <v>1.4E-2</v>
      </c>
      <c r="AH35" s="2803">
        <f>ROUND(AVERAGE(L35:L$41)/100,4)</f>
        <v>1.0800000000000001E-2</v>
      </c>
    </row>
    <row r="36" spans="1:34">
      <c r="A36" s="2804" t="s">
        <v>944</v>
      </c>
      <c r="B36" s="2805">
        <f t="shared" si="244"/>
        <v>322.34053690220776</v>
      </c>
      <c r="C36" s="2805">
        <f t="shared" si="244"/>
        <v>271.46160770422546</v>
      </c>
      <c r="D36" s="2805">
        <f t="shared" si="241"/>
        <v>271.46160770422546</v>
      </c>
      <c r="E36" s="2805">
        <f t="shared" si="245"/>
        <v>442.69434542172456</v>
      </c>
      <c r="F36" s="2805">
        <f t="shared" si="245"/>
        <v>241.34030753190925</v>
      </c>
      <c r="G36" s="3739"/>
      <c r="H36" s="2819">
        <v>2</v>
      </c>
      <c r="I36" s="2819">
        <v>0.77</v>
      </c>
      <c r="J36" s="2819">
        <v>0.69</v>
      </c>
      <c r="K36" s="2819">
        <v>0.8</v>
      </c>
      <c r="L36" s="2820">
        <v>0.88</v>
      </c>
      <c r="N36" s="2807">
        <f t="shared" si="243"/>
        <v>7.7000000000000002E-3</v>
      </c>
      <c r="O36" s="2825">
        <f t="shared" si="239"/>
        <v>6.8999999999999999E-3</v>
      </c>
      <c r="P36" s="2825">
        <f t="shared" si="239"/>
        <v>8.0000000000000002E-3</v>
      </c>
      <c r="Q36" s="2825">
        <f t="shared" si="239"/>
        <v>8.8000000000000005E-3</v>
      </c>
      <c r="R36" s="2808"/>
      <c r="S36" s="2807"/>
      <c r="T36" s="2803"/>
      <c r="U36" s="2803"/>
      <c r="V36" s="2803"/>
      <c r="X36" s="2802">
        <f>ROUND(SUMPRODUCT(PRODUCT(1+N36:N$40)),4)</f>
        <v>1.048</v>
      </c>
      <c r="Y36" s="2802">
        <f>ROUND(SUMPRODUCT(PRODUCT(1+O36:O$40)),4)</f>
        <v>1.0524</v>
      </c>
      <c r="Z36" s="2802">
        <f t="shared" si="0"/>
        <v>1.0524</v>
      </c>
      <c r="AA36" s="2802">
        <f>ROUND(SUMPRODUCT(PRODUCT(1+P36:P$40)),4)</f>
        <v>1.0470999999999999</v>
      </c>
      <c r="AB36" s="2802">
        <f>ROUND(SUMPRODUCT(PRODUCT(1+Q36:Q$40)),4)</f>
        <v>1.0504</v>
      </c>
      <c r="AD36" s="2803">
        <f>ROUND(AVERAGE(I36:I$41)/100,4)</f>
        <v>1.2800000000000001E-2</v>
      </c>
      <c r="AE36" s="2803">
        <f>ROUND(AVERAGE(J36:J$41)/100,4)</f>
        <v>1.2500000000000001E-2</v>
      </c>
      <c r="AF36" s="2803">
        <f t="shared" si="1"/>
        <v>1.2500000000000001E-2</v>
      </c>
      <c r="AG36" s="2803">
        <f>ROUND(AVERAGE(K36:K$41)/100,4)</f>
        <v>1.32E-2</v>
      </c>
      <c r="AH36" s="2803">
        <f>ROUND(AVERAGE(L36:L$41)/100,4)</f>
        <v>1.0500000000000001E-2</v>
      </c>
    </row>
    <row r="37" spans="1:34">
      <c r="A37" s="2804" t="s">
        <v>943</v>
      </c>
      <c r="B37" s="2805">
        <f t="shared" si="244"/>
        <v>319.87748030386797</v>
      </c>
      <c r="C37" s="2805">
        <f t="shared" si="244"/>
        <v>269.60135833173649</v>
      </c>
      <c r="D37" s="2805">
        <f t="shared" si="241"/>
        <v>269.60135833173649</v>
      </c>
      <c r="E37" s="2805">
        <f t="shared" si="245"/>
        <v>439.18089823583784</v>
      </c>
      <c r="F37" s="2805">
        <f t="shared" si="245"/>
        <v>239.23503918706311</v>
      </c>
      <c r="G37" s="3740"/>
      <c r="H37" s="2806">
        <v>1</v>
      </c>
      <c r="I37" s="2806">
        <v>0.51</v>
      </c>
      <c r="J37" s="2806">
        <v>0.54</v>
      </c>
      <c r="K37" s="2806">
        <v>0.48</v>
      </c>
      <c r="L37" s="2812">
        <v>0.93</v>
      </c>
      <c r="N37" s="2809">
        <f t="shared" si="243"/>
        <v>5.1000000000000004E-3</v>
      </c>
      <c r="O37" s="2810">
        <f t="shared" si="239"/>
        <v>5.4000000000000003E-3</v>
      </c>
      <c r="P37" s="2810">
        <f t="shared" si="239"/>
        <v>4.7999999999999996E-3</v>
      </c>
      <c r="Q37" s="2810">
        <f t="shared" si="239"/>
        <v>9.300000000000001E-3</v>
      </c>
      <c r="R37" s="2808"/>
      <c r="S37" s="2809">
        <f>B37/B38-1</f>
        <v>5.9040261127922822E-3</v>
      </c>
      <c r="T37" s="2810">
        <f>C37/C38-1</f>
        <v>5.9752176557332781E-3</v>
      </c>
      <c r="U37" s="2810">
        <f>E37/E38-1</f>
        <v>4.9906138119859556E-3</v>
      </c>
      <c r="V37" s="2810">
        <f>F37/F38-1</f>
        <v>9.4305450930933787E-3</v>
      </c>
      <c r="X37" s="2802">
        <f>ROUND(SUMPRODUCT(PRODUCT(1+N37:N$40)),4)</f>
        <v>1.0399</v>
      </c>
      <c r="Y37" s="2802">
        <f>ROUND(SUMPRODUCT(PRODUCT(1+O37:O$40)),4)</f>
        <v>1.0451999999999999</v>
      </c>
      <c r="Z37" s="2802">
        <f t="shared" si="0"/>
        <v>1.0451999999999999</v>
      </c>
      <c r="AA37" s="2802">
        <f>ROUND(SUMPRODUCT(PRODUCT(1+P37:P$40)),4)</f>
        <v>1.0387999999999999</v>
      </c>
      <c r="AB37" s="2802">
        <f>ROUND(SUMPRODUCT(PRODUCT(1+Q37:Q$40)),4)</f>
        <v>1.0411999999999999</v>
      </c>
      <c r="AD37" s="2803">
        <f>ROUND(AVERAGE(I37:I$41)/100,4)</f>
        <v>1.38E-2</v>
      </c>
      <c r="AE37" s="2803">
        <f>ROUND(AVERAGE(J37:J$41)/100,4)</f>
        <v>1.3599999999999999E-2</v>
      </c>
      <c r="AF37" s="2803">
        <f t="shared" si="1"/>
        <v>1.3599999999999999E-2</v>
      </c>
      <c r="AG37" s="2803">
        <f>ROUND(AVERAGE(K37:K$41)/100,4)</f>
        <v>1.4200000000000001E-2</v>
      </c>
      <c r="AH37" s="2803">
        <f>ROUND(AVERAGE(L37:L$41)/100,4)</f>
        <v>1.0800000000000001E-2</v>
      </c>
    </row>
    <row r="38" spans="1:34" ht="13.5" thickBot="1">
      <c r="A38" s="2804" t="s">
        <v>942</v>
      </c>
      <c r="B38" s="2833">
        <v>318</v>
      </c>
      <c r="C38" s="2833">
        <v>268</v>
      </c>
      <c r="D38" s="2833">
        <f t="shared" si="241"/>
        <v>268</v>
      </c>
      <c r="E38" s="2833">
        <v>437</v>
      </c>
      <c r="F38" s="2834">
        <v>237</v>
      </c>
      <c r="G38" s="3738">
        <v>2014</v>
      </c>
      <c r="H38" s="2828">
        <v>4</v>
      </c>
      <c r="I38" s="2828">
        <v>0.21</v>
      </c>
      <c r="J38" s="2828">
        <v>0.41</v>
      </c>
      <c r="K38" s="2828">
        <v>0.12</v>
      </c>
      <c r="L38" s="2829">
        <v>0.89</v>
      </c>
      <c r="N38" s="2807">
        <f t="shared" si="243"/>
        <v>2.0999999999999999E-3</v>
      </c>
      <c r="O38" s="2803">
        <f t="shared" si="239"/>
        <v>4.0999999999999995E-3</v>
      </c>
      <c r="P38" s="2803">
        <f t="shared" si="239"/>
        <v>1.1999999999999999E-3</v>
      </c>
      <c r="Q38" s="2803">
        <f t="shared" si="239"/>
        <v>8.8999999999999999E-3</v>
      </c>
      <c r="R38" s="2808"/>
      <c r="S38" s="2817"/>
      <c r="T38" s="2818"/>
      <c r="U38" s="2818"/>
      <c r="V38" s="2818"/>
      <c r="X38" s="2802">
        <f>ROUND(SUMPRODUCT(PRODUCT(1+N38:N$40)),4)</f>
        <v>1.0347</v>
      </c>
      <c r="Y38" s="2802">
        <f>ROUND(SUMPRODUCT(PRODUCT(1+O38:O$40)),4)</f>
        <v>1.0395000000000001</v>
      </c>
      <c r="Z38" s="2802">
        <f t="shared" si="0"/>
        <v>1.0395000000000001</v>
      </c>
      <c r="AA38" s="2802">
        <f>ROUND(SUMPRODUCT(PRODUCT(1+P38:P$40)),4)</f>
        <v>1.0338000000000001</v>
      </c>
      <c r="AB38" s="2802">
        <f>ROUND(SUMPRODUCT(PRODUCT(1+Q38:Q$40)),4)</f>
        <v>1.0316000000000001</v>
      </c>
      <c r="AD38" s="2803">
        <f>ROUND(AVERAGE(I38:I$41)/100,4)</f>
        <v>1.6E-2</v>
      </c>
      <c r="AE38" s="2803">
        <f>ROUND(AVERAGE(J38:J$41)/100,4)</f>
        <v>1.5599999999999999E-2</v>
      </c>
      <c r="AF38" s="2803">
        <f t="shared" si="1"/>
        <v>1.5599999999999999E-2</v>
      </c>
      <c r="AG38" s="2803">
        <f>ROUND(AVERAGE(K38:K$41)/100,4)</f>
        <v>1.66E-2</v>
      </c>
      <c r="AH38" s="2803">
        <f>ROUND(AVERAGE(L38:L$41)/100,4)</f>
        <v>1.12E-2</v>
      </c>
    </row>
    <row r="39" spans="1:34">
      <c r="A39" s="2804" t="s">
        <v>941</v>
      </c>
      <c r="B39" s="2805">
        <f t="shared" ref="B39:C41" si="246">B38/(1+N38)</f>
        <v>317.33359944117353</v>
      </c>
      <c r="C39" s="2805">
        <f t="shared" si="246"/>
        <v>266.90568668459315</v>
      </c>
      <c r="D39" s="2805">
        <f t="shared" si="241"/>
        <v>266.90568668459315</v>
      </c>
      <c r="E39" s="2805">
        <f t="shared" ref="E39:F41" si="247">E38/(1+P38)</f>
        <v>436.47622852576905</v>
      </c>
      <c r="F39" s="2805">
        <f t="shared" si="247"/>
        <v>234.90930716622066</v>
      </c>
      <c r="G39" s="3739"/>
      <c r="H39" s="2835">
        <v>3</v>
      </c>
      <c r="I39" s="2835">
        <v>0.83</v>
      </c>
      <c r="J39" s="2835">
        <v>1.47</v>
      </c>
      <c r="K39" s="2835">
        <v>0.65</v>
      </c>
      <c r="L39" s="2836">
        <v>0.72</v>
      </c>
      <c r="N39" s="2807">
        <f t="shared" si="243"/>
        <v>8.3000000000000001E-3</v>
      </c>
      <c r="O39" s="2803">
        <f t="shared" si="239"/>
        <v>1.47E-2</v>
      </c>
      <c r="P39" s="2803">
        <f t="shared" si="239"/>
        <v>6.5000000000000006E-3</v>
      </c>
      <c r="Q39" s="2803">
        <f t="shared" si="239"/>
        <v>7.1999999999999998E-3</v>
      </c>
      <c r="R39" s="2808"/>
      <c r="S39" s="2807"/>
      <c r="T39" s="2803"/>
      <c r="U39" s="2803"/>
      <c r="V39" s="2803"/>
      <c r="X39" s="2802">
        <f>ROUND(SUMPRODUCT(PRODUCT(1+N39:N$40)),4)</f>
        <v>1.0325</v>
      </c>
      <c r="Y39" s="2802">
        <f>ROUND(SUMPRODUCT(PRODUCT(1+O39:O$40)),4)</f>
        <v>1.0353000000000001</v>
      </c>
      <c r="Z39" s="2802">
        <f t="shared" ref="Z39:Z40" si="248">Y39</f>
        <v>1.0353000000000001</v>
      </c>
      <c r="AA39" s="2802">
        <f>ROUND(SUMPRODUCT(PRODUCT(1+P39:P$40)),4)</f>
        <v>1.0326</v>
      </c>
      <c r="AB39" s="2802">
        <f>ROUND(SUMPRODUCT(PRODUCT(1+Q39:Q$40)),4)</f>
        <v>1.0225</v>
      </c>
      <c r="AD39" s="2803">
        <f>ROUND(AVERAGE(I39:I$41)/100,4)</f>
        <v>2.07E-2</v>
      </c>
      <c r="AE39" s="2803">
        <f>ROUND(AVERAGE(J39:J$41)/100,4)</f>
        <v>1.95E-2</v>
      </c>
      <c r="AF39" s="2803">
        <f t="shared" si="1"/>
        <v>1.95E-2</v>
      </c>
      <c r="AG39" s="2803">
        <f>ROUND(AVERAGE(K39:K$41)/100,4)</f>
        <v>2.1700000000000001E-2</v>
      </c>
      <c r="AH39" s="2803">
        <f>ROUND(AVERAGE(L39:L$41)/100,4)</f>
        <v>1.2E-2</v>
      </c>
    </row>
    <row r="40" spans="1:34" ht="13.5" thickBot="1">
      <c r="A40" s="2804" t="s">
        <v>940</v>
      </c>
      <c r="B40" s="2805">
        <f t="shared" si="246"/>
        <v>314.72141172386546</v>
      </c>
      <c r="C40" s="2805">
        <f t="shared" si="246"/>
        <v>263.03901319069001</v>
      </c>
      <c r="D40" s="2805">
        <f t="shared" si="241"/>
        <v>263.03901319069001</v>
      </c>
      <c r="E40" s="2805">
        <f t="shared" si="247"/>
        <v>433.65745506782821</v>
      </c>
      <c r="F40" s="2805">
        <f t="shared" si="247"/>
        <v>233.23005080045735</v>
      </c>
      <c r="G40" s="3739"/>
      <c r="H40" s="2828">
        <v>2</v>
      </c>
      <c r="I40" s="2828">
        <v>2.4</v>
      </c>
      <c r="J40" s="2828">
        <v>2.0299999999999998</v>
      </c>
      <c r="K40" s="2828">
        <v>2.59</v>
      </c>
      <c r="L40" s="2829">
        <v>1.52</v>
      </c>
      <c r="N40" s="2807">
        <f t="shared" si="243"/>
        <v>2.4E-2</v>
      </c>
      <c r="O40" s="2803">
        <f t="shared" si="239"/>
        <v>2.0299999999999999E-2</v>
      </c>
      <c r="P40" s="2803">
        <f t="shared" si="239"/>
        <v>2.5899999999999999E-2</v>
      </c>
      <c r="Q40" s="2803">
        <f t="shared" si="239"/>
        <v>1.52E-2</v>
      </c>
      <c r="R40" s="2808"/>
      <c r="S40" s="2807"/>
      <c r="T40" s="2803"/>
      <c r="U40" s="2803"/>
      <c r="V40" s="2803"/>
      <c r="X40" s="2802">
        <f>1+N40</f>
        <v>1.024</v>
      </c>
      <c r="Y40" s="2802">
        <f>1+O40</f>
        <v>1.0203</v>
      </c>
      <c r="Z40" s="2802">
        <f t="shared" si="248"/>
        <v>1.0203</v>
      </c>
      <c r="AA40" s="2802">
        <f>1+P40</f>
        <v>1.0259</v>
      </c>
      <c r="AB40" s="2802">
        <f>1+Q40</f>
        <v>1.0152000000000001</v>
      </c>
      <c r="AD40" s="2803">
        <f>ROUND(AVERAGE(I40:I$41)/100,4)</f>
        <v>2.69E-2</v>
      </c>
      <c r="AE40" s="2803">
        <f>ROUND(AVERAGE(J40:J$41)/100,4)</f>
        <v>2.1899999999999999E-2</v>
      </c>
      <c r="AF40" s="2803">
        <f t="shared" ref="AF40" si="249">AE40</f>
        <v>2.1899999999999999E-2</v>
      </c>
      <c r="AG40" s="2803">
        <f>ROUND(AVERAGE(K40:K$41)/100,4)</f>
        <v>2.9399999999999999E-2</v>
      </c>
      <c r="AH40" s="2803">
        <f>ROUND(AVERAGE(L40:L$41)/100,4)</f>
        <v>1.44E-2</v>
      </c>
    </row>
    <row r="41" spans="1:34" s="2841" customFormat="1" ht="13.5" thickBot="1">
      <c r="A41" s="2837" t="s">
        <v>939</v>
      </c>
      <c r="B41" s="2838">
        <f t="shared" si="246"/>
        <v>307.34512863658733</v>
      </c>
      <c r="C41" s="2838">
        <f t="shared" si="246"/>
        <v>257.80556031626975</v>
      </c>
      <c r="D41" s="2838">
        <f t="shared" si="241"/>
        <v>257.80556031626975</v>
      </c>
      <c r="E41" s="2838">
        <f t="shared" si="247"/>
        <v>422.70928459677179</v>
      </c>
      <c r="F41" s="2838">
        <f t="shared" si="247"/>
        <v>229.73803270336617</v>
      </c>
      <c r="G41" s="3740"/>
      <c r="H41" s="2839">
        <v>1</v>
      </c>
      <c r="I41" s="2839">
        <v>2.97</v>
      </c>
      <c r="J41" s="2839">
        <v>2.34</v>
      </c>
      <c r="K41" s="2839">
        <v>3.28</v>
      </c>
      <c r="L41" s="2840">
        <v>1.36</v>
      </c>
      <c r="N41" s="2842">
        <f t="shared" si="243"/>
        <v>2.9700000000000001E-2</v>
      </c>
      <c r="O41" s="2843">
        <f t="shared" si="239"/>
        <v>2.3399999999999997E-2</v>
      </c>
      <c r="P41" s="2843">
        <f t="shared" si="239"/>
        <v>3.2799999999999996E-2</v>
      </c>
      <c r="Q41" s="2843">
        <f t="shared" si="239"/>
        <v>1.3600000000000001E-2</v>
      </c>
      <c r="R41" s="2844"/>
      <c r="S41" s="2845">
        <f>B41/B42-1</f>
        <v>2.7910129219355539E-2</v>
      </c>
      <c r="T41" s="2846">
        <f>C41/C42-1</f>
        <v>2.3037937762975247E-2</v>
      </c>
      <c r="U41" s="2846">
        <f>E41/E42-1</f>
        <v>3.3519033243940788E-2</v>
      </c>
      <c r="V41" s="2846">
        <f>F41/F42-1</f>
        <v>1.2061818076502862E-2</v>
      </c>
      <c r="W41" s="2847" t="s">
        <v>2357</v>
      </c>
      <c r="X41" s="2848">
        <v>1</v>
      </c>
      <c r="Y41" s="2848">
        <v>1</v>
      </c>
      <c r="Z41" s="2848">
        <v>1</v>
      </c>
      <c r="AA41" s="2848">
        <v>1</v>
      </c>
      <c r="AB41" s="2848">
        <v>1</v>
      </c>
      <c r="AD41" s="2843">
        <f>I41/100</f>
        <v>2.9700000000000001E-2</v>
      </c>
      <c r="AE41" s="2843">
        <f>J41/100</f>
        <v>2.3399999999999997E-2</v>
      </c>
      <c r="AF41" s="2843">
        <f>AE41</f>
        <v>2.3399999999999997E-2</v>
      </c>
      <c r="AG41" s="2843">
        <f>K41/100</f>
        <v>3.2799999999999996E-2</v>
      </c>
      <c r="AH41" s="2843">
        <f>L41/100</f>
        <v>1.3600000000000001E-2</v>
      </c>
    </row>
    <row r="42" spans="1:34" ht="13.5" thickBot="1">
      <c r="A42" s="2804" t="s">
        <v>2300</v>
      </c>
      <c r="B42" s="2826">
        <v>299</v>
      </c>
      <c r="C42" s="2826">
        <v>252</v>
      </c>
      <c r="D42" s="2826">
        <f t="shared" si="241"/>
        <v>252</v>
      </c>
      <c r="E42" s="2826">
        <v>409</v>
      </c>
      <c r="F42" s="2827">
        <v>227</v>
      </c>
      <c r="G42" s="3741">
        <v>2013</v>
      </c>
      <c r="H42" s="2849">
        <v>4</v>
      </c>
      <c r="I42" s="2849">
        <v>1.83</v>
      </c>
      <c r="J42" s="2849">
        <v>1.68</v>
      </c>
      <c r="K42" s="2849">
        <v>1.97</v>
      </c>
      <c r="L42" s="2850">
        <v>0.87</v>
      </c>
      <c r="N42" s="2823">
        <f t="shared" si="243"/>
        <v>1.83E-2</v>
      </c>
      <c r="O42" s="2824">
        <f t="shared" si="239"/>
        <v>1.6799999999999999E-2</v>
      </c>
      <c r="P42" s="2824">
        <f t="shared" si="239"/>
        <v>1.9699999999999999E-2</v>
      </c>
      <c r="Q42" s="2824">
        <f t="shared" si="239"/>
        <v>8.6999999999999994E-3</v>
      </c>
      <c r="R42" s="2808"/>
      <c r="S42" s="2817"/>
      <c r="T42" s="2818"/>
      <c r="U42" s="2818"/>
      <c r="V42" s="2818"/>
      <c r="X42" s="2818"/>
      <c r="Y42" s="2818"/>
      <c r="Z42" s="2818"/>
    </row>
    <row r="43" spans="1:34">
      <c r="A43" s="2804" t="s">
        <v>2301</v>
      </c>
      <c r="B43" s="2805">
        <f t="shared" ref="B43:C45" si="250">B42/(1+N42)</f>
        <v>293.62663262299913</v>
      </c>
      <c r="C43" s="2805">
        <f t="shared" si="250"/>
        <v>247.83634933123525</v>
      </c>
      <c r="D43" s="2805">
        <f t="shared" si="241"/>
        <v>247.83634933123525</v>
      </c>
      <c r="E43" s="2805">
        <f t="shared" ref="E43:F45" si="251">E42/(1+P42)</f>
        <v>401.09836226341076</v>
      </c>
      <c r="F43" s="2805">
        <f t="shared" si="251"/>
        <v>225.04213343908003</v>
      </c>
      <c r="G43" s="3742"/>
      <c r="H43" s="2831">
        <v>3</v>
      </c>
      <c r="I43" s="2831">
        <v>1.86</v>
      </c>
      <c r="J43" s="2831">
        <v>1.72</v>
      </c>
      <c r="K43" s="2831">
        <v>1.98</v>
      </c>
      <c r="L43" s="2832">
        <v>0.88</v>
      </c>
      <c r="N43" s="2807">
        <f t="shared" si="243"/>
        <v>1.8600000000000002E-2</v>
      </c>
      <c r="O43" s="2825">
        <f t="shared" si="239"/>
        <v>1.72E-2</v>
      </c>
      <c r="P43" s="2825">
        <f t="shared" si="239"/>
        <v>1.9799999999999998E-2</v>
      </c>
      <c r="Q43" s="2825">
        <f t="shared" si="239"/>
        <v>8.8000000000000005E-3</v>
      </c>
      <c r="R43" s="2808"/>
      <c r="S43" s="2807"/>
      <c r="T43" s="2803"/>
      <c r="U43" s="2803"/>
      <c r="V43" s="2803"/>
    </row>
    <row r="44" spans="1:34">
      <c r="A44" s="2804" t="s">
        <v>2302</v>
      </c>
      <c r="B44" s="2805">
        <f t="shared" si="250"/>
        <v>288.2649053828776</v>
      </c>
      <c r="C44" s="2805">
        <f t="shared" si="250"/>
        <v>243.64564425013293</v>
      </c>
      <c r="D44" s="2805">
        <f t="shared" si="241"/>
        <v>243.64564425013293</v>
      </c>
      <c r="E44" s="2805">
        <f t="shared" si="251"/>
        <v>393.31080825986544</v>
      </c>
      <c r="F44" s="2805">
        <f t="shared" si="251"/>
        <v>223.07903790551154</v>
      </c>
      <c r="G44" s="3742"/>
      <c r="H44" s="2819">
        <v>2</v>
      </c>
      <c r="I44" s="2819">
        <v>2.04</v>
      </c>
      <c r="J44" s="2819">
        <v>2.33</v>
      </c>
      <c r="K44" s="2819">
        <v>2.0699999999999998</v>
      </c>
      <c r="L44" s="2820">
        <v>0.69</v>
      </c>
      <c r="N44" s="2807">
        <f t="shared" si="243"/>
        <v>2.0400000000000001E-2</v>
      </c>
      <c r="O44" s="2825">
        <f t="shared" si="239"/>
        <v>2.3300000000000001E-2</v>
      </c>
      <c r="P44" s="2825">
        <f t="shared" si="239"/>
        <v>2.07E-2</v>
      </c>
      <c r="Q44" s="2825">
        <f t="shared" si="239"/>
        <v>6.8999999999999999E-3</v>
      </c>
      <c r="R44" s="2808"/>
      <c r="S44" s="2807"/>
      <c r="T44" s="2803"/>
      <c r="U44" s="2803"/>
      <c r="V44" s="2803"/>
      <c r="X44" s="2851"/>
      <c r="Y44" s="2852"/>
    </row>
    <row r="45" spans="1:34">
      <c r="A45" s="2804" t="s">
        <v>2303</v>
      </c>
      <c r="B45" s="2805">
        <f t="shared" si="250"/>
        <v>282.50186729015837</v>
      </c>
      <c r="C45" s="2805">
        <f t="shared" si="250"/>
        <v>238.09796174155468</v>
      </c>
      <c r="D45" s="2805">
        <f t="shared" si="241"/>
        <v>238.09796174155468</v>
      </c>
      <c r="E45" s="2805">
        <f t="shared" si="251"/>
        <v>385.33438646014054</v>
      </c>
      <c r="F45" s="2805">
        <f t="shared" si="251"/>
        <v>221.55034055567739</v>
      </c>
      <c r="G45" s="3743"/>
      <c r="H45" s="2806">
        <v>1</v>
      </c>
      <c r="I45" s="2806">
        <v>1.67</v>
      </c>
      <c r="J45" s="2806">
        <v>1.31</v>
      </c>
      <c r="K45" s="2806">
        <v>1.85</v>
      </c>
      <c r="L45" s="2812">
        <v>0.96</v>
      </c>
      <c r="N45" s="2809">
        <f t="shared" si="243"/>
        <v>1.67E-2</v>
      </c>
      <c r="O45" s="2810">
        <f t="shared" si="239"/>
        <v>1.3100000000000001E-2</v>
      </c>
      <c r="P45" s="2810">
        <f t="shared" si="239"/>
        <v>1.8500000000000003E-2</v>
      </c>
      <c r="Q45" s="2810">
        <f t="shared" si="239"/>
        <v>9.5999999999999992E-3</v>
      </c>
      <c r="R45" s="2808"/>
      <c r="S45" s="2809">
        <f>B45/B46-1</f>
        <v>1.6193767230785472E-2</v>
      </c>
      <c r="T45" s="2810">
        <f>C45/C46-1</f>
        <v>1.7512657015190891E-2</v>
      </c>
      <c r="U45" s="2810">
        <f>E45/E46-1</f>
        <v>1.6713420739157048E-2</v>
      </c>
      <c r="V45" s="2810">
        <f>F45/F46-1</f>
        <v>7.0470025258062563E-3</v>
      </c>
      <c r="X45" s="2853"/>
      <c r="Y45" s="2803"/>
      <c r="Z45" s="2803"/>
    </row>
    <row r="46" spans="1:34" ht="13.5" thickBot="1">
      <c r="A46" s="2804" t="s">
        <v>2304</v>
      </c>
      <c r="B46" s="2854">
        <v>278</v>
      </c>
      <c r="C46" s="2854">
        <v>234</v>
      </c>
      <c r="D46" s="2854">
        <f t="shared" si="241"/>
        <v>234</v>
      </c>
      <c r="E46" s="2854">
        <v>379</v>
      </c>
      <c r="F46" s="2855">
        <v>220</v>
      </c>
      <c r="G46" s="3738">
        <v>2012</v>
      </c>
      <c r="H46" s="2828">
        <v>4</v>
      </c>
      <c r="I46" s="2828">
        <v>0.91</v>
      </c>
      <c r="J46" s="2828">
        <v>0.68</v>
      </c>
      <c r="K46" s="2828">
        <v>0.98</v>
      </c>
      <c r="L46" s="2829">
        <v>0.9</v>
      </c>
      <c r="N46" s="2807">
        <f t="shared" si="243"/>
        <v>9.1000000000000004E-3</v>
      </c>
      <c r="O46" s="2803">
        <f t="shared" si="243"/>
        <v>6.8000000000000005E-3</v>
      </c>
      <c r="P46" s="2803">
        <f t="shared" si="243"/>
        <v>9.7999999999999997E-3</v>
      </c>
      <c r="Q46" s="2803">
        <f t="shared" si="243"/>
        <v>9.0000000000000011E-3</v>
      </c>
      <c r="R46" s="2808"/>
      <c r="S46" s="2817"/>
      <c r="T46" s="2818"/>
      <c r="U46" s="2818"/>
      <c r="V46" s="2818"/>
      <c r="X46" s="2818"/>
      <c r="Y46" s="2818"/>
      <c r="Z46" s="2818"/>
    </row>
    <row r="47" spans="1:34">
      <c r="A47" s="2804" t="s">
        <v>2305</v>
      </c>
      <c r="B47" s="2805">
        <f>B46/(1+N46)</f>
        <v>275.49301357645425</v>
      </c>
      <c r="C47" s="2805">
        <f>C46/(1+O46)</f>
        <v>232.41954707985698</v>
      </c>
      <c r="D47" s="2805">
        <f t="shared" si="241"/>
        <v>232.41954707985698</v>
      </c>
      <c r="E47" s="2805">
        <f t="shared" ref="E47:F49" si="252">E46/(1+P46)</f>
        <v>375.32184591008121</v>
      </c>
      <c r="F47" s="2805">
        <f t="shared" si="252"/>
        <v>218.03766105054513</v>
      </c>
      <c r="G47" s="3739"/>
      <c r="H47" s="2831">
        <v>3</v>
      </c>
      <c r="I47" s="2831">
        <v>0.09</v>
      </c>
      <c r="J47" s="2831">
        <v>0.28999999999999998</v>
      </c>
      <c r="K47" s="2831">
        <v>-0.01</v>
      </c>
      <c r="L47" s="2832">
        <v>0.57999999999999996</v>
      </c>
      <c r="N47" s="2807">
        <f t="shared" si="243"/>
        <v>8.9999999999999998E-4</v>
      </c>
      <c r="O47" s="2803">
        <f t="shared" si="243"/>
        <v>2.8999999999999998E-3</v>
      </c>
      <c r="P47" s="2803">
        <f t="shared" si="243"/>
        <v>-1E-4</v>
      </c>
      <c r="Q47" s="2803">
        <f t="shared" si="243"/>
        <v>5.7999999999999996E-3</v>
      </c>
      <c r="R47" s="2808"/>
      <c r="S47" s="2807"/>
      <c r="T47" s="2803"/>
      <c r="U47" s="2803"/>
      <c r="V47" s="2803"/>
    </row>
    <row r="48" spans="1:34">
      <c r="A48" s="2804" t="s">
        <v>2306</v>
      </c>
      <c r="B48" s="2805">
        <f>B47/(1+N47)</f>
        <v>275.24529281292263</v>
      </c>
      <c r="C48" s="2805">
        <f>C47/(1+O47)</f>
        <v>231.74747938962707</v>
      </c>
      <c r="D48" s="2805">
        <f t="shared" si="241"/>
        <v>231.74747938962707</v>
      </c>
      <c r="E48" s="2805">
        <f t="shared" si="252"/>
        <v>375.35938184826603</v>
      </c>
      <c r="F48" s="2805">
        <f t="shared" si="252"/>
        <v>216.78033510692495</v>
      </c>
      <c r="G48" s="3739"/>
      <c r="H48" s="2819">
        <v>2</v>
      </c>
      <c r="I48" s="2819">
        <v>0.02</v>
      </c>
      <c r="J48" s="2819">
        <v>0.12</v>
      </c>
      <c r="K48" s="2819">
        <v>-0.08</v>
      </c>
      <c r="L48" s="2820">
        <v>1.24</v>
      </c>
      <c r="N48" s="2807">
        <f t="shared" si="243"/>
        <v>2.0000000000000001E-4</v>
      </c>
      <c r="O48" s="2803">
        <f t="shared" si="243"/>
        <v>1.1999999999999999E-3</v>
      </c>
      <c r="P48" s="2803">
        <f t="shared" si="243"/>
        <v>-8.0000000000000004E-4</v>
      </c>
      <c r="Q48" s="2803">
        <f t="shared" si="243"/>
        <v>1.24E-2</v>
      </c>
      <c r="R48" s="2808"/>
      <c r="S48" s="2807"/>
      <c r="T48" s="2803"/>
      <c r="U48" s="2803"/>
      <c r="V48" s="2803"/>
    </row>
    <row r="49" spans="1:26" ht="13.5" thickBot="1">
      <c r="A49" s="2804" t="s">
        <v>2307</v>
      </c>
      <c r="B49" s="2805">
        <f>B48/(1+N48)</f>
        <v>275.19025476197027</v>
      </c>
      <c r="C49" s="2856">
        <v>232</v>
      </c>
      <c r="D49" s="2856">
        <f t="shared" si="241"/>
        <v>232</v>
      </c>
      <c r="E49" s="2805">
        <f t="shared" si="252"/>
        <v>375.65990977608692</v>
      </c>
      <c r="F49" s="2805">
        <f t="shared" si="252"/>
        <v>214.12518283971252</v>
      </c>
      <c r="G49" s="3740"/>
      <c r="H49" s="2806">
        <v>1</v>
      </c>
      <c r="I49" s="2806">
        <v>0.02</v>
      </c>
      <c r="J49" s="2806">
        <v>0.13</v>
      </c>
      <c r="K49" s="2806">
        <v>-0.04</v>
      </c>
      <c r="L49" s="2812">
        <v>0.46</v>
      </c>
      <c r="N49" s="2807">
        <f t="shared" si="243"/>
        <v>2.0000000000000001E-4</v>
      </c>
      <c r="O49" s="2803">
        <f t="shared" si="243"/>
        <v>1.2999999999999999E-3</v>
      </c>
      <c r="P49" s="2803">
        <f t="shared" si="243"/>
        <v>-4.0000000000000002E-4</v>
      </c>
      <c r="Q49" s="2803">
        <f t="shared" si="243"/>
        <v>4.5999999999999999E-3</v>
      </c>
      <c r="R49" s="2808"/>
      <c r="S49" s="2809">
        <f>B49/B50-1</f>
        <v>6.9183549807361189E-4</v>
      </c>
      <c r="T49" s="2810">
        <f>C49/C50-1</f>
        <v>0</v>
      </c>
      <c r="U49" s="2810">
        <f>E49/E50-1</f>
        <v>-9.0449527636460303E-4</v>
      </c>
      <c r="V49" s="2810">
        <f>F49/F50-1</f>
        <v>5.2825485432512753E-3</v>
      </c>
      <c r="X49" s="2803"/>
      <c r="Y49" s="2803"/>
      <c r="Z49" s="2803"/>
    </row>
    <row r="50" spans="1:26" ht="13.5" thickBot="1">
      <c r="A50" s="2804" t="s">
        <v>2308</v>
      </c>
      <c r="B50" s="2826">
        <v>275</v>
      </c>
      <c r="C50" s="2826">
        <v>232</v>
      </c>
      <c r="D50" s="2826">
        <f t="shared" si="241"/>
        <v>232</v>
      </c>
      <c r="E50" s="2826">
        <v>376</v>
      </c>
      <c r="F50" s="2827">
        <v>213</v>
      </c>
      <c r="G50" s="3738">
        <v>2011</v>
      </c>
      <c r="H50" s="2828">
        <v>4</v>
      </c>
      <c r="I50" s="2828">
        <v>-0.2</v>
      </c>
      <c r="J50" s="2828">
        <v>0.04</v>
      </c>
      <c r="K50" s="2828">
        <v>-0.34</v>
      </c>
      <c r="L50" s="2829">
        <v>0.46</v>
      </c>
      <c r="N50" s="2823">
        <f t="shared" si="243"/>
        <v>-2E-3</v>
      </c>
      <c r="O50" s="2824">
        <f t="shared" si="243"/>
        <v>4.0000000000000002E-4</v>
      </c>
      <c r="P50" s="2824">
        <f t="shared" si="243"/>
        <v>-3.4000000000000002E-3</v>
      </c>
      <c r="Q50" s="2824">
        <f t="shared" si="243"/>
        <v>4.5999999999999999E-3</v>
      </c>
      <c r="R50" s="2808"/>
      <c r="S50" s="2817"/>
      <c r="T50" s="2818"/>
      <c r="U50" s="2818"/>
      <c r="V50" s="2818"/>
      <c r="X50" s="2818"/>
      <c r="Y50" s="2818"/>
      <c r="Z50" s="2818"/>
    </row>
    <row r="51" spans="1:26">
      <c r="A51" s="2804" t="s">
        <v>2309</v>
      </c>
      <c r="B51" s="2805">
        <f t="shared" ref="B51:C53" si="253">B50/(1+N50)</f>
        <v>275.55110220440883</v>
      </c>
      <c r="C51" s="2805">
        <f t="shared" si="253"/>
        <v>231.90723710515795</v>
      </c>
      <c r="D51" s="2805">
        <f t="shared" si="241"/>
        <v>231.90723710515795</v>
      </c>
      <c r="E51" s="2805">
        <f t="shared" ref="E51:F53" si="254">E50/(1+P50)</f>
        <v>377.28276138872161</v>
      </c>
      <c r="F51" s="2805">
        <f t="shared" si="254"/>
        <v>212.02468644236512</v>
      </c>
      <c r="G51" s="3739">
        <v>2011</v>
      </c>
      <c r="H51" s="2831">
        <v>3</v>
      </c>
      <c r="I51" s="2831">
        <v>0.13</v>
      </c>
      <c r="J51" s="2831">
        <v>0.75</v>
      </c>
      <c r="K51" s="2831">
        <v>-0.08</v>
      </c>
      <c r="L51" s="2832">
        <v>0.53</v>
      </c>
      <c r="N51" s="2807">
        <f t="shared" si="243"/>
        <v>1.2999999999999999E-3</v>
      </c>
      <c r="O51" s="2825">
        <f t="shared" si="243"/>
        <v>7.4999999999999997E-3</v>
      </c>
      <c r="P51" s="2825">
        <f t="shared" si="243"/>
        <v>-8.0000000000000004E-4</v>
      </c>
      <c r="Q51" s="2825">
        <f t="shared" si="243"/>
        <v>5.3E-3</v>
      </c>
      <c r="R51" s="2808"/>
      <c r="S51" s="2807"/>
      <c r="T51" s="2803"/>
      <c r="U51" s="2803"/>
      <c r="V51" s="2803"/>
    </row>
    <row r="52" spans="1:26">
      <c r="A52" s="2804" t="s">
        <v>2310</v>
      </c>
      <c r="B52" s="2805">
        <f t="shared" si="253"/>
        <v>275.19335084830601</v>
      </c>
      <c r="C52" s="2805">
        <f t="shared" si="253"/>
        <v>230.18088050139744</v>
      </c>
      <c r="D52" s="2805">
        <f t="shared" si="241"/>
        <v>230.18088050139744</v>
      </c>
      <c r="E52" s="2805">
        <f t="shared" si="254"/>
        <v>377.58482925212331</v>
      </c>
      <c r="F52" s="2805">
        <f t="shared" si="254"/>
        <v>210.90687997847917</v>
      </c>
      <c r="G52" s="3739">
        <v>2011</v>
      </c>
      <c r="H52" s="2819">
        <v>2</v>
      </c>
      <c r="I52" s="2819">
        <v>-0.4</v>
      </c>
      <c r="J52" s="2819">
        <v>0.17</v>
      </c>
      <c r="K52" s="2819">
        <v>-0.57999999999999996</v>
      </c>
      <c r="L52" s="2820">
        <v>-0.2</v>
      </c>
      <c r="N52" s="2807">
        <f t="shared" si="243"/>
        <v>-4.0000000000000001E-3</v>
      </c>
      <c r="O52" s="2825">
        <f t="shared" si="243"/>
        <v>1.7000000000000001E-3</v>
      </c>
      <c r="P52" s="2825">
        <f t="shared" si="243"/>
        <v>-5.7999999999999996E-3</v>
      </c>
      <c r="Q52" s="2825">
        <f t="shared" si="243"/>
        <v>-2E-3</v>
      </c>
      <c r="R52" s="2808"/>
      <c r="S52" s="2807"/>
      <c r="T52" s="2803"/>
      <c r="U52" s="2803"/>
      <c r="V52" s="2803"/>
    </row>
    <row r="53" spans="1:26" ht="13.5" thickBot="1">
      <c r="A53" s="2804" t="s">
        <v>2311</v>
      </c>
      <c r="B53" s="2805">
        <f t="shared" si="253"/>
        <v>276.29854502841971</v>
      </c>
      <c r="C53" s="2805">
        <f t="shared" si="253"/>
        <v>229.79023709833027</v>
      </c>
      <c r="D53" s="2805">
        <f t="shared" si="241"/>
        <v>229.79023709833027</v>
      </c>
      <c r="E53" s="2805">
        <f t="shared" si="254"/>
        <v>379.78759731655936</v>
      </c>
      <c r="F53" s="2805">
        <f t="shared" si="254"/>
        <v>211.32953905659235</v>
      </c>
      <c r="G53" s="3740">
        <v>2011</v>
      </c>
      <c r="H53" s="2806">
        <v>1</v>
      </c>
      <c r="I53" s="2806">
        <v>2.65</v>
      </c>
      <c r="J53" s="2806">
        <v>3.76</v>
      </c>
      <c r="K53" s="2806">
        <v>1.89</v>
      </c>
      <c r="L53" s="2812">
        <v>7.95</v>
      </c>
      <c r="N53" s="2809">
        <f t="shared" si="243"/>
        <v>2.6499999999999999E-2</v>
      </c>
      <c r="O53" s="2810">
        <f t="shared" si="243"/>
        <v>3.7599999999999995E-2</v>
      </c>
      <c r="P53" s="2810">
        <f t="shared" si="243"/>
        <v>1.89E-2</v>
      </c>
      <c r="Q53" s="2810">
        <f t="shared" si="243"/>
        <v>7.9500000000000001E-2</v>
      </c>
      <c r="R53" s="2808"/>
      <c r="S53" s="2809">
        <f>B53/B54-1</f>
        <v>2.713213765211786E-2</v>
      </c>
      <c r="T53" s="2810">
        <f>C53/C54-1</f>
        <v>3.9774828499231862E-2</v>
      </c>
      <c r="U53" s="2810">
        <f>E53/E54-1</f>
        <v>1.8197311840641772E-2</v>
      </c>
      <c r="V53" s="2810">
        <f>F53/F54-1</f>
        <v>7.8211933962205826E-2</v>
      </c>
      <c r="X53" s="2803"/>
      <c r="Y53" s="2803"/>
      <c r="Z53" s="2803"/>
    </row>
    <row r="54" spans="1:26" ht="13.5" thickBot="1">
      <c r="A54" s="2804" t="s">
        <v>2312</v>
      </c>
      <c r="B54" s="2826">
        <v>269</v>
      </c>
      <c r="C54" s="2826">
        <v>221</v>
      </c>
      <c r="D54" s="2826">
        <f t="shared" si="241"/>
        <v>221</v>
      </c>
      <c r="E54" s="2826">
        <v>373</v>
      </c>
      <c r="F54" s="2827">
        <v>196</v>
      </c>
      <c r="G54" s="3738">
        <v>2010</v>
      </c>
      <c r="H54" s="2828">
        <v>4</v>
      </c>
      <c r="I54" s="2828">
        <v>5.72</v>
      </c>
      <c r="J54" s="2828">
        <v>6.57</v>
      </c>
      <c r="K54" s="2828">
        <v>5.72</v>
      </c>
      <c r="L54" s="2829">
        <v>2.72</v>
      </c>
      <c r="N54" s="2807">
        <f t="shared" si="243"/>
        <v>5.7200000000000001E-2</v>
      </c>
      <c r="O54" s="2803">
        <f t="shared" si="243"/>
        <v>6.5700000000000008E-2</v>
      </c>
      <c r="P54" s="2803">
        <f t="shared" si="243"/>
        <v>5.7200000000000001E-2</v>
      </c>
      <c r="Q54" s="2803">
        <f t="shared" si="243"/>
        <v>2.7200000000000002E-2</v>
      </c>
      <c r="R54" s="2808"/>
      <c r="S54" s="2817"/>
      <c r="T54" s="2818"/>
      <c r="U54" s="2818"/>
      <c r="V54" s="2818"/>
      <c r="X54" s="2818"/>
      <c r="Y54" s="2818"/>
      <c r="Z54" s="2818"/>
    </row>
    <row r="55" spans="1:26">
      <c r="A55" s="2804" t="s">
        <v>2313</v>
      </c>
      <c r="B55" s="2805">
        <f t="shared" ref="B55:C57" si="255">B54/(1+N54)</f>
        <v>254.44570563753314</v>
      </c>
      <c r="C55" s="2805">
        <f t="shared" si="255"/>
        <v>207.37543398705074</v>
      </c>
      <c r="D55" s="2805">
        <f t="shared" si="241"/>
        <v>207.37543398705074</v>
      </c>
      <c r="E55" s="2805">
        <f t="shared" ref="E55:F57" si="256">E54/(1+P54)</f>
        <v>352.81876655315932</v>
      </c>
      <c r="F55" s="2805">
        <f t="shared" si="256"/>
        <v>190.809968847352</v>
      </c>
      <c r="G55" s="3739">
        <v>2010</v>
      </c>
      <c r="H55" s="2831">
        <v>3</v>
      </c>
      <c r="I55" s="2831">
        <v>4.7300000000000004</v>
      </c>
      <c r="J55" s="2831">
        <v>3.9</v>
      </c>
      <c r="K55" s="2831">
        <v>5.03</v>
      </c>
      <c r="L55" s="2832">
        <v>4.21</v>
      </c>
      <c r="N55" s="2807">
        <f t="shared" si="243"/>
        <v>4.7300000000000002E-2</v>
      </c>
      <c r="O55" s="2803">
        <f t="shared" si="243"/>
        <v>3.9E-2</v>
      </c>
      <c r="P55" s="2803">
        <f t="shared" si="243"/>
        <v>5.0300000000000004E-2</v>
      </c>
      <c r="Q55" s="2803">
        <f t="shared" si="243"/>
        <v>4.2099999999999999E-2</v>
      </c>
      <c r="R55" s="2808"/>
      <c r="S55" s="2807"/>
      <c r="T55" s="2803"/>
      <c r="U55" s="2803"/>
      <c r="V55" s="2803"/>
    </row>
    <row r="56" spans="1:26">
      <c r="A56" s="2804" t="s">
        <v>2314</v>
      </c>
      <c r="B56" s="2805">
        <f t="shared" si="255"/>
        <v>242.95398227588385</v>
      </c>
      <c r="C56" s="2805">
        <f t="shared" si="255"/>
        <v>199.59137053614126</v>
      </c>
      <c r="D56" s="2805">
        <f t="shared" si="241"/>
        <v>199.59137053614126</v>
      </c>
      <c r="E56" s="2805">
        <f t="shared" si="256"/>
        <v>335.92189522342125</v>
      </c>
      <c r="F56" s="2805">
        <f t="shared" si="256"/>
        <v>183.10139991109489</v>
      </c>
      <c r="G56" s="3739">
        <v>2010</v>
      </c>
      <c r="H56" s="2819">
        <v>2</v>
      </c>
      <c r="I56" s="2819">
        <v>4.6900000000000004</v>
      </c>
      <c r="J56" s="2819">
        <v>3.55</v>
      </c>
      <c r="K56" s="2819">
        <v>5.07</v>
      </c>
      <c r="L56" s="2820">
        <v>4.2300000000000004</v>
      </c>
      <c r="N56" s="2807">
        <f t="shared" si="243"/>
        <v>4.6900000000000004E-2</v>
      </c>
      <c r="O56" s="2803">
        <f t="shared" si="243"/>
        <v>3.5499999999999997E-2</v>
      </c>
      <c r="P56" s="2803">
        <f t="shared" si="243"/>
        <v>5.0700000000000002E-2</v>
      </c>
      <c r="Q56" s="2803">
        <f t="shared" si="243"/>
        <v>4.2300000000000004E-2</v>
      </c>
      <c r="R56" s="2808"/>
      <c r="S56" s="2807"/>
      <c r="T56" s="2803"/>
      <c r="U56" s="2803"/>
      <c r="V56" s="2803"/>
    </row>
    <row r="57" spans="1:26" ht="13.5" thickBot="1">
      <c r="A57" s="2804" t="s">
        <v>2315</v>
      </c>
      <c r="B57" s="2805">
        <f t="shared" si="255"/>
        <v>232.06990378821649</v>
      </c>
      <c r="C57" s="2805">
        <f t="shared" si="255"/>
        <v>192.74878854286936</v>
      </c>
      <c r="D57" s="2805">
        <f t="shared" si="241"/>
        <v>192.74878854286936</v>
      </c>
      <c r="E57" s="2805">
        <f t="shared" si="256"/>
        <v>319.71247284992984</v>
      </c>
      <c r="F57" s="2805">
        <f t="shared" si="256"/>
        <v>175.67053622862409</v>
      </c>
      <c r="G57" s="3740">
        <v>2010</v>
      </c>
      <c r="H57" s="2806">
        <v>1</v>
      </c>
      <c r="I57" s="2806">
        <v>5.4</v>
      </c>
      <c r="J57" s="2806">
        <v>3.2</v>
      </c>
      <c r="K57" s="2806">
        <v>6.16</v>
      </c>
      <c r="L57" s="2812">
        <v>4.51</v>
      </c>
      <c r="N57" s="2807">
        <f t="shared" si="243"/>
        <v>5.4000000000000006E-2</v>
      </c>
      <c r="O57" s="2803">
        <f t="shared" si="243"/>
        <v>3.2000000000000001E-2</v>
      </c>
      <c r="P57" s="2803">
        <f t="shared" si="243"/>
        <v>6.1600000000000002E-2</v>
      </c>
      <c r="Q57" s="2803">
        <f t="shared" si="243"/>
        <v>4.5100000000000001E-2</v>
      </c>
      <c r="R57" s="2808"/>
      <c r="S57" s="2809">
        <f>B57/B58-1</f>
        <v>5.4863199037347599E-2</v>
      </c>
      <c r="T57" s="2810">
        <f>C57/C58-1</f>
        <v>3.0742184721226584E-2</v>
      </c>
      <c r="U57" s="2810">
        <f>E57/E58-1</f>
        <v>6.2167683886810154E-2</v>
      </c>
      <c r="V57" s="2810">
        <f>F57/F58-1</f>
        <v>4.5657953741810031E-2</v>
      </c>
      <c r="X57" s="2803"/>
      <c r="Y57" s="2803"/>
      <c r="Z57" s="2803"/>
    </row>
    <row r="58" spans="1:26" ht="13.5" thickBot="1">
      <c r="A58" s="2804" t="s">
        <v>2316</v>
      </c>
      <c r="B58" s="2826">
        <v>220</v>
      </c>
      <c r="C58" s="2826">
        <v>187</v>
      </c>
      <c r="D58" s="2826">
        <f t="shared" si="241"/>
        <v>187</v>
      </c>
      <c r="E58" s="2826">
        <v>301</v>
      </c>
      <c r="F58" s="2827">
        <v>168</v>
      </c>
      <c r="G58" s="3738">
        <v>2009</v>
      </c>
      <c r="H58" s="2828">
        <v>4</v>
      </c>
      <c r="I58" s="2828">
        <v>2.2999999999999998</v>
      </c>
      <c r="J58" s="2828">
        <v>1.04</v>
      </c>
      <c r="K58" s="2828">
        <v>2.84</v>
      </c>
      <c r="L58" s="2829">
        <v>0.67</v>
      </c>
      <c r="N58" s="2823">
        <f t="shared" si="243"/>
        <v>2.3E-2</v>
      </c>
      <c r="O58" s="2824">
        <f t="shared" si="243"/>
        <v>1.04E-2</v>
      </c>
      <c r="P58" s="2824">
        <f t="shared" si="243"/>
        <v>2.8399999999999998E-2</v>
      </c>
      <c r="Q58" s="2824">
        <f t="shared" si="243"/>
        <v>6.7000000000000002E-3</v>
      </c>
      <c r="R58" s="2808"/>
      <c r="S58" s="2817"/>
      <c r="T58" s="2818"/>
      <c r="U58" s="2818"/>
      <c r="V58" s="2818"/>
      <c r="X58" s="2818"/>
      <c r="Y58" s="2818"/>
      <c r="Z58" s="2818"/>
    </row>
    <row r="59" spans="1:26">
      <c r="A59" s="2804" t="s">
        <v>2317</v>
      </c>
      <c r="B59" s="2805">
        <f t="shared" ref="B59:C61" si="257">B58/(1+N58)</f>
        <v>215.05376344086022</v>
      </c>
      <c r="C59" s="2805">
        <f t="shared" si="257"/>
        <v>185.0752177355503</v>
      </c>
      <c r="D59" s="2805">
        <f t="shared" si="241"/>
        <v>185.0752177355503</v>
      </c>
      <c r="E59" s="2805">
        <f t="shared" ref="E59:F61" si="258">E58/(1+P58)</f>
        <v>292.68767016725008</v>
      </c>
      <c r="F59" s="2805">
        <f t="shared" si="258"/>
        <v>166.88189132810174</v>
      </c>
      <c r="G59" s="3739">
        <v>2009</v>
      </c>
      <c r="H59" s="2831">
        <v>3</v>
      </c>
      <c r="I59" s="2831">
        <v>2.1</v>
      </c>
      <c r="J59" s="2831">
        <v>1.86</v>
      </c>
      <c r="K59" s="2831">
        <v>2.29</v>
      </c>
      <c r="L59" s="2832">
        <v>0.85</v>
      </c>
      <c r="N59" s="2807">
        <f t="shared" si="243"/>
        <v>2.1000000000000001E-2</v>
      </c>
      <c r="O59" s="2825">
        <f t="shared" si="243"/>
        <v>1.8600000000000002E-2</v>
      </c>
      <c r="P59" s="2825">
        <f t="shared" si="243"/>
        <v>2.29E-2</v>
      </c>
      <c r="Q59" s="2825">
        <f t="shared" si="243"/>
        <v>8.5000000000000006E-3</v>
      </c>
      <c r="R59" s="2808"/>
      <c r="S59" s="2807"/>
      <c r="T59" s="2803"/>
      <c r="U59" s="2803"/>
      <c r="V59" s="2803"/>
    </row>
    <row r="60" spans="1:26">
      <c r="A60" s="2804" t="s">
        <v>2318</v>
      </c>
      <c r="B60" s="2805">
        <f t="shared" si="257"/>
        <v>210.630522469011</v>
      </c>
      <c r="C60" s="2805">
        <f t="shared" si="257"/>
        <v>181.69567812247232</v>
      </c>
      <c r="D60" s="2805">
        <f t="shared" si="241"/>
        <v>181.69567812247232</v>
      </c>
      <c r="E60" s="2805">
        <f t="shared" si="258"/>
        <v>286.13517466736738</v>
      </c>
      <c r="F60" s="2805">
        <f t="shared" si="258"/>
        <v>165.47535084591149</v>
      </c>
      <c r="G60" s="3739">
        <v>2009</v>
      </c>
      <c r="H60" s="2819">
        <v>2</v>
      </c>
      <c r="I60" s="2819">
        <v>0.86</v>
      </c>
      <c r="J60" s="2819">
        <v>-1.1299999999999999</v>
      </c>
      <c r="K60" s="2819">
        <v>1.79</v>
      </c>
      <c r="L60" s="2820">
        <v>-2.0699999999999998</v>
      </c>
      <c r="N60" s="2807">
        <f t="shared" si="243"/>
        <v>8.6E-3</v>
      </c>
      <c r="O60" s="2825">
        <f t="shared" si="243"/>
        <v>-1.1299999999999999E-2</v>
      </c>
      <c r="P60" s="2825">
        <f t="shared" si="243"/>
        <v>1.7899999999999999E-2</v>
      </c>
      <c r="Q60" s="2825">
        <f t="shared" si="243"/>
        <v>-2.07E-2</v>
      </c>
      <c r="R60" s="2808"/>
      <c r="S60" s="2807"/>
      <c r="T60" s="2803"/>
      <c r="U60" s="2803"/>
      <c r="V60" s="2803"/>
    </row>
    <row r="61" spans="1:26">
      <c r="A61" s="2804" t="s">
        <v>2319</v>
      </c>
      <c r="B61" s="2805">
        <f t="shared" si="257"/>
        <v>208.83454537875372</v>
      </c>
      <c r="C61" s="2805">
        <f t="shared" si="257"/>
        <v>183.77230517090351</v>
      </c>
      <c r="D61" s="2805">
        <f t="shared" si="241"/>
        <v>183.77230517090351</v>
      </c>
      <c r="E61" s="2805">
        <f t="shared" si="258"/>
        <v>281.10342338870947</v>
      </c>
      <c r="F61" s="2805">
        <f t="shared" si="258"/>
        <v>168.97309388942256</v>
      </c>
      <c r="G61" s="3740">
        <v>2009</v>
      </c>
      <c r="H61" s="2806">
        <v>1</v>
      </c>
      <c r="I61" s="2806">
        <v>-2.64</v>
      </c>
      <c r="J61" s="2806">
        <v>-2.5299999999999998</v>
      </c>
      <c r="K61" s="2806">
        <v>-3.02</v>
      </c>
      <c r="L61" s="2812">
        <v>1.52</v>
      </c>
      <c r="N61" s="2809">
        <f t="shared" si="243"/>
        <v>-2.64E-2</v>
      </c>
      <c r="O61" s="2810">
        <f t="shared" si="243"/>
        <v>-2.53E-2</v>
      </c>
      <c r="P61" s="2810">
        <f t="shared" si="243"/>
        <v>-3.0200000000000001E-2</v>
      </c>
      <c r="Q61" s="2810">
        <f t="shared" si="243"/>
        <v>1.52E-2</v>
      </c>
      <c r="R61" s="2808"/>
      <c r="S61" s="2809">
        <f>B61/B62-1</f>
        <v>-2.4137638417038754E-2</v>
      </c>
      <c r="T61" s="2810">
        <f>C61/C62-1</f>
        <v>-2.248773845264096E-2</v>
      </c>
      <c r="U61" s="2810">
        <f>E61/E62-1</f>
        <v>-2.7323794502735366E-2</v>
      </c>
      <c r="V61" s="2810">
        <f>F61/F62-1</f>
        <v>1.7910204153148035E-2</v>
      </c>
      <c r="X61" s="2803"/>
      <c r="Y61" s="2803"/>
      <c r="Z61" s="2803"/>
    </row>
    <row r="62" spans="1:26" ht="13.5" thickBot="1">
      <c r="A62" s="2804" t="s">
        <v>2320</v>
      </c>
      <c r="B62" s="2854">
        <v>214</v>
      </c>
      <c r="C62" s="2854">
        <v>188</v>
      </c>
      <c r="D62" s="2854">
        <f t="shared" si="241"/>
        <v>188</v>
      </c>
      <c r="E62" s="2854">
        <v>289</v>
      </c>
      <c r="F62" s="2855">
        <v>166</v>
      </c>
      <c r="G62" s="3738">
        <v>2008</v>
      </c>
      <c r="H62" s="2828">
        <v>4</v>
      </c>
      <c r="I62" s="2828">
        <v>1.73</v>
      </c>
      <c r="J62" s="2828">
        <v>0.03</v>
      </c>
      <c r="K62" s="2828">
        <v>2.59</v>
      </c>
      <c r="L62" s="2829">
        <v>-1.66</v>
      </c>
      <c r="N62" s="2807">
        <f t="shared" si="243"/>
        <v>1.7299999999999999E-2</v>
      </c>
      <c r="O62" s="2803">
        <f t="shared" si="243"/>
        <v>2.9999999999999997E-4</v>
      </c>
      <c r="P62" s="2803">
        <f t="shared" si="243"/>
        <v>2.5899999999999999E-2</v>
      </c>
      <c r="Q62" s="2803">
        <f t="shared" si="243"/>
        <v>-1.66E-2</v>
      </c>
      <c r="R62" s="2808"/>
      <c r="S62" s="2817"/>
      <c r="T62" s="2818"/>
      <c r="U62" s="2818"/>
      <c r="V62" s="2818"/>
      <c r="X62" s="2818"/>
      <c r="Y62" s="2818"/>
      <c r="Z62" s="2818"/>
    </row>
    <row r="63" spans="1:26">
      <c r="A63" s="2804" t="s">
        <v>2321</v>
      </c>
      <c r="B63" s="2805">
        <f t="shared" ref="B63:C65" si="259">B62/(1+N62)</f>
        <v>210.36075887152265</v>
      </c>
      <c r="C63" s="2805">
        <f t="shared" si="259"/>
        <v>187.94361691492554</v>
      </c>
      <c r="D63" s="2805">
        <f t="shared" si="241"/>
        <v>187.94361691492554</v>
      </c>
      <c r="E63" s="2805">
        <f t="shared" ref="E63:F65" si="260">E62/(1+P62)</f>
        <v>281.70386977288234</v>
      </c>
      <c r="F63" s="2805">
        <f t="shared" si="260"/>
        <v>168.80211511083994</v>
      </c>
      <c r="G63" s="3739">
        <v>2008</v>
      </c>
      <c r="H63" s="2831">
        <v>3</v>
      </c>
      <c r="I63" s="2831">
        <v>1.96</v>
      </c>
      <c r="J63" s="2831">
        <v>2.36</v>
      </c>
      <c r="K63" s="2831">
        <v>1.82</v>
      </c>
      <c r="L63" s="2832">
        <v>2.2200000000000002</v>
      </c>
      <c r="N63" s="2807">
        <f t="shared" si="243"/>
        <v>1.9599999999999999E-2</v>
      </c>
      <c r="O63" s="2803">
        <f t="shared" si="243"/>
        <v>2.3599999999999999E-2</v>
      </c>
      <c r="P63" s="2803">
        <f t="shared" si="243"/>
        <v>1.8200000000000001E-2</v>
      </c>
      <c r="Q63" s="2803">
        <f t="shared" si="243"/>
        <v>2.2200000000000001E-2</v>
      </c>
      <c r="R63" s="2808"/>
      <c r="S63" s="2807"/>
      <c r="T63" s="2803"/>
      <c r="U63" s="2803"/>
      <c r="V63" s="2803"/>
    </row>
    <row r="64" spans="1:26">
      <c r="A64" s="2804" t="s">
        <v>2322</v>
      </c>
      <c r="B64" s="2805">
        <f t="shared" si="259"/>
        <v>206.31694671589116</v>
      </c>
      <c r="C64" s="2805">
        <f t="shared" si="259"/>
        <v>183.61041121036101</v>
      </c>
      <c r="D64" s="2805">
        <f t="shared" si="241"/>
        <v>183.61041121036101</v>
      </c>
      <c r="E64" s="2805">
        <f t="shared" si="260"/>
        <v>276.66850301795557</v>
      </c>
      <c r="F64" s="2805">
        <f t="shared" si="260"/>
        <v>165.1360938278614</v>
      </c>
      <c r="G64" s="3739">
        <v>2008</v>
      </c>
      <c r="H64" s="2819">
        <v>2</v>
      </c>
      <c r="I64" s="2819">
        <v>4.93</v>
      </c>
      <c r="J64" s="2819">
        <v>7.38</v>
      </c>
      <c r="K64" s="2819">
        <v>3.98</v>
      </c>
      <c r="L64" s="2820">
        <v>6.86</v>
      </c>
      <c r="N64" s="2807">
        <f t="shared" si="243"/>
        <v>4.9299999999999997E-2</v>
      </c>
      <c r="O64" s="2803">
        <f t="shared" si="243"/>
        <v>7.3800000000000004E-2</v>
      </c>
      <c r="P64" s="2803">
        <f t="shared" si="243"/>
        <v>3.9800000000000002E-2</v>
      </c>
      <c r="Q64" s="2803">
        <f t="shared" si="243"/>
        <v>6.8600000000000008E-2</v>
      </c>
      <c r="R64" s="2808"/>
      <c r="S64" s="2807"/>
      <c r="T64" s="2803"/>
      <c r="U64" s="2803"/>
      <c r="V64" s="2803"/>
    </row>
    <row r="65" spans="1:26" s="2860" customFormat="1" ht="13.5" thickBot="1">
      <c r="A65" s="2804" t="s">
        <v>2323</v>
      </c>
      <c r="B65" s="2857">
        <f t="shared" si="259"/>
        <v>196.62341248059772</v>
      </c>
      <c r="C65" s="2857">
        <f t="shared" si="259"/>
        <v>170.99125648199012</v>
      </c>
      <c r="D65" s="2857">
        <f t="shared" si="241"/>
        <v>170.99125648199012</v>
      </c>
      <c r="E65" s="2857">
        <f t="shared" si="260"/>
        <v>266.07857570490052</v>
      </c>
      <c r="F65" s="2857">
        <f t="shared" si="260"/>
        <v>154.53499328828505</v>
      </c>
      <c r="G65" s="3740">
        <v>2008</v>
      </c>
      <c r="H65" s="2858">
        <v>1</v>
      </c>
      <c r="I65" s="2858">
        <v>4.1399999999999997</v>
      </c>
      <c r="J65" s="2858">
        <v>3.45</v>
      </c>
      <c r="K65" s="2858">
        <v>4.95</v>
      </c>
      <c r="L65" s="2859">
        <v>4.82</v>
      </c>
      <c r="N65" s="2861">
        <f t="shared" si="243"/>
        <v>4.1399999999999999E-2</v>
      </c>
      <c r="O65" s="2862">
        <f t="shared" si="243"/>
        <v>3.4500000000000003E-2</v>
      </c>
      <c r="P65" s="2862">
        <f t="shared" si="243"/>
        <v>4.9500000000000002E-2</v>
      </c>
      <c r="Q65" s="2862">
        <f t="shared" si="243"/>
        <v>4.82E-2</v>
      </c>
      <c r="R65" s="2863"/>
      <c r="S65" s="2861">
        <f>B65/B66-1</f>
        <v>4.5869215322328349E-2</v>
      </c>
      <c r="T65" s="2862">
        <f>C65/C66-1</f>
        <v>3.6310645345394743E-2</v>
      </c>
      <c r="U65" s="2862">
        <f>E65/E66-1</f>
        <v>4.7553447657088688E-2</v>
      </c>
      <c r="V65" s="2862">
        <f>F65/F66-1</f>
        <v>4.4155360055980086E-2</v>
      </c>
      <c r="X65" s="2862"/>
      <c r="Y65" s="2862"/>
      <c r="Z65" s="2862"/>
    </row>
    <row r="66" spans="1:26" ht="13.5" thickBot="1">
      <c r="A66" s="2804" t="s">
        <v>2324</v>
      </c>
      <c r="B66" s="2826">
        <v>188</v>
      </c>
      <c r="C66" s="2826">
        <v>165</v>
      </c>
      <c r="D66" s="2826">
        <f t="shared" si="241"/>
        <v>165</v>
      </c>
      <c r="E66" s="2826">
        <v>254</v>
      </c>
      <c r="F66" s="2827">
        <v>148</v>
      </c>
      <c r="G66" s="3738">
        <v>2007</v>
      </c>
      <c r="H66" s="2864">
        <v>4</v>
      </c>
      <c r="I66" s="2864">
        <v>5.51</v>
      </c>
      <c r="J66" s="2864">
        <v>4.8899999999999997</v>
      </c>
      <c r="K66" s="2864">
        <v>6.43</v>
      </c>
      <c r="L66" s="2865">
        <v>5.36</v>
      </c>
      <c r="N66" s="2866">
        <f t="shared" ref="N66:O69" si="261">B66/B67-1</f>
        <v>4.1339718365245526E-2</v>
      </c>
      <c r="O66" s="2867">
        <f t="shared" si="261"/>
        <v>4.0324492593776018E-2</v>
      </c>
      <c r="P66" s="2867">
        <f t="shared" ref="P66:Q69" si="262">E66/E67-1</f>
        <v>6.1625555347990968E-2</v>
      </c>
      <c r="Q66" s="2867">
        <f t="shared" si="262"/>
        <v>4.6757569250590603E-2</v>
      </c>
      <c r="R66" s="2808"/>
      <c r="S66" s="2817"/>
      <c r="T66" s="2818"/>
      <c r="U66" s="2818"/>
      <c r="V66" s="2818"/>
      <c r="X66" s="2818"/>
      <c r="Y66" s="2818"/>
      <c r="Z66" s="2818"/>
    </row>
    <row r="67" spans="1:26">
      <c r="A67" s="2804" t="s">
        <v>2325</v>
      </c>
      <c r="B67" s="2805">
        <f t="shared" ref="B67:C69" si="263">B68+(B$66-B$70)*I67/SUM(I$66:I$69)</f>
        <v>180.5366651097618</v>
      </c>
      <c r="C67" s="2805">
        <f t="shared" si="263"/>
        <v>158.60435967302453</v>
      </c>
      <c r="D67" s="2805">
        <f t="shared" si="241"/>
        <v>158.60435967302453</v>
      </c>
      <c r="E67" s="2805">
        <f t="shared" ref="E67:F69" si="264">E68+(E$66-E$70)*K67/SUM(K$66:K$69)</f>
        <v>239.25573260785075</v>
      </c>
      <c r="F67" s="2805">
        <f t="shared" si="264"/>
        <v>141.38899430740037</v>
      </c>
      <c r="G67" s="3739">
        <v>2007</v>
      </c>
      <c r="H67" s="2831">
        <v>3</v>
      </c>
      <c r="I67" s="2831">
        <v>8.65</v>
      </c>
      <c r="J67" s="2831">
        <v>8.06</v>
      </c>
      <c r="K67" s="2831">
        <v>9.94</v>
      </c>
      <c r="L67" s="2832">
        <v>5.8</v>
      </c>
      <c r="N67" s="2866">
        <f t="shared" si="261"/>
        <v>6.940217571740015E-2</v>
      </c>
      <c r="O67" s="2867">
        <f t="shared" si="261"/>
        <v>7.1197482471153428E-2</v>
      </c>
      <c r="P67" s="2867">
        <f t="shared" si="262"/>
        <v>0.10529679922579582</v>
      </c>
      <c r="Q67" s="2867">
        <f t="shared" si="262"/>
        <v>5.3292245059512133E-2</v>
      </c>
      <c r="R67" s="2808"/>
      <c r="S67" s="2807"/>
      <c r="T67" s="2803"/>
      <c r="U67" s="2803"/>
      <c r="V67" s="2803"/>
      <c r="X67" s="2868"/>
      <c r="Y67" s="2868"/>
      <c r="Z67" s="2868"/>
    </row>
    <row r="68" spans="1:26">
      <c r="A68" s="2804" t="s">
        <v>2326</v>
      </c>
      <c r="B68" s="2805">
        <f t="shared" si="263"/>
        <v>168.82017748715555</v>
      </c>
      <c r="C68" s="2805">
        <f t="shared" si="263"/>
        <v>148.06267029972753</v>
      </c>
      <c r="D68" s="2805">
        <f t="shared" si="241"/>
        <v>148.06267029972753</v>
      </c>
      <c r="E68" s="2805">
        <f t="shared" si="264"/>
        <v>216.46288379323747</v>
      </c>
      <c r="F68" s="2805">
        <f t="shared" si="264"/>
        <v>134.23529411764704</v>
      </c>
      <c r="G68" s="3739">
        <v>2007</v>
      </c>
      <c r="H68" s="2819">
        <v>2</v>
      </c>
      <c r="I68" s="2819">
        <v>3.67</v>
      </c>
      <c r="J68" s="2819">
        <v>2.3199999999999998</v>
      </c>
      <c r="K68" s="2819">
        <v>5.0199999999999996</v>
      </c>
      <c r="L68" s="2820">
        <v>6.71</v>
      </c>
      <c r="N68" s="2866">
        <f t="shared" si="261"/>
        <v>3.0339138143848032E-2</v>
      </c>
      <c r="O68" s="2867">
        <f t="shared" si="261"/>
        <v>2.0922341588790472E-2</v>
      </c>
      <c r="P68" s="2867">
        <f t="shared" si="262"/>
        <v>5.6164796592717003E-2</v>
      </c>
      <c r="Q68" s="2867">
        <f t="shared" si="262"/>
        <v>6.5704536723887319E-2</v>
      </c>
      <c r="R68" s="2808"/>
      <c r="S68" s="2807"/>
      <c r="T68" s="2803"/>
      <c r="U68" s="2803"/>
      <c r="V68" s="2803"/>
      <c r="X68" s="2868"/>
      <c r="Y68" s="2868"/>
      <c r="Z68" s="2868"/>
    </row>
    <row r="69" spans="1:26">
      <c r="A69" s="2804" t="s">
        <v>2327</v>
      </c>
      <c r="B69" s="2805">
        <f t="shared" si="263"/>
        <v>163.84913591779542</v>
      </c>
      <c r="C69" s="2805">
        <f t="shared" si="263"/>
        <v>145.0283378746594</v>
      </c>
      <c r="D69" s="2805">
        <f t="shared" si="241"/>
        <v>145.0283378746594</v>
      </c>
      <c r="E69" s="2805">
        <f t="shared" si="264"/>
        <v>204.95180722891567</v>
      </c>
      <c r="F69" s="2805">
        <f t="shared" si="264"/>
        <v>125.95920303605313</v>
      </c>
      <c r="G69" s="3740">
        <v>2007</v>
      </c>
      <c r="H69" s="2806">
        <v>1</v>
      </c>
      <c r="I69" s="2806">
        <v>3.58</v>
      </c>
      <c r="J69" s="2806">
        <v>3.08</v>
      </c>
      <c r="K69" s="2806">
        <v>4.34</v>
      </c>
      <c r="L69" s="2812">
        <v>3.21</v>
      </c>
      <c r="N69" s="2869">
        <f t="shared" si="261"/>
        <v>3.0497710174814063E-2</v>
      </c>
      <c r="O69" s="2870">
        <f t="shared" si="261"/>
        <v>2.8569772160704998E-2</v>
      </c>
      <c r="P69" s="2870">
        <f t="shared" si="262"/>
        <v>5.1034908866234296E-2</v>
      </c>
      <c r="Q69" s="2870">
        <f t="shared" si="262"/>
        <v>3.245248390207478E-2</v>
      </c>
      <c r="R69" s="2808"/>
      <c r="S69" s="2809">
        <f>B69/B70-1</f>
        <v>3.0497710174814063E-2</v>
      </c>
      <c r="T69" s="2810">
        <f>C69/C70-1</f>
        <v>2.8569772160704998E-2</v>
      </c>
      <c r="U69" s="2810">
        <f>E69/E70-1</f>
        <v>5.1034908866234296E-2</v>
      </c>
      <c r="V69" s="2810">
        <f>F69/F70-1</f>
        <v>3.245248390207478E-2</v>
      </c>
      <c r="X69" s="2868"/>
      <c r="Y69" s="2868"/>
      <c r="Z69" s="2868"/>
    </row>
    <row r="70" spans="1:26" ht="13.5" thickBot="1">
      <c r="A70" s="2804" t="s">
        <v>2328</v>
      </c>
      <c r="B70" s="2833">
        <v>159</v>
      </c>
      <c r="C70" s="2833">
        <v>141</v>
      </c>
      <c r="D70" s="2833">
        <f t="shared" si="241"/>
        <v>141</v>
      </c>
      <c r="E70" s="2833">
        <v>195</v>
      </c>
      <c r="F70" s="2834">
        <v>122</v>
      </c>
      <c r="G70" s="3738">
        <v>2006</v>
      </c>
      <c r="H70" s="2828">
        <v>4</v>
      </c>
      <c r="I70" s="2828">
        <v>3.79</v>
      </c>
      <c r="J70" s="2828">
        <v>2.21</v>
      </c>
      <c r="K70" s="2828">
        <v>5.65</v>
      </c>
      <c r="L70" s="2829">
        <v>5.41</v>
      </c>
      <c r="N70" s="2866">
        <f t="shared" ref="N70:O73" si="265">I70/SUM(I$70:I$73)*(B$70/B$74-1)</f>
        <v>7.245466462748526E-2</v>
      </c>
      <c r="O70" s="2867">
        <f t="shared" si="265"/>
        <v>2.3237230038062766E-2</v>
      </c>
      <c r="P70" s="2867">
        <f t="shared" ref="P70:Q73" si="266">K70/SUM(K$70:K$73)*(E$70/E$74-1)</f>
        <v>0.16146893866323722</v>
      </c>
      <c r="Q70" s="2867">
        <f t="shared" si="266"/>
        <v>5.0755230321793784E-2</v>
      </c>
      <c r="R70" s="2808"/>
      <c r="S70" s="2817"/>
      <c r="T70" s="2818"/>
      <c r="U70" s="2818"/>
      <c r="V70" s="2818"/>
      <c r="X70" s="2868"/>
      <c r="Y70" s="2868"/>
      <c r="Z70" s="2868"/>
    </row>
    <row r="71" spans="1:26">
      <c r="A71" s="2804" t="s">
        <v>2329</v>
      </c>
      <c r="B71" s="2805">
        <f t="shared" ref="B71:C73" si="267">B72+(B$70-B$74)*I71/SUM(I$70:I$73)</f>
        <v>149.00125628140702</v>
      </c>
      <c r="C71" s="2805">
        <f t="shared" si="267"/>
        <v>137.95592286501378</v>
      </c>
      <c r="D71" s="2805">
        <f t="shared" si="241"/>
        <v>137.95592286501378</v>
      </c>
      <c r="E71" s="2805">
        <f t="shared" ref="E71:F73" si="268">E72+(E$70-E$74)*K71/SUM(K$70:K$73)</f>
        <v>169.97231450719823</v>
      </c>
      <c r="F71" s="2805">
        <f t="shared" si="268"/>
        <v>116.21390374331551</v>
      </c>
      <c r="G71" s="3739">
        <v>2006</v>
      </c>
      <c r="H71" s="2831">
        <v>3</v>
      </c>
      <c r="I71" s="2831">
        <v>0.92</v>
      </c>
      <c r="J71" s="2831">
        <v>1.08</v>
      </c>
      <c r="K71" s="2831">
        <v>0.73</v>
      </c>
      <c r="L71" s="2832">
        <v>1.08</v>
      </c>
      <c r="N71" s="2866">
        <f t="shared" si="265"/>
        <v>1.7587939698492462E-2</v>
      </c>
      <c r="O71" s="2867">
        <f t="shared" si="265"/>
        <v>1.1355750425840628E-2</v>
      </c>
      <c r="P71" s="2867">
        <f t="shared" si="266"/>
        <v>2.0862358446754544E-2</v>
      </c>
      <c r="Q71" s="2867">
        <f t="shared" si="266"/>
        <v>1.0132282578103011E-2</v>
      </c>
      <c r="R71" s="2808"/>
      <c r="S71" s="2807"/>
      <c r="T71" s="2803"/>
      <c r="U71" s="2803"/>
      <c r="V71" s="2803"/>
      <c r="X71" s="2868"/>
      <c r="Y71" s="2868"/>
      <c r="Z71" s="2868"/>
    </row>
    <row r="72" spans="1:26">
      <c r="A72" s="2804" t="s">
        <v>2330</v>
      </c>
      <c r="B72" s="2805">
        <f t="shared" si="267"/>
        <v>146.57412060301507</v>
      </c>
      <c r="C72" s="2805">
        <f t="shared" si="267"/>
        <v>136.46831955922866</v>
      </c>
      <c r="D72" s="2805">
        <f t="shared" si="241"/>
        <v>136.46831955922866</v>
      </c>
      <c r="E72" s="2805">
        <f t="shared" si="268"/>
        <v>166.73864894795128</v>
      </c>
      <c r="F72" s="2805">
        <f t="shared" si="268"/>
        <v>115.05882352941177</v>
      </c>
      <c r="G72" s="3739">
        <v>2006</v>
      </c>
      <c r="H72" s="2819">
        <v>2</v>
      </c>
      <c r="I72" s="2819">
        <v>0.96</v>
      </c>
      <c r="J72" s="2819">
        <v>0.25</v>
      </c>
      <c r="K72" s="2819">
        <v>1.9</v>
      </c>
      <c r="L72" s="2820">
        <v>0.95</v>
      </c>
      <c r="N72" s="2866">
        <f t="shared" si="265"/>
        <v>1.8352632728861701E-2</v>
      </c>
      <c r="O72" s="2867">
        <f t="shared" si="265"/>
        <v>2.6286459319075526E-3</v>
      </c>
      <c r="P72" s="2867">
        <f t="shared" si="266"/>
        <v>5.4299289107991269E-2</v>
      </c>
      <c r="Q72" s="2867">
        <f t="shared" si="266"/>
        <v>8.9126559714794995E-3</v>
      </c>
      <c r="R72" s="2808"/>
      <c r="S72" s="2807"/>
      <c r="T72" s="2803"/>
      <c r="U72" s="2803"/>
      <c r="V72" s="2803"/>
      <c r="X72" s="2868"/>
      <c r="Y72" s="2868"/>
      <c r="Z72" s="2868"/>
    </row>
    <row r="73" spans="1:26">
      <c r="A73" s="2804" t="s">
        <v>2331</v>
      </c>
      <c r="B73" s="2805">
        <f t="shared" si="267"/>
        <v>144.04145728643215</v>
      </c>
      <c r="C73" s="2805">
        <f t="shared" si="267"/>
        <v>136.12396694214877</v>
      </c>
      <c r="D73" s="2805">
        <f t="shared" si="241"/>
        <v>136.12396694214877</v>
      </c>
      <c r="E73" s="2805">
        <f t="shared" si="268"/>
        <v>158.32225913621264</v>
      </c>
      <c r="F73" s="2805">
        <f t="shared" si="268"/>
        <v>114.04278074866311</v>
      </c>
      <c r="G73" s="3740">
        <v>2006</v>
      </c>
      <c r="H73" s="2806">
        <v>1</v>
      </c>
      <c r="I73" s="2806">
        <v>2.29</v>
      </c>
      <c r="J73" s="2806">
        <v>3.72</v>
      </c>
      <c r="K73" s="2806">
        <v>0.75</v>
      </c>
      <c r="L73" s="2812">
        <v>0.04</v>
      </c>
      <c r="N73" s="2869">
        <f t="shared" si="265"/>
        <v>4.3778675988638847E-2</v>
      </c>
      <c r="O73" s="2870">
        <f t="shared" si="265"/>
        <v>3.9114251466784385E-2</v>
      </c>
      <c r="P73" s="2870">
        <f t="shared" si="266"/>
        <v>2.1433929911049188E-2</v>
      </c>
      <c r="Q73" s="2870">
        <f t="shared" si="266"/>
        <v>3.7526972511492629E-4</v>
      </c>
      <c r="R73" s="2808"/>
      <c r="S73" s="2809">
        <f>B73/B74-1</f>
        <v>4.3778675988638716E-2</v>
      </c>
      <c r="T73" s="2810">
        <f>C73/C74-1</f>
        <v>3.91142514667846E-2</v>
      </c>
      <c r="U73" s="2810">
        <f>E73/E74-1</f>
        <v>2.143392991104931E-2</v>
      </c>
      <c r="V73" s="2810">
        <f>F73/F74-1</f>
        <v>3.7526972511492396E-4</v>
      </c>
      <c r="X73" s="2868"/>
      <c r="Y73" s="2868"/>
      <c r="Z73" s="2868"/>
    </row>
    <row r="74" spans="1:26" ht="13.5" thickBot="1">
      <c r="A74" s="2804" t="s">
        <v>2332</v>
      </c>
      <c r="B74" s="2833">
        <v>138</v>
      </c>
      <c r="C74" s="2833">
        <v>131</v>
      </c>
      <c r="D74" s="2833">
        <f t="shared" si="241"/>
        <v>131</v>
      </c>
      <c r="E74" s="2833">
        <v>155</v>
      </c>
      <c r="F74" s="2834">
        <v>114</v>
      </c>
      <c r="G74" s="3738">
        <v>2005</v>
      </c>
      <c r="H74" s="2828">
        <v>4</v>
      </c>
      <c r="I74" s="2828">
        <v>3.29</v>
      </c>
      <c r="J74" s="2828">
        <v>1.44</v>
      </c>
      <c r="K74" s="2828">
        <v>0.66</v>
      </c>
      <c r="L74" s="2829">
        <v>7.78</v>
      </c>
      <c r="N74" s="2866">
        <f t="shared" ref="N74:O77" si="269">I74/SUM(I$74:I$77)*(B$74/B$78-1)</f>
        <v>9.9404603216919935E-2</v>
      </c>
      <c r="O74" s="2867">
        <f t="shared" si="269"/>
        <v>4.7636550760861554E-2</v>
      </c>
      <c r="P74" s="2867">
        <f t="shared" ref="P74:Q77" si="270">K74/SUM(K$74:K$77)*(E$74/E$78-1)</f>
        <v>8.3756345177664976E-2</v>
      </c>
      <c r="Q74" s="2867">
        <f t="shared" si="270"/>
        <v>5.2148766661559584E-2</v>
      </c>
      <c r="R74" s="2808"/>
      <c r="S74" s="2817"/>
      <c r="T74" s="2818"/>
      <c r="U74" s="2818"/>
      <c r="V74" s="2818"/>
      <c r="X74" s="2868"/>
      <c r="Y74" s="2868"/>
      <c r="Z74" s="2868"/>
    </row>
    <row r="75" spans="1:26">
      <c r="A75" s="2804" t="s">
        <v>2333</v>
      </c>
      <c r="B75" s="2805">
        <f t="shared" ref="B75:C77" si="271">B76+(B$74-B$78)*I75/SUM(I$74:I$77)</f>
        <v>125.9720430107527</v>
      </c>
      <c r="C75" s="2805">
        <f t="shared" si="271"/>
        <v>125.1883408071749</v>
      </c>
      <c r="D75" s="2805">
        <f t="shared" si="241"/>
        <v>125.1883408071749</v>
      </c>
      <c r="E75" s="2805">
        <f t="shared" ref="E75:F77" si="272">E76+(E$74-E$78)*K75/SUM(K$74:K$77)</f>
        <v>144.61421319796952</v>
      </c>
      <c r="F75" s="2805">
        <f t="shared" si="272"/>
        <v>108.42008196721311</v>
      </c>
      <c r="G75" s="3739">
        <v>2005</v>
      </c>
      <c r="H75" s="2831">
        <v>3</v>
      </c>
      <c r="I75" s="2831">
        <v>0.46</v>
      </c>
      <c r="J75" s="2831">
        <v>0.32</v>
      </c>
      <c r="K75" s="2831">
        <v>0.42</v>
      </c>
      <c r="L75" s="2832">
        <v>0.64</v>
      </c>
      <c r="N75" s="2866">
        <f t="shared" si="269"/>
        <v>1.3898515951301874E-2</v>
      </c>
      <c r="O75" s="2867">
        <f t="shared" si="269"/>
        <v>1.0585900169080346E-2</v>
      </c>
      <c r="P75" s="2867">
        <f t="shared" si="270"/>
        <v>5.3299492385786795E-2</v>
      </c>
      <c r="Q75" s="2867">
        <f t="shared" si="270"/>
        <v>4.2898728359123568E-3</v>
      </c>
      <c r="R75" s="2808"/>
      <c r="S75" s="2807"/>
      <c r="T75" s="2803"/>
      <c r="U75" s="2803"/>
      <c r="V75" s="2803"/>
      <c r="X75" s="2868"/>
      <c r="Y75" s="2868"/>
      <c r="Z75" s="2868"/>
    </row>
    <row r="76" spans="1:26">
      <c r="A76" s="2804" t="s">
        <v>2334</v>
      </c>
      <c r="B76" s="2805">
        <f t="shared" si="271"/>
        <v>124.29032258064517</v>
      </c>
      <c r="C76" s="2805">
        <f t="shared" si="271"/>
        <v>123.8968609865471</v>
      </c>
      <c r="D76" s="2805">
        <f t="shared" si="241"/>
        <v>123.8968609865471</v>
      </c>
      <c r="E76" s="2805">
        <f t="shared" si="272"/>
        <v>138.00507614213197</v>
      </c>
      <c r="F76" s="2805">
        <f t="shared" si="272"/>
        <v>107.96106557377048</v>
      </c>
      <c r="G76" s="3739">
        <v>2005</v>
      </c>
      <c r="H76" s="2819">
        <v>2</v>
      </c>
      <c r="I76" s="2819">
        <v>0.47</v>
      </c>
      <c r="J76" s="2819">
        <v>0.1</v>
      </c>
      <c r="K76" s="2819">
        <v>0.52</v>
      </c>
      <c r="L76" s="2820">
        <v>0.79</v>
      </c>
      <c r="N76" s="2866">
        <f t="shared" si="269"/>
        <v>1.420065760241713E-2</v>
      </c>
      <c r="O76" s="2867">
        <f t="shared" si="269"/>
        <v>3.3080938028376083E-3</v>
      </c>
      <c r="P76" s="2867">
        <f t="shared" si="270"/>
        <v>6.598984771573603E-2</v>
      </c>
      <c r="Q76" s="2867">
        <f t="shared" si="270"/>
        <v>5.2953117818293153E-3</v>
      </c>
      <c r="R76" s="2808"/>
      <c r="S76" s="2807"/>
      <c r="T76" s="2803"/>
      <c r="U76" s="2803"/>
      <c r="V76" s="2803"/>
      <c r="X76" s="2868"/>
      <c r="Y76" s="2868"/>
      <c r="Z76" s="2868"/>
    </row>
    <row r="77" spans="1:26">
      <c r="A77" s="2804" t="s">
        <v>2335</v>
      </c>
      <c r="B77" s="2805">
        <f t="shared" si="271"/>
        <v>122.57204301075269</v>
      </c>
      <c r="C77" s="2805">
        <f t="shared" si="271"/>
        <v>123.4932735426009</v>
      </c>
      <c r="D77" s="2805">
        <f t="shared" si="241"/>
        <v>123.4932735426009</v>
      </c>
      <c r="E77" s="2805">
        <f t="shared" si="272"/>
        <v>129.82233502538071</v>
      </c>
      <c r="F77" s="2805">
        <f t="shared" si="272"/>
        <v>107.39446721311475</v>
      </c>
      <c r="G77" s="3740">
        <v>2005</v>
      </c>
      <c r="H77" s="2806">
        <v>1</v>
      </c>
      <c r="I77" s="2806">
        <v>0.43</v>
      </c>
      <c r="J77" s="2806">
        <v>0.37</v>
      </c>
      <c r="K77" s="2806">
        <v>0.37</v>
      </c>
      <c r="L77" s="2812">
        <v>0.55000000000000004</v>
      </c>
      <c r="N77" s="2869">
        <f t="shared" si="269"/>
        <v>1.2992090997956099E-2</v>
      </c>
      <c r="O77" s="2870">
        <f t="shared" si="269"/>
        <v>1.2239947070499151E-2</v>
      </c>
      <c r="P77" s="2870">
        <f t="shared" si="270"/>
        <v>4.6954314720812178E-2</v>
      </c>
      <c r="Q77" s="2870">
        <f t="shared" si="270"/>
        <v>3.6866094683621815E-3</v>
      </c>
      <c r="R77" s="2808"/>
      <c r="S77" s="2809">
        <f>B77/B78-1</f>
        <v>1.2992090997956174E-2</v>
      </c>
      <c r="T77" s="2810">
        <f>C77/C78-1</f>
        <v>1.2239947070499246E-2</v>
      </c>
      <c r="U77" s="2810">
        <f>E77/E78-1</f>
        <v>4.695431472081224E-2</v>
      </c>
      <c r="V77" s="2810">
        <f>F77/F78-1</f>
        <v>3.6866094683620787E-3</v>
      </c>
      <c r="X77" s="2868"/>
      <c r="Y77" s="2868"/>
      <c r="Z77" s="2868"/>
    </row>
    <row r="78" spans="1:26" ht="13.5" thickBot="1">
      <c r="A78" s="2804" t="s">
        <v>2336</v>
      </c>
      <c r="B78" s="2854">
        <v>121</v>
      </c>
      <c r="C78" s="2854">
        <v>122</v>
      </c>
      <c r="D78" s="2854">
        <f t="shared" si="241"/>
        <v>122</v>
      </c>
      <c r="E78" s="2854">
        <v>124</v>
      </c>
      <c r="F78" s="2855">
        <v>107</v>
      </c>
      <c r="G78" s="3738">
        <v>2004</v>
      </c>
      <c r="H78" s="2828">
        <v>4</v>
      </c>
      <c r="I78" s="2828">
        <v>0.33</v>
      </c>
      <c r="J78" s="2828">
        <v>0.5</v>
      </c>
      <c r="K78" s="2828">
        <v>0.5</v>
      </c>
      <c r="L78" s="2829">
        <v>0</v>
      </c>
      <c r="N78" s="2866">
        <f t="shared" ref="N78:O81" si="273">I78/SUM(I$78:I$81)*(B$78/B$82-1)</f>
        <v>1.3391770148526898E-2</v>
      </c>
      <c r="O78" s="2867">
        <f t="shared" si="273"/>
        <v>1.063264221158958E-2</v>
      </c>
      <c r="P78" s="2867">
        <f t="shared" ref="P78:Q81" si="274">K78/SUM(K$78:K$81)*(E$78/E$82-1)</f>
        <v>2.2244466688911134E-2</v>
      </c>
      <c r="Q78" s="2867">
        <f t="shared" si="274"/>
        <v>0</v>
      </c>
      <c r="R78" s="2808"/>
      <c r="S78" s="2817"/>
      <c r="T78" s="2818"/>
      <c r="U78" s="2818"/>
      <c r="V78" s="2818"/>
      <c r="X78" s="2868"/>
      <c r="Y78" s="2868"/>
      <c r="Z78" s="2868"/>
    </row>
    <row r="79" spans="1:26">
      <c r="A79" s="2804" t="s">
        <v>2337</v>
      </c>
      <c r="B79" s="2805">
        <f t="shared" ref="B79:C81" si="275">B80+(B$78-B$82)*I79/SUM(I$78:I$81)</f>
        <v>119.51351351351352</v>
      </c>
      <c r="C79" s="2805">
        <f t="shared" si="275"/>
        <v>120.7878787878788</v>
      </c>
      <c r="D79" s="2805">
        <f t="shared" si="241"/>
        <v>120.7878787878788</v>
      </c>
      <c r="E79" s="2805">
        <f t="shared" ref="E79:F81" si="276">E80+(E$78-E$82)*K79/SUM(K$78:K$81)</f>
        <v>121.5975975975976</v>
      </c>
      <c r="F79" s="2805">
        <f t="shared" si="276"/>
        <v>107</v>
      </c>
      <c r="G79" s="3739">
        <v>2004</v>
      </c>
      <c r="H79" s="2831">
        <v>3</v>
      </c>
      <c r="I79" s="2831">
        <v>0.56000000000000005</v>
      </c>
      <c r="J79" s="2831">
        <v>0.8</v>
      </c>
      <c r="K79" s="2831">
        <v>0.83</v>
      </c>
      <c r="L79" s="2832">
        <v>0.06</v>
      </c>
      <c r="N79" s="2866">
        <f t="shared" si="273"/>
        <v>2.2725428130833527E-2</v>
      </c>
      <c r="O79" s="2867">
        <f t="shared" si="273"/>
        <v>1.7012227538543329E-2</v>
      </c>
      <c r="P79" s="2867">
        <f t="shared" si="274"/>
        <v>3.6925814703592477E-2</v>
      </c>
      <c r="Q79" s="2867">
        <f t="shared" si="274"/>
        <v>2.8846153846153744E-2</v>
      </c>
      <c r="R79" s="2808"/>
      <c r="S79" s="2807"/>
      <c r="T79" s="2803"/>
      <c r="U79" s="2803"/>
      <c r="V79" s="2803"/>
      <c r="X79" s="2868"/>
      <c r="Y79" s="2868"/>
      <c r="Z79" s="2868"/>
    </row>
    <row r="80" spans="1:26">
      <c r="A80" s="2804" t="s">
        <v>2338</v>
      </c>
      <c r="B80" s="2805">
        <f t="shared" si="275"/>
        <v>116.99099099099099</v>
      </c>
      <c r="C80" s="2805">
        <f t="shared" si="275"/>
        <v>118.84848484848486</v>
      </c>
      <c r="D80" s="2805">
        <f t="shared" si="241"/>
        <v>118.84848484848486</v>
      </c>
      <c r="E80" s="2805">
        <f t="shared" si="276"/>
        <v>117.60960960960961</v>
      </c>
      <c r="F80" s="2805">
        <f t="shared" si="276"/>
        <v>104</v>
      </c>
      <c r="G80" s="3739">
        <v>2004</v>
      </c>
      <c r="H80" s="2819">
        <v>2</v>
      </c>
      <c r="I80" s="2819">
        <v>1</v>
      </c>
      <c r="J80" s="2819">
        <v>1.5</v>
      </c>
      <c r="K80" s="2819">
        <v>1.5</v>
      </c>
      <c r="L80" s="2820">
        <v>0</v>
      </c>
      <c r="N80" s="2866">
        <f t="shared" si="273"/>
        <v>4.0581121662202721E-2</v>
      </c>
      <c r="O80" s="2867">
        <f t="shared" si="273"/>
        <v>3.1897926634768738E-2</v>
      </c>
      <c r="P80" s="2867">
        <f t="shared" si="274"/>
        <v>6.6733400066733395E-2</v>
      </c>
      <c r="Q80" s="2867">
        <f t="shared" si="274"/>
        <v>0</v>
      </c>
      <c r="R80" s="2808"/>
      <c r="S80" s="2807"/>
      <c r="T80" s="2803"/>
      <c r="U80" s="2803"/>
      <c r="V80" s="2803"/>
      <c r="X80" s="2868"/>
      <c r="Y80" s="2868"/>
      <c r="Z80" s="2868"/>
    </row>
    <row r="81" spans="1:26" s="2860" customFormat="1" ht="13.5" thickBot="1">
      <c r="A81" s="2804" t="s">
        <v>2339</v>
      </c>
      <c r="B81" s="2857">
        <f t="shared" si="275"/>
        <v>112.48648648648648</v>
      </c>
      <c r="C81" s="2857">
        <f t="shared" si="275"/>
        <v>115.21212121212122</v>
      </c>
      <c r="D81" s="2857">
        <f t="shared" si="241"/>
        <v>115.21212121212122</v>
      </c>
      <c r="E81" s="2857">
        <f t="shared" si="276"/>
        <v>110.4024024024024</v>
      </c>
      <c r="F81" s="2857">
        <f t="shared" si="276"/>
        <v>104</v>
      </c>
      <c r="G81" s="3740">
        <v>2004</v>
      </c>
      <c r="H81" s="2858">
        <v>1</v>
      </c>
      <c r="I81" s="2858">
        <v>0.33</v>
      </c>
      <c r="J81" s="2858">
        <v>0.5</v>
      </c>
      <c r="K81" s="2858">
        <v>0.5</v>
      </c>
      <c r="L81" s="2859">
        <v>0</v>
      </c>
      <c r="N81" s="2871">
        <f t="shared" si="273"/>
        <v>1.3391770148526898E-2</v>
      </c>
      <c r="O81" s="2872">
        <f t="shared" si="273"/>
        <v>1.063264221158958E-2</v>
      </c>
      <c r="P81" s="2872">
        <f t="shared" si="274"/>
        <v>2.2244466688911134E-2</v>
      </c>
      <c r="Q81" s="2872">
        <f t="shared" si="274"/>
        <v>0</v>
      </c>
      <c r="R81" s="2863"/>
      <c r="S81" s="2861">
        <f>B81/B82-1</f>
        <v>1.3391770148526883E-2</v>
      </c>
      <c r="T81" s="2862">
        <f>C81/C82-1</f>
        <v>1.063264221158966E-2</v>
      </c>
      <c r="U81" s="2862">
        <f>E81/E82-1</f>
        <v>2.2244466688911224E-2</v>
      </c>
      <c r="V81" s="2862">
        <f>F81/F82-1</f>
        <v>0</v>
      </c>
      <c r="X81" s="2873"/>
      <c r="Y81" s="2873"/>
      <c r="Z81" s="2873"/>
    </row>
    <row r="82" spans="1:26" ht="13.5" thickBot="1">
      <c r="A82" s="2804" t="s">
        <v>2340</v>
      </c>
      <c r="B82" s="2874">
        <v>111</v>
      </c>
      <c r="C82" s="2874">
        <v>114</v>
      </c>
      <c r="D82" s="2874">
        <f t="shared" si="241"/>
        <v>114</v>
      </c>
      <c r="E82" s="2874">
        <v>108</v>
      </c>
      <c r="F82" s="2875">
        <v>104</v>
      </c>
      <c r="G82" s="3738">
        <v>2003</v>
      </c>
      <c r="H82" s="2864">
        <v>4</v>
      </c>
      <c r="I82" s="2876"/>
      <c r="J82" s="2876"/>
      <c r="K82" s="2876"/>
      <c r="L82" s="2876"/>
      <c r="N82" s="2877"/>
      <c r="O82" s="2876"/>
      <c r="P82" s="2876"/>
      <c r="Q82" s="2876"/>
      <c r="S82" s="2877"/>
      <c r="T82" s="2876"/>
      <c r="U82" s="2876"/>
      <c r="V82" s="2876"/>
      <c r="X82" s="2868"/>
      <c r="Y82" s="2868"/>
      <c r="Z82" s="2868"/>
    </row>
    <row r="83" spans="1:26">
      <c r="A83" s="2804" t="s">
        <v>2341</v>
      </c>
      <c r="B83" s="2878">
        <f t="shared" ref="B83:C85" si="277">B84+(B$82-B$86)/4</f>
        <v>109.75</v>
      </c>
      <c r="C83" s="2878">
        <f t="shared" si="277"/>
        <v>112.25</v>
      </c>
      <c r="D83" s="2878">
        <f t="shared" si="241"/>
        <v>112.25</v>
      </c>
      <c r="E83" s="2878">
        <f t="shared" ref="E83:F85" si="278">E84+(E$82-E$86)/4</f>
        <v>107.25</v>
      </c>
      <c r="F83" s="2878">
        <f t="shared" si="278"/>
        <v>103.5</v>
      </c>
      <c r="G83" s="3739">
        <v>2003</v>
      </c>
      <c r="H83" s="2831">
        <v>3</v>
      </c>
      <c r="I83" s="2876"/>
      <c r="J83" s="2876"/>
      <c r="K83" s="2876"/>
      <c r="L83" s="2876"/>
      <c r="X83" s="2868"/>
      <c r="Y83" s="2868"/>
      <c r="Z83" s="2868"/>
    </row>
    <row r="84" spans="1:26">
      <c r="A84" s="2804" t="s">
        <v>2342</v>
      </c>
      <c r="B84" s="2878">
        <f t="shared" si="277"/>
        <v>108.5</v>
      </c>
      <c r="C84" s="2878">
        <f t="shared" si="277"/>
        <v>110.5</v>
      </c>
      <c r="D84" s="2878">
        <f t="shared" si="241"/>
        <v>110.5</v>
      </c>
      <c r="E84" s="2878">
        <f t="shared" si="278"/>
        <v>106.5</v>
      </c>
      <c r="F84" s="2878">
        <f t="shared" si="278"/>
        <v>103</v>
      </c>
      <c r="G84" s="3739">
        <v>2003</v>
      </c>
      <c r="H84" s="2819">
        <v>2</v>
      </c>
      <c r="I84" s="2876"/>
      <c r="J84" s="2876"/>
      <c r="K84" s="2876"/>
      <c r="L84" s="2876"/>
      <c r="X84" s="2868"/>
      <c r="Y84" s="2868"/>
      <c r="Z84" s="2868"/>
    </row>
    <row r="85" spans="1:26" ht="13.5" thickBot="1">
      <c r="A85" s="2804" t="s">
        <v>2343</v>
      </c>
      <c r="B85" s="2878">
        <f t="shared" si="277"/>
        <v>107.25</v>
      </c>
      <c r="C85" s="2878">
        <f t="shared" si="277"/>
        <v>108.75</v>
      </c>
      <c r="D85" s="2878">
        <f t="shared" si="241"/>
        <v>108.75</v>
      </c>
      <c r="E85" s="2878">
        <f t="shared" si="278"/>
        <v>105.75</v>
      </c>
      <c r="F85" s="2878">
        <f t="shared" si="278"/>
        <v>102.5</v>
      </c>
      <c r="G85" s="3740">
        <v>2003</v>
      </c>
      <c r="H85" s="2879">
        <v>1</v>
      </c>
      <c r="I85" s="2876"/>
      <c r="J85" s="2876"/>
      <c r="K85" s="2876"/>
      <c r="L85" s="2876"/>
      <c r="S85" s="2807"/>
      <c r="T85" s="2803"/>
      <c r="U85" s="2803"/>
      <c r="X85" s="2868"/>
      <c r="Y85" s="2868"/>
      <c r="Z85" s="2868"/>
    </row>
    <row r="86" spans="1:26" ht="13.5" thickBot="1">
      <c r="A86" s="2804" t="s">
        <v>2344</v>
      </c>
      <c r="B86" s="2880">
        <v>106</v>
      </c>
      <c r="C86" s="2880">
        <v>107</v>
      </c>
      <c r="D86" s="2880">
        <f t="shared" si="241"/>
        <v>107</v>
      </c>
      <c r="E86" s="2880">
        <v>105</v>
      </c>
      <c r="F86" s="2881">
        <v>102</v>
      </c>
      <c r="G86" s="3738">
        <v>2002</v>
      </c>
      <c r="H86" s="2828">
        <v>4</v>
      </c>
      <c r="I86" s="2876"/>
      <c r="J86" s="2876"/>
      <c r="K86" s="2876"/>
      <c r="L86" s="2876"/>
      <c r="N86" s="2877"/>
      <c r="O86" s="2876"/>
      <c r="P86" s="2876"/>
      <c r="Q86" s="2876"/>
      <c r="S86" s="2877"/>
      <c r="T86" s="2876"/>
      <c r="U86" s="2876"/>
      <c r="V86" s="2876"/>
      <c r="X86" s="2868"/>
      <c r="Y86" s="2868"/>
      <c r="Z86" s="2868"/>
    </row>
    <row r="87" spans="1:26">
      <c r="A87" s="2804" t="s">
        <v>2345</v>
      </c>
      <c r="B87" s="2878">
        <f t="shared" ref="B87:C89" si="279">B88+(B$86-B$90)/4</f>
        <v>105</v>
      </c>
      <c r="C87" s="2878">
        <f t="shared" si="279"/>
        <v>106</v>
      </c>
      <c r="D87" s="2878">
        <f t="shared" si="241"/>
        <v>106</v>
      </c>
      <c r="E87" s="2878">
        <f t="shared" ref="E87:F89" si="280">E88+(E$86-E$90)/4</f>
        <v>104.5</v>
      </c>
      <c r="F87" s="2878">
        <f t="shared" si="280"/>
        <v>101.5</v>
      </c>
      <c r="G87" s="3739">
        <v>2002</v>
      </c>
      <c r="H87" s="2831">
        <v>3</v>
      </c>
      <c r="I87" s="2876"/>
      <c r="J87" s="2876"/>
      <c r="K87" s="2876"/>
      <c r="L87" s="2876"/>
      <c r="X87" s="2868"/>
      <c r="Y87" s="2868"/>
      <c r="Z87" s="2868"/>
    </row>
    <row r="88" spans="1:26">
      <c r="A88" s="2804" t="s">
        <v>2346</v>
      </c>
      <c r="B88" s="2878">
        <f t="shared" si="279"/>
        <v>104</v>
      </c>
      <c r="C88" s="2878">
        <f t="shared" si="279"/>
        <v>105</v>
      </c>
      <c r="D88" s="2878">
        <f t="shared" si="241"/>
        <v>105</v>
      </c>
      <c r="E88" s="2878">
        <f t="shared" si="280"/>
        <v>104</v>
      </c>
      <c r="F88" s="2878">
        <f t="shared" si="280"/>
        <v>101</v>
      </c>
      <c r="G88" s="3739">
        <v>2002</v>
      </c>
      <c r="H88" s="2819">
        <v>2</v>
      </c>
      <c r="I88" s="2876"/>
      <c r="J88" s="2876"/>
      <c r="K88" s="2876"/>
      <c r="L88" s="2876"/>
      <c r="X88" s="2868"/>
      <c r="Y88" s="2868"/>
      <c r="Z88" s="2868"/>
    </row>
    <row r="89" spans="1:26" s="2841" customFormat="1" ht="13.5" thickBot="1">
      <c r="A89" s="2837" t="s">
        <v>2347</v>
      </c>
      <c r="B89" s="2844">
        <f t="shared" si="279"/>
        <v>103</v>
      </c>
      <c r="C89" s="2844">
        <f t="shared" si="279"/>
        <v>104</v>
      </c>
      <c r="D89" s="2844">
        <f t="shared" si="241"/>
        <v>104</v>
      </c>
      <c r="E89" s="2844">
        <f t="shared" si="280"/>
        <v>103.5</v>
      </c>
      <c r="F89" s="2844">
        <f t="shared" si="280"/>
        <v>100.5</v>
      </c>
      <c r="G89" s="3740">
        <v>2002</v>
      </c>
      <c r="H89" s="2882">
        <v>1</v>
      </c>
      <c r="I89" s="2883"/>
      <c r="J89" s="2883"/>
      <c r="K89" s="2883"/>
      <c r="L89" s="2883"/>
      <c r="N89" s="2884"/>
      <c r="S89" s="2884"/>
      <c r="X89" s="2885"/>
      <c r="Y89" s="2885"/>
      <c r="Z89" s="2885"/>
    </row>
    <row r="90" spans="1:26" ht="13.5" thickBot="1">
      <c r="B90" s="2886">
        <v>102</v>
      </c>
      <c r="C90" s="2887">
        <v>103</v>
      </c>
      <c r="D90" s="2887">
        <f t="shared" si="241"/>
        <v>103</v>
      </c>
      <c r="E90" s="2887">
        <v>103</v>
      </c>
      <c r="F90" s="2888">
        <v>100</v>
      </c>
      <c r="I90" s="2876"/>
      <c r="J90" s="2876"/>
      <c r="K90" s="2876"/>
      <c r="L90" s="2876"/>
      <c r="N90" s="2877"/>
      <c r="O90" s="2876"/>
      <c r="P90" s="2876"/>
      <c r="Q90" s="2876"/>
      <c r="S90" s="2877"/>
      <c r="T90" s="2876"/>
      <c r="U90" s="2876"/>
      <c r="V90" s="2876"/>
      <c r="X90" s="2818"/>
      <c r="Y90" s="2818"/>
      <c r="Z90" s="2818"/>
    </row>
    <row r="92" spans="1:26" s="2890" customFormat="1">
      <c r="A92" s="2889" t="s">
        <v>2348</v>
      </c>
      <c r="G92" s="2891"/>
      <c r="N92" s="2891"/>
      <c r="S92" s="2891"/>
    </row>
    <row r="93" spans="1:26" s="2890" customFormat="1">
      <c r="A93" s="2890" t="s">
        <v>2349</v>
      </c>
      <c r="G93" s="2891"/>
      <c r="N93" s="2891"/>
      <c r="S93" s="2891"/>
    </row>
    <row r="94" spans="1:26" s="2890" customFormat="1">
      <c r="A94" s="2890" t="s">
        <v>2350</v>
      </c>
      <c r="G94" s="2891"/>
      <c r="I94" s="2892"/>
      <c r="J94" s="2892"/>
      <c r="K94" s="2892"/>
      <c r="L94" s="2892"/>
      <c r="N94" s="2893"/>
      <c r="O94" s="2892"/>
      <c r="P94" s="2892"/>
      <c r="Q94" s="2892"/>
      <c r="S94" s="2893"/>
      <c r="T94" s="2892"/>
      <c r="U94" s="2892"/>
      <c r="V94" s="2892"/>
    </row>
    <row r="95" spans="1:26" s="2890" customFormat="1">
      <c r="A95" s="2890" t="s">
        <v>2351</v>
      </c>
      <c r="G95" s="2891"/>
      <c r="N95" s="2891"/>
      <c r="S95" s="2891"/>
    </row>
    <row r="102" spans="7:22" ht="13.5" thickBot="1"/>
    <row r="103" spans="7:22">
      <c r="G103" s="2802"/>
      <c r="S103" s="2894" t="s">
        <v>2352</v>
      </c>
      <c r="T103" s="2895" t="s">
        <v>2353</v>
      </c>
      <c r="U103" s="2895" t="s">
        <v>2354</v>
      </c>
      <c r="V103" s="2895" t="s">
        <v>2355</v>
      </c>
    </row>
    <row r="104" spans="7:22">
      <c r="G104" s="2802"/>
      <c r="N104" s="2817"/>
      <c r="O104" s="2818"/>
      <c r="P104" s="2818"/>
      <c r="Q104" s="2818"/>
      <c r="S104" s="2896">
        <v>2006</v>
      </c>
      <c r="T104" s="2897">
        <v>15.1</v>
      </c>
      <c r="U104" s="2897">
        <v>7.43</v>
      </c>
      <c r="V104" s="2897">
        <v>26.26</v>
      </c>
    </row>
    <row r="105" spans="7:22">
      <c r="G105" s="2802"/>
      <c r="N105" s="2817"/>
      <c r="O105" s="2818"/>
      <c r="P105" s="2818"/>
      <c r="Q105" s="2818"/>
      <c r="S105" s="2898">
        <v>2005</v>
      </c>
      <c r="T105" s="2899">
        <v>13.9</v>
      </c>
      <c r="U105" s="2899">
        <v>7.49</v>
      </c>
      <c r="V105" s="2899">
        <v>24.92</v>
      </c>
    </row>
    <row r="106" spans="7:22">
      <c r="G106" s="2802"/>
      <c r="N106" s="2817"/>
      <c r="O106" s="2818"/>
      <c r="P106" s="2818"/>
      <c r="Q106" s="2818"/>
      <c r="S106" s="2896">
        <v>2004</v>
      </c>
      <c r="T106" s="2897">
        <v>9.48</v>
      </c>
      <c r="U106" s="2897">
        <v>7.2</v>
      </c>
      <c r="V106" s="2897">
        <v>14.68</v>
      </c>
    </row>
    <row r="107" spans="7:22">
      <c r="G107" s="2802"/>
      <c r="N107" s="2817"/>
      <c r="O107" s="2818"/>
      <c r="P107" s="2818"/>
      <c r="Q107" s="2818"/>
      <c r="S107" s="2898">
        <v>2003</v>
      </c>
      <c r="T107" s="2899">
        <v>4.5</v>
      </c>
      <c r="U107" s="2899">
        <v>6.12</v>
      </c>
      <c r="V107" s="2899">
        <v>2.34</v>
      </c>
    </row>
    <row r="108" spans="7:22" ht="13.5" thickBot="1">
      <c r="G108" s="2802"/>
      <c r="N108" s="2817"/>
      <c r="O108" s="2818"/>
      <c r="P108" s="2818"/>
      <c r="Q108" s="2818"/>
      <c r="S108" s="2900">
        <v>2002</v>
      </c>
      <c r="T108" s="2901">
        <v>3.59</v>
      </c>
      <c r="U108" s="2901">
        <v>4.54</v>
      </c>
      <c r="V108" s="2901">
        <v>2.5499999999999998</v>
      </c>
    </row>
    <row r="109" spans="7:22">
      <c r="G109" s="2802"/>
      <c r="N109" s="2817"/>
      <c r="O109" s="2818"/>
      <c r="P109" s="2818"/>
      <c r="Q109" s="2818"/>
    </row>
    <row r="110" spans="7:22">
      <c r="G110" s="2802"/>
      <c r="N110" s="2817"/>
      <c r="O110" s="2818"/>
      <c r="P110" s="2818"/>
      <c r="Q110" s="2818"/>
    </row>
    <row r="111" spans="7:22">
      <c r="G111" s="2802"/>
      <c r="N111" s="2817"/>
      <c r="O111" s="2818"/>
      <c r="P111" s="2818"/>
      <c r="Q111" s="2818"/>
    </row>
    <row r="112" spans="7:22">
      <c r="G112" s="2802"/>
      <c r="N112" s="2817"/>
      <c r="O112" s="2818"/>
      <c r="P112" s="2818"/>
      <c r="Q112" s="2818"/>
    </row>
    <row r="113" spans="7:19">
      <c r="G113" s="2802"/>
      <c r="N113" s="2817"/>
      <c r="O113" s="2818"/>
      <c r="P113" s="2818"/>
      <c r="Q113" s="2818"/>
    </row>
    <row r="114" spans="7:19">
      <c r="G114" s="2802"/>
      <c r="N114" s="2817"/>
      <c r="O114" s="2818"/>
      <c r="P114" s="2818"/>
      <c r="Q114" s="2818"/>
    </row>
    <row r="115" spans="7:19">
      <c r="G115" s="2802"/>
      <c r="N115" s="2817"/>
      <c r="O115" s="2818"/>
      <c r="P115" s="2818"/>
      <c r="Q115" s="2818"/>
    </row>
    <row r="116" spans="7:19">
      <c r="G116" s="2802"/>
      <c r="N116" s="2817"/>
      <c r="O116" s="2818"/>
      <c r="P116" s="2818"/>
      <c r="Q116" s="2818"/>
    </row>
    <row r="117" spans="7:19">
      <c r="G117" s="2802"/>
      <c r="N117" s="2817"/>
      <c r="O117" s="2818"/>
      <c r="P117" s="2818"/>
      <c r="Q117" s="2818"/>
    </row>
    <row r="118" spans="7:19">
      <c r="G118" s="2802"/>
      <c r="N118" s="2817"/>
      <c r="O118" s="2818"/>
      <c r="P118" s="2818"/>
      <c r="Q118" s="2818"/>
    </row>
    <row r="119" spans="7:19">
      <c r="G119" s="2802"/>
      <c r="N119" s="2817"/>
      <c r="O119" s="2818"/>
      <c r="P119" s="2818"/>
      <c r="Q119" s="2818"/>
      <c r="S119" s="2802"/>
    </row>
    <row r="120" spans="7:19">
      <c r="G120" s="2802"/>
      <c r="N120" s="2817"/>
      <c r="O120" s="2818"/>
      <c r="P120" s="2818"/>
      <c r="Q120" s="2818"/>
      <c r="S120" s="2802"/>
    </row>
    <row r="121" spans="7:19">
      <c r="G121" s="2802"/>
      <c r="N121" s="2817"/>
      <c r="O121" s="2818"/>
      <c r="P121" s="2818"/>
      <c r="Q121" s="2818"/>
      <c r="S121" s="2802"/>
    </row>
    <row r="122" spans="7:19">
      <c r="G122" s="2802"/>
      <c r="N122" s="2817"/>
      <c r="O122" s="2818"/>
      <c r="P122" s="2818"/>
      <c r="Q122" s="2818"/>
      <c r="S122" s="2802"/>
    </row>
    <row r="123" spans="7:19">
      <c r="G123" s="2802"/>
      <c r="N123" s="2817"/>
      <c r="O123" s="2818"/>
      <c r="P123" s="2818"/>
      <c r="Q123" s="2818"/>
      <c r="S123" s="2802"/>
    </row>
    <row r="124" spans="7:19">
      <c r="G124" s="2802"/>
      <c r="N124" s="2817"/>
      <c r="O124" s="2818"/>
      <c r="P124" s="2818"/>
      <c r="Q124" s="2818"/>
      <c r="S124" s="2802"/>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3154" customWidth="1"/>
    <col min="2" max="2" width="12.5" style="3154" customWidth="1"/>
    <col min="3" max="3" width="12.125" style="3154" customWidth="1"/>
    <col min="4" max="4" width="16.625" style="3154" customWidth="1"/>
    <col min="5" max="5" width="12.5" style="3154" customWidth="1"/>
    <col min="6" max="6" width="12.75" style="3154" customWidth="1"/>
    <col min="7" max="16384" width="8.875" style="3154"/>
  </cols>
  <sheetData>
    <row r="1" spans="1:14" ht="20.25">
      <c r="A1" s="3157" t="s">
        <v>2645</v>
      </c>
      <c r="B1" s="3152"/>
      <c r="C1" s="3152"/>
      <c r="D1" s="3152"/>
      <c r="E1" s="3152"/>
      <c r="F1" s="3152"/>
      <c r="G1" s="3153"/>
      <c r="H1" s="3153"/>
      <c r="I1" s="3153"/>
      <c r="J1" s="3153"/>
      <c r="K1" s="3153"/>
      <c r="L1" s="3153"/>
      <c r="M1" s="3153"/>
      <c r="N1" s="3153"/>
    </row>
    <row r="2" spans="1:14" ht="14.25">
      <c r="A2" s="3158" t="s">
        <v>2640</v>
      </c>
      <c r="B2" s="3163">
        <f ca="1">SUMIF(B7:B14,"&lt;&gt;#ref!",B7:B14)</f>
        <v>0</v>
      </c>
      <c r="C2" s="3158" t="s">
        <v>2641</v>
      </c>
      <c r="D2" s="3155"/>
      <c r="E2" s="3155"/>
      <c r="F2" s="3155"/>
      <c r="G2" s="3153"/>
      <c r="H2" s="3153"/>
      <c r="I2" s="3153"/>
      <c r="J2" s="3153"/>
      <c r="K2" s="3153"/>
      <c r="L2" s="3153"/>
      <c r="M2" s="3153"/>
      <c r="N2" s="3153"/>
    </row>
    <row r="3" spans="1:14" ht="14.25">
      <c r="A3" s="3158" t="s">
        <v>2669</v>
      </c>
      <c r="B3" s="3163" t="e">
        <f ca="1">ROUND(B2*10000/E3,0)</f>
        <v>#DIV/0!</v>
      </c>
      <c r="C3" s="3158" t="s">
        <v>1870</v>
      </c>
      <c r="D3" s="3158" t="s">
        <v>2642</v>
      </c>
      <c r="E3" s="3156">
        <f ca="1">SUMIF(E7:E14,"&lt;&gt;#ref!",E7:E14)</f>
        <v>0</v>
      </c>
      <c r="F3" s="3155"/>
      <c r="G3" s="3153"/>
      <c r="H3" s="3153"/>
      <c r="I3" s="3153"/>
      <c r="J3" s="3153"/>
      <c r="K3" s="3153"/>
      <c r="L3" s="3153"/>
      <c r="M3" s="3153"/>
      <c r="N3" s="3153"/>
    </row>
    <row r="4" spans="1:14" ht="14.25">
      <c r="A4" s="3158" t="s">
        <v>2648</v>
      </c>
      <c r="B4" s="3163" t="e">
        <f ca="1">ROUND(B2*10000/E4,0)</f>
        <v>#DIV/0!</v>
      </c>
      <c r="C4" s="3158" t="s">
        <v>1870</v>
      </c>
      <c r="D4" s="3158" t="s">
        <v>2649</v>
      </c>
      <c r="E4" s="3156">
        <f ca="1">SUMIF(F7:F14,"&lt;&gt;#ref!",F7:F14)</f>
        <v>0</v>
      </c>
      <c r="F4" s="3155"/>
      <c r="G4" s="3153"/>
      <c r="H4" s="3153"/>
      <c r="I4" s="3153"/>
      <c r="J4" s="3153"/>
      <c r="K4" s="3153"/>
      <c r="L4" s="3153"/>
      <c r="M4" s="3153"/>
      <c r="N4" s="3153"/>
    </row>
    <row r="5" spans="1:14" ht="14.25">
      <c r="A5" s="3159"/>
      <c r="B5" s="3155"/>
      <c r="C5" s="3155"/>
      <c r="D5" s="3155"/>
      <c r="E5" s="3155"/>
      <c r="F5" s="3155"/>
      <c r="G5" s="3153"/>
      <c r="H5" s="3153"/>
      <c r="I5" s="3153"/>
      <c r="J5" s="3153"/>
      <c r="K5" s="3153"/>
      <c r="L5" s="3153"/>
      <c r="M5" s="3153"/>
      <c r="N5" s="3153"/>
    </row>
    <row r="6" spans="1:14" ht="28.5">
      <c r="A6" s="3160" t="s">
        <v>2646</v>
      </c>
      <c r="B6" s="3158" t="s">
        <v>2643</v>
      </c>
      <c r="C6" s="2706"/>
      <c r="D6" s="3155"/>
      <c r="E6" s="3158" t="s">
        <v>2644</v>
      </c>
      <c r="F6" s="3158" t="s">
        <v>2647</v>
      </c>
      <c r="G6" s="3153"/>
      <c r="H6" s="3153"/>
      <c r="I6" s="3153"/>
      <c r="J6" s="3153"/>
      <c r="K6" s="3153"/>
      <c r="L6" s="3153"/>
      <c r="M6" s="3153"/>
      <c r="N6" s="3153"/>
    </row>
    <row r="7" spans="1:14" ht="14.25">
      <c r="A7" s="3161"/>
      <c r="B7" s="3163" t="e">
        <f ca="1">SUMIF(INDIRECT("'"&amp;A7&amp;"'"&amp;"!A:A"),"总价",INDIRECT("'"&amp;A7&amp;"'"&amp;"!B:B"))</f>
        <v>#REF!</v>
      </c>
      <c r="C7" s="3158" t="s">
        <v>2641</v>
      </c>
      <c r="D7" s="3155"/>
      <c r="E7" s="3156" t="e">
        <f ca="1">SUMIF(INDIRECT("'"&amp;A7&amp;"'"&amp;"!C:C"),"建筑面积",INDIRECT("'"&amp;A7&amp;"'"&amp;"!D:D"))</f>
        <v>#REF!</v>
      </c>
      <c r="F7" s="3156" t="e">
        <f ca="1">SUMIF(INDIRECT("'"&amp;A7&amp;"'"&amp;"!E:E"),"土地面积",INDIRECT("'"&amp;A7&amp;"'"&amp;"!F:F"))</f>
        <v>#REF!</v>
      </c>
      <c r="G7" s="3153"/>
      <c r="H7" s="3153"/>
      <c r="I7" s="3153"/>
      <c r="J7" s="3153"/>
      <c r="K7" s="3153"/>
      <c r="L7" s="3153"/>
      <c r="M7" s="3153"/>
      <c r="N7" s="3153"/>
    </row>
    <row r="8" spans="1:14" ht="14.25">
      <c r="A8" s="3161"/>
      <c r="B8" s="3163" t="e">
        <f t="shared" ref="B8:B14" ca="1" si="0">SUMIF(INDIRECT("'"&amp;A8&amp;"'"&amp;"!A:A"),"总价",INDIRECT("'"&amp;A8&amp;"'"&amp;"!B:B"))</f>
        <v>#REF!</v>
      </c>
      <c r="C8" s="3158" t="s">
        <v>2641</v>
      </c>
      <c r="D8" s="3155"/>
      <c r="E8" s="3156" t="e">
        <f t="shared" ref="E8:E14" ca="1" si="1">SUMIF(INDIRECT("'"&amp;A8&amp;"'"&amp;"!C:C"),"建筑面积",INDIRECT("'"&amp;A8&amp;"'"&amp;"!D:D"))</f>
        <v>#REF!</v>
      </c>
      <c r="F8" s="3156" t="e">
        <f t="shared" ref="F8:F14" ca="1" si="2">SUMIF(INDIRECT("'"&amp;A8&amp;"'"&amp;"!E:E"),"土地面积",INDIRECT("'"&amp;A8&amp;"'"&amp;"!F:F"))</f>
        <v>#REF!</v>
      </c>
      <c r="G8" s="3153"/>
      <c r="H8" s="3153"/>
      <c r="I8" s="3153"/>
      <c r="J8" s="3153"/>
      <c r="K8" s="3153"/>
      <c r="L8" s="3153"/>
      <c r="M8" s="3153"/>
      <c r="N8" s="3153"/>
    </row>
    <row r="9" spans="1:14" ht="14.25">
      <c r="A9" s="3161"/>
      <c r="B9" s="3163" t="e">
        <f t="shared" ca="1" si="0"/>
        <v>#REF!</v>
      </c>
      <c r="C9" s="3158" t="s">
        <v>2641</v>
      </c>
      <c r="D9" s="3155"/>
      <c r="E9" s="3156" t="e">
        <f t="shared" ca="1" si="1"/>
        <v>#REF!</v>
      </c>
      <c r="F9" s="3156" t="e">
        <f t="shared" ca="1" si="2"/>
        <v>#REF!</v>
      </c>
      <c r="G9" s="3153"/>
      <c r="H9" s="3153"/>
      <c r="I9" s="3153"/>
      <c r="J9" s="3153"/>
      <c r="K9" s="3153"/>
      <c r="L9" s="3153"/>
      <c r="M9" s="3153"/>
      <c r="N9" s="3153"/>
    </row>
    <row r="10" spans="1:14" ht="14.25">
      <c r="A10" s="3161"/>
      <c r="B10" s="3163" t="e">
        <f t="shared" ca="1" si="0"/>
        <v>#REF!</v>
      </c>
      <c r="C10" s="3158" t="s">
        <v>2641</v>
      </c>
      <c r="D10" s="3155"/>
      <c r="E10" s="3156" t="e">
        <f t="shared" ca="1" si="1"/>
        <v>#REF!</v>
      </c>
      <c r="F10" s="3156" t="e">
        <f t="shared" ca="1" si="2"/>
        <v>#REF!</v>
      </c>
      <c r="G10" s="3153"/>
      <c r="H10" s="3153"/>
      <c r="I10" s="3153"/>
      <c r="J10" s="3153"/>
      <c r="K10" s="3153"/>
      <c r="L10" s="3153"/>
      <c r="M10" s="3153"/>
      <c r="N10" s="3153"/>
    </row>
    <row r="11" spans="1:14" ht="14.25">
      <c r="A11" s="3161"/>
      <c r="B11" s="3163" t="e">
        <f t="shared" ca="1" si="0"/>
        <v>#REF!</v>
      </c>
      <c r="C11" s="3158" t="s">
        <v>2641</v>
      </c>
      <c r="D11" s="3155"/>
      <c r="E11" s="3156" t="e">
        <f t="shared" ca="1" si="1"/>
        <v>#REF!</v>
      </c>
      <c r="F11" s="3156" t="e">
        <f t="shared" ca="1" si="2"/>
        <v>#REF!</v>
      </c>
      <c r="G11" s="3153"/>
      <c r="H11" s="3153"/>
      <c r="I11" s="3153"/>
      <c r="J11" s="3153"/>
      <c r="K11" s="3153"/>
      <c r="L11" s="3153"/>
      <c r="M11" s="3153"/>
      <c r="N11" s="3153"/>
    </row>
    <row r="12" spans="1:14" ht="14.25">
      <c r="A12" s="3161"/>
      <c r="B12" s="3163" t="e">
        <f t="shared" ca="1" si="0"/>
        <v>#REF!</v>
      </c>
      <c r="C12" s="3158" t="s">
        <v>2641</v>
      </c>
      <c r="D12" s="3155"/>
      <c r="E12" s="3156" t="e">
        <f t="shared" ca="1" si="1"/>
        <v>#REF!</v>
      </c>
      <c r="F12" s="3156" t="e">
        <f t="shared" ca="1" si="2"/>
        <v>#REF!</v>
      </c>
      <c r="G12" s="3153"/>
      <c r="H12" s="3153"/>
      <c r="I12" s="3153"/>
      <c r="J12" s="3153"/>
      <c r="K12" s="3153"/>
      <c r="L12" s="3153"/>
      <c r="M12" s="3153"/>
      <c r="N12" s="3153"/>
    </row>
    <row r="13" spans="1:14" ht="14.25">
      <c r="A13" s="3161"/>
      <c r="B13" s="3163" t="e">
        <f t="shared" ca="1" si="0"/>
        <v>#REF!</v>
      </c>
      <c r="C13" s="3158" t="s">
        <v>2641</v>
      </c>
      <c r="D13" s="3155"/>
      <c r="E13" s="3156" t="e">
        <f t="shared" ca="1" si="1"/>
        <v>#REF!</v>
      </c>
      <c r="F13" s="3156" t="e">
        <f t="shared" ca="1" si="2"/>
        <v>#REF!</v>
      </c>
      <c r="G13" s="3153"/>
      <c r="H13" s="3153"/>
      <c r="I13" s="3153"/>
      <c r="J13" s="3153"/>
      <c r="K13" s="3153"/>
      <c r="L13" s="3153"/>
      <c r="M13" s="3153"/>
      <c r="N13" s="3153"/>
    </row>
    <row r="14" spans="1:14" ht="14.25">
      <c r="A14" s="3162"/>
      <c r="B14" s="3163" t="e">
        <f t="shared" ca="1" si="0"/>
        <v>#REF!</v>
      </c>
      <c r="C14" s="3158" t="s">
        <v>2641</v>
      </c>
      <c r="D14" s="3155"/>
      <c r="E14" s="3156" t="e">
        <f t="shared" ca="1" si="1"/>
        <v>#REF!</v>
      </c>
      <c r="F14" s="3156" t="e">
        <f t="shared" ca="1" si="2"/>
        <v>#REF!</v>
      </c>
      <c r="G14" s="3153"/>
      <c r="H14" s="3153"/>
      <c r="I14" s="3153"/>
      <c r="J14" s="3153"/>
      <c r="K14" s="3153"/>
      <c r="L14" s="3153"/>
      <c r="M14" s="3153"/>
      <c r="N14" s="3153"/>
    </row>
    <row r="15" spans="1:14">
      <c r="A15" s="3153"/>
      <c r="B15" s="3153"/>
      <c r="C15" s="3153"/>
      <c r="D15" s="3153"/>
      <c r="E15" s="3153"/>
      <c r="F15" s="3153"/>
      <c r="G15" s="3153"/>
      <c r="H15" s="3153"/>
      <c r="I15" s="3153"/>
      <c r="J15" s="3153"/>
      <c r="K15" s="3153"/>
      <c r="L15" s="3153"/>
      <c r="M15" s="3153"/>
      <c r="N15" s="3153"/>
    </row>
    <row r="16" spans="1:14">
      <c r="A16" s="3153"/>
      <c r="B16" s="3153"/>
      <c r="C16" s="3153"/>
      <c r="D16" s="3153"/>
      <c r="E16" s="3153"/>
      <c r="F16" s="3153"/>
      <c r="G16" s="3153"/>
      <c r="H16" s="3153"/>
      <c r="I16" s="3153"/>
      <c r="J16" s="3153"/>
      <c r="K16" s="3153"/>
      <c r="L16" s="3153"/>
      <c r="M16" s="3153"/>
      <c r="N16" s="3153"/>
    </row>
    <row r="17" spans="1:14">
      <c r="A17" s="3153"/>
      <c r="B17" s="3153"/>
      <c r="C17" s="3153"/>
      <c r="D17" s="3153"/>
      <c r="E17" s="3153"/>
      <c r="F17" s="3153"/>
      <c r="G17" s="3153"/>
      <c r="H17" s="3153"/>
      <c r="I17" s="3153"/>
      <c r="J17" s="3153"/>
      <c r="K17" s="3153"/>
      <c r="L17" s="3153"/>
      <c r="M17" s="3153"/>
      <c r="N17" s="3153"/>
    </row>
    <row r="18" spans="1:14">
      <c r="A18" s="3153"/>
      <c r="B18" s="3153"/>
      <c r="C18" s="3153"/>
      <c r="D18" s="3153"/>
      <c r="E18" s="3153"/>
      <c r="F18" s="3153"/>
      <c r="G18" s="3153"/>
      <c r="H18" s="3153"/>
      <c r="I18" s="3153"/>
      <c r="J18" s="3153"/>
      <c r="K18" s="3153"/>
      <c r="L18" s="3153"/>
      <c r="M18" s="3153"/>
      <c r="N18" s="3153"/>
    </row>
    <row r="19" spans="1:14">
      <c r="A19" s="3153"/>
      <c r="B19" s="3153"/>
      <c r="C19" s="3153"/>
      <c r="D19" s="3153"/>
      <c r="E19" s="3153"/>
      <c r="F19" s="3153"/>
      <c r="G19" s="3153"/>
      <c r="H19" s="3153"/>
      <c r="I19" s="3153"/>
      <c r="J19" s="3153"/>
      <c r="K19" s="3153"/>
      <c r="L19" s="3153"/>
      <c r="M19" s="3153"/>
      <c r="N19" s="3153"/>
    </row>
    <row r="20" spans="1:14">
      <c r="A20" s="3153"/>
      <c r="B20" s="3153"/>
      <c r="C20" s="3153"/>
      <c r="D20" s="3153"/>
      <c r="E20" s="3153"/>
      <c r="F20" s="3153"/>
      <c r="G20" s="3153"/>
      <c r="H20" s="3153"/>
      <c r="I20" s="3153"/>
      <c r="J20" s="3153"/>
      <c r="K20" s="3153"/>
      <c r="L20" s="3153"/>
      <c r="M20" s="3153"/>
      <c r="N20" s="3153"/>
    </row>
    <row r="21" spans="1:14">
      <c r="A21" s="3153"/>
      <c r="B21" s="3153"/>
      <c r="C21" s="3153"/>
      <c r="D21" s="3153"/>
      <c r="E21" s="3153"/>
      <c r="F21" s="3153"/>
      <c r="G21" s="3153"/>
      <c r="H21" s="3153"/>
      <c r="I21" s="3153"/>
      <c r="J21" s="3153"/>
      <c r="K21" s="3153"/>
      <c r="L21" s="3153"/>
      <c r="M21" s="3153"/>
      <c r="N21" s="3153"/>
    </row>
    <row r="22" spans="1:14">
      <c r="A22" s="3153"/>
      <c r="B22" s="3153"/>
      <c r="C22" s="3153"/>
      <c r="D22" s="3153"/>
      <c r="E22" s="3153"/>
      <c r="F22" s="3153"/>
      <c r="G22" s="3153"/>
      <c r="H22" s="3153"/>
      <c r="I22" s="3153"/>
      <c r="J22" s="3153"/>
      <c r="K22" s="3153"/>
      <c r="L22" s="3153"/>
      <c r="M22" s="3153"/>
      <c r="N22" s="3153"/>
    </row>
    <row r="23" spans="1:14">
      <c r="A23" s="3153"/>
      <c r="B23" s="3153"/>
      <c r="C23" s="3153"/>
      <c r="D23" s="3153"/>
      <c r="E23" s="3153"/>
      <c r="F23" s="3153"/>
      <c r="G23" s="3153"/>
      <c r="H23" s="3153"/>
      <c r="I23" s="3153"/>
      <c r="J23" s="3153"/>
      <c r="K23" s="3153"/>
      <c r="L23" s="3153"/>
      <c r="M23" s="3153"/>
      <c r="N23" s="3153"/>
    </row>
    <row r="24" spans="1:14">
      <c r="A24" s="3153"/>
      <c r="B24" s="3153"/>
      <c r="C24" s="3153"/>
      <c r="D24" s="3153"/>
      <c r="E24" s="3153"/>
      <c r="F24" s="3153"/>
      <c r="G24" s="3153"/>
      <c r="H24" s="3153"/>
      <c r="I24" s="3153"/>
      <c r="J24" s="3153"/>
      <c r="K24" s="3153"/>
      <c r="L24" s="3153"/>
      <c r="M24" s="3153"/>
      <c r="N24" s="3153"/>
    </row>
    <row r="25" spans="1:14">
      <c r="A25" s="3153"/>
      <c r="B25" s="3153"/>
      <c r="C25" s="3153"/>
      <c r="D25" s="3153"/>
      <c r="E25" s="3153"/>
      <c r="F25" s="3153"/>
      <c r="G25" s="3153"/>
      <c r="H25" s="3153"/>
      <c r="I25" s="3153"/>
      <c r="J25" s="3153"/>
      <c r="K25" s="3153"/>
      <c r="L25" s="3153"/>
      <c r="M25" s="3153"/>
      <c r="N25" s="3153"/>
    </row>
    <row r="26" spans="1:14">
      <c r="A26" s="3153"/>
      <c r="B26" s="3153"/>
      <c r="C26" s="3153"/>
      <c r="D26" s="3153"/>
      <c r="E26" s="3153"/>
      <c r="F26" s="3153"/>
      <c r="G26" s="3153"/>
      <c r="H26" s="3153"/>
      <c r="I26" s="3153"/>
      <c r="J26" s="3153"/>
      <c r="K26" s="3153"/>
      <c r="L26" s="3153"/>
      <c r="M26" s="3153"/>
      <c r="N26" s="3153"/>
    </row>
    <row r="27" spans="1:14">
      <c r="A27" s="3153"/>
      <c r="B27" s="3153"/>
      <c r="C27" s="3153"/>
      <c r="D27" s="3153"/>
      <c r="E27" s="3153"/>
      <c r="F27" s="3153"/>
      <c r="G27" s="3153"/>
      <c r="H27" s="3153"/>
      <c r="I27" s="3153"/>
      <c r="J27" s="3153"/>
      <c r="K27" s="3153"/>
      <c r="L27" s="3153"/>
      <c r="M27" s="3153"/>
      <c r="N27" s="3153"/>
    </row>
    <row r="28" spans="1:14">
      <c r="A28" s="3153"/>
      <c r="B28" s="3153"/>
      <c r="C28" s="3153"/>
      <c r="D28" s="3153"/>
      <c r="E28" s="3153"/>
      <c r="F28" s="3153"/>
      <c r="G28" s="3153"/>
      <c r="H28" s="3153"/>
      <c r="I28" s="3153"/>
      <c r="J28" s="3153"/>
      <c r="K28" s="3153"/>
      <c r="L28" s="3153"/>
      <c r="M28" s="3153"/>
      <c r="N28" s="3153"/>
    </row>
    <row r="29" spans="1:14">
      <c r="A29" s="3153"/>
      <c r="B29" s="3153"/>
      <c r="C29" s="3153"/>
      <c r="D29" s="3153"/>
      <c r="E29" s="3153"/>
      <c r="F29" s="3153"/>
      <c r="G29" s="3153"/>
      <c r="H29" s="3153"/>
      <c r="I29" s="3153"/>
      <c r="J29" s="3153"/>
      <c r="K29" s="3153"/>
      <c r="L29" s="3153"/>
      <c r="M29" s="3153"/>
      <c r="N29" s="315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受贵公司委托，我公司对海南省海口市新埠岛出让国有建设用地使用权抵押价格进行了预评估。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56.25">
      <c r="A7" s="1664" t="s">
        <v>2464</v>
      </c>
    </row>
    <row r="8" spans="1:4" ht="18.75">
      <c r="A8" s="1663" t="s">
        <v>1702</v>
      </c>
    </row>
    <row r="9" spans="1:4" ht="75">
      <c r="A9" s="1665"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2022年6月23日</v>
      </c>
    </row>
    <row r="12" spans="1:4" ht="18.75">
      <c r="A12" s="1666" t="s">
        <v>1817</v>
      </c>
    </row>
    <row r="13" spans="1:4" ht="18.75">
      <c r="A13" s="1660" t="s">
        <v>2638</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18.75">
      <c r="A21" s="1660" t="s">
        <v>1866</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11日车库2057年9月11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93.75">
      <c r="A25" s="1660" t="str">
        <f>定义!C53</f>
        <v>本次估价的“出让国有建设用地使用权价格”是指在估价对象土地所有权为国家所有，使用权性质为出让，在公开市场条件下、于估价期日2022年6月23日，在规划利用条件下、设定土地开发程度为红线外“七通”、宗地内场地平整，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-2.5</v>
      </c>
      <c r="G1" s="746">
        <f>MATCH(C1,'数据-取费表'!A6:A16,0)+5</f>
        <v>8</v>
      </c>
      <c r="H1" s="1257"/>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8"/>
      <c r="D2" s="1891"/>
      <c r="E2" s="1892"/>
      <c r="F2" s="1892"/>
      <c r="G2" s="1479"/>
      <c r="H2" s="1270"/>
      <c r="I2" s="1893"/>
      <c r="J2" s="1893"/>
      <c r="K2" s="1894"/>
      <c r="L2" s="1893"/>
      <c r="M2" s="1893"/>
    </row>
    <row r="3" spans="1:25" ht="18" customHeight="1">
      <c r="A3" s="1527" t="s">
        <v>1486</v>
      </c>
      <c r="B3" s="1294">
        <f ca="1">ROUND(B2*10000/'数据-汇总表'!E3,0)</f>
        <v>0</v>
      </c>
      <c r="C3" s="1258"/>
      <c r="D3" s="1891"/>
      <c r="E3" s="1892"/>
      <c r="F3" s="1892"/>
      <c r="G3" s="1479"/>
      <c r="H3" s="748" t="s">
        <v>677</v>
      </c>
      <c r="I3" s="1893"/>
      <c r="J3" s="1893"/>
      <c r="K3" s="1894"/>
      <c r="L3" s="1893"/>
      <c r="M3" s="1893"/>
    </row>
    <row r="4" spans="1:25" ht="18" customHeight="1">
      <c r="A4" s="1528" t="s">
        <v>678</v>
      </c>
      <c r="B4" s="1259">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3">
        <f ca="1">C8+C12+C14</f>
        <v>0</v>
      </c>
      <c r="D7" s="2300" t="s">
        <v>2240</v>
      </c>
      <c r="E7" s="2294"/>
      <c r="F7" s="2295"/>
      <c r="G7" s="1481"/>
      <c r="H7" s="753">
        <v>1</v>
      </c>
      <c r="I7" s="754" t="s">
        <v>2237</v>
      </c>
      <c r="J7" s="53">
        <f ca="1">J8+J12+J14</f>
        <v>0</v>
      </c>
      <c r="K7" s="2300" t="s">
        <v>2240</v>
      </c>
      <c r="L7" s="2294"/>
      <c r="M7" s="2295"/>
    </row>
    <row r="8" spans="1:25" ht="18" customHeight="1">
      <c r="A8" s="1699" t="s">
        <v>1624</v>
      </c>
      <c r="B8" s="3747" t="s">
        <v>2242</v>
      </c>
      <c r="C8" s="1694">
        <f ca="1">ROUND(F8*F10*F9*(1-F11)/10000,0)</f>
        <v>0</v>
      </c>
      <c r="D8" s="1691" t="s">
        <v>2252</v>
      </c>
      <c r="E8" s="61" t="s">
        <v>619</v>
      </c>
      <c r="F8" s="757">
        <f ca="1">INDIRECT("'数据-取费表'!u"&amp;$G$1)</f>
        <v>0</v>
      </c>
      <c r="G8" s="1481"/>
      <c r="H8" s="2308" t="s">
        <v>1624</v>
      </c>
      <c r="I8" s="3747" t="s">
        <v>2242</v>
      </c>
      <c r="J8" s="755">
        <f ca="1">ROUND(M8*M10*M9*(1-M11)/10000,0)</f>
        <v>0</v>
      </c>
      <c r="K8" s="338" t="s">
        <v>2252</v>
      </c>
      <c r="L8" s="756" t="s">
        <v>1538</v>
      </c>
      <c r="M8" s="757">
        <f ca="1">INDIRECT("'数据-取费表'!z"&amp;$G$1)</f>
        <v>0</v>
      </c>
    </row>
    <row r="9" spans="1:25" ht="18" customHeight="1">
      <c r="A9" s="2304"/>
      <c r="B9" s="3748"/>
      <c r="C9" s="1695"/>
      <c r="D9" s="1692"/>
      <c r="E9" s="61" t="s">
        <v>620</v>
      </c>
      <c r="F9" s="757">
        <f ca="1">IF(INDIRECT("'数据-取费表'!ah"&amp;$G$1)="",INDIRECT("'数据-取费表'!k"&amp;$G$1),INDIRECT("'数据-取费表'!ah"&amp;$G$1))</f>
        <v>0</v>
      </c>
      <c r="G9" s="1481"/>
      <c r="H9" s="2293"/>
      <c r="I9" s="3748"/>
      <c r="J9" s="760"/>
      <c r="K9" s="761"/>
      <c r="L9" s="756" t="s">
        <v>1539</v>
      </c>
      <c r="M9" s="757">
        <f ca="1">F9</f>
        <v>0</v>
      </c>
    </row>
    <row r="10" spans="1:25" ht="18" customHeight="1">
      <c r="A10" s="2297"/>
      <c r="B10" s="3749"/>
      <c r="C10" s="1695"/>
      <c r="D10" s="1692"/>
      <c r="E10" s="61" t="s">
        <v>621</v>
      </c>
      <c r="F10" s="757">
        <f ca="1">INDIRECT("'数据-取费表'!ai"&amp;$G$1)</f>
        <v>0</v>
      </c>
      <c r="G10" s="1481"/>
      <c r="H10" s="2293"/>
      <c r="I10" s="3749"/>
      <c r="J10" s="760"/>
      <c r="K10" s="761"/>
      <c r="L10" s="756" t="s">
        <v>1540</v>
      </c>
      <c r="M10" s="757">
        <f ca="1">INDIRECT("'数据-取费表'!ai"&amp;$G$1)</f>
        <v>0</v>
      </c>
    </row>
    <row r="11" spans="1:25" ht="18" customHeight="1">
      <c r="A11" s="758"/>
      <c r="B11" s="3750"/>
      <c r="C11" s="1695"/>
      <c r="D11" s="1692"/>
      <c r="E11" s="61" t="s">
        <v>622</v>
      </c>
      <c r="F11" s="766">
        <f ca="1">INDIRECT("'数据-取费表'!w"&amp;$G$1)</f>
        <v>0</v>
      </c>
      <c r="G11" s="1481"/>
      <c r="H11" s="2309"/>
      <c r="I11" s="3749"/>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2666</v>
      </c>
      <c r="E12" s="2302" t="s">
        <v>2243</v>
      </c>
      <c r="F12" s="2386"/>
      <c r="G12" s="1481"/>
      <c r="H12" s="2336" t="s">
        <v>1625</v>
      </c>
      <c r="I12" s="2341" t="s">
        <v>2238</v>
      </c>
      <c r="J12" s="755">
        <f ca="1">ROUND(IF(M12="押一",J8/12*M13,IF(M12="押二",J8/12*2*M13,IF(M12="押三",J8/12*3*M13,J13*M13))),0)</f>
        <v>0</v>
      </c>
      <c r="K12" s="2305" t="s">
        <v>2666</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3">
        <f ca="1">C31</f>
        <v>0</v>
      </c>
      <c r="K16" s="26"/>
      <c r="L16" s="773"/>
      <c r="M16" s="774"/>
    </row>
    <row r="17" spans="1:25" s="1900" customFormat="1" ht="18" customHeight="1">
      <c r="A17" s="775" t="s">
        <v>1649</v>
      </c>
      <c r="B17" s="756" t="s">
        <v>629</v>
      </c>
      <c r="C17" s="53">
        <f ca="1">ROUND(C16*F17,0)</f>
        <v>0</v>
      </c>
      <c r="D17" s="778" t="s">
        <v>630</v>
      </c>
      <c r="E17" s="778" t="s">
        <v>631</v>
      </c>
      <c r="F17" s="779">
        <f>'数据-取费表'!B33</f>
        <v>0.03</v>
      </c>
      <c r="G17" s="1482"/>
      <c r="H17" s="775" t="s">
        <v>1862</v>
      </c>
      <c r="I17" s="756" t="s">
        <v>625</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6" t="s">
        <v>634</v>
      </c>
      <c r="L18" s="1849"/>
      <c r="M18" s="56"/>
    </row>
    <row r="19" spans="1:25" s="1900" customFormat="1" ht="18" customHeight="1">
      <c r="A19" s="775" t="s">
        <v>1651</v>
      </c>
      <c r="B19" s="756" t="s">
        <v>635</v>
      </c>
      <c r="C19" s="53">
        <f ca="1">ROUND(F19*(INDIRECT("'数据-取费表'!k"&amp;$G$1)+INDIRECT("'数据-取费表'!S"&amp;$G$1))/10000,0)</f>
        <v>0</v>
      </c>
      <c r="D19" s="756" t="s">
        <v>636</v>
      </c>
      <c r="E19" s="756" t="s">
        <v>637</v>
      </c>
      <c r="F19" s="56">
        <f>'数据-取费表'!B35</f>
        <v>200</v>
      </c>
      <c r="G19" s="1482"/>
      <c r="H19" s="775" t="s">
        <v>1861</v>
      </c>
      <c r="I19" s="756" t="s">
        <v>638</v>
      </c>
      <c r="J19" s="2925">
        <f ca="1">ROUND(IF(AND(项目基本情况!B11="自然人",项目基本情况!B10="北京市"),J8*M19/(1+'数据-取费表'!C42),J20+J21+J22),0)</f>
        <v>0</v>
      </c>
      <c r="K19" s="1846" t="s">
        <v>639</v>
      </c>
      <c r="L19" s="1844" t="s">
        <v>640</v>
      </c>
      <c r="M19" s="2924"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3">
        <f ca="1">ROUND(C16*F20,0)</f>
        <v>0</v>
      </c>
      <c r="D20" s="756" t="s">
        <v>630</v>
      </c>
      <c r="E20" s="756" t="s">
        <v>631</v>
      </c>
      <c r="F20" s="781">
        <f>'数据-取费表'!B36</f>
        <v>1.4999999999999999E-2</v>
      </c>
      <c r="G20" s="1482"/>
      <c r="H20" s="775" t="s">
        <v>1631</v>
      </c>
      <c r="I20" s="756" t="s">
        <v>642</v>
      </c>
      <c r="J20" s="53">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3">
        <f ca="1">SUM(C16:C20)</f>
        <v>0</v>
      </c>
      <c r="D21" s="258" t="s">
        <v>645</v>
      </c>
      <c r="E21" s="1849"/>
      <c r="F21" s="56"/>
      <c r="G21" s="1481"/>
      <c r="H21" s="1699"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3">
        <f ca="1">ROUND(C21*F22,0)</f>
        <v>0</v>
      </c>
      <c r="D22" s="783" t="s">
        <v>649</v>
      </c>
      <c r="E22" s="756" t="s">
        <v>631</v>
      </c>
      <c r="F22" s="781">
        <f>'数据-取费表'!B37</f>
        <v>0.02</v>
      </c>
      <c r="G22" s="1482"/>
      <c r="H22" s="1701" t="s">
        <v>1650</v>
      </c>
      <c r="I22" s="1691" t="s">
        <v>650</v>
      </c>
      <c r="J22" s="54">
        <f ca="1">ROUND(M22*M23/10000,0)</f>
        <v>0</v>
      </c>
      <c r="K22" s="785" t="s">
        <v>651</v>
      </c>
      <c r="L22" s="756" t="s">
        <v>652</v>
      </c>
      <c r="M22" s="614">
        <f>'数据-取费表'!B52</f>
        <v>2</v>
      </c>
      <c r="N22" s="1899"/>
      <c r="O22" s="1899"/>
      <c r="P22" s="1899"/>
      <c r="Q22" s="1899"/>
      <c r="R22" s="1899"/>
      <c r="S22" s="1899"/>
      <c r="T22" s="1899"/>
      <c r="U22" s="1899"/>
      <c r="V22" s="1899"/>
      <c r="W22" s="1899"/>
      <c r="X22" s="1899"/>
      <c r="Y22" s="1899"/>
    </row>
    <row r="23" spans="1:25" s="1900" customFormat="1" ht="18" customHeight="1">
      <c r="A23" s="775" t="s">
        <v>1674</v>
      </c>
      <c r="B23" s="756" t="s">
        <v>653</v>
      </c>
      <c r="C23" s="53" t="s">
        <v>1</v>
      </c>
      <c r="D23" s="783" t="s">
        <v>654</v>
      </c>
      <c r="E23" s="756" t="s">
        <v>655</v>
      </c>
      <c r="F23" s="781">
        <f>'数据-取费表'!B38</f>
        <v>0.02</v>
      </c>
      <c r="G23" s="1482"/>
      <c r="H23" s="1702"/>
      <c r="I23" s="1693"/>
      <c r="J23" s="69"/>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3"/>
      <c r="D24" s="2345" t="str">
        <f>IF(F25&lt;=1,"单利计息。","复利计息。")&amp;"建造成本、管理费用、销售费用产生的利息。"</f>
        <v>复利计息。建造成本、管理费用、销售费用产生的利息。</v>
      </c>
      <c r="E24" s="1849"/>
      <c r="F24" s="56"/>
      <c r="G24" s="1481"/>
      <c r="H24" s="1700" t="s">
        <v>1862</v>
      </c>
      <c r="I24" s="756" t="s">
        <v>658</v>
      </c>
      <c r="J24" s="53">
        <f ca="1">ROUND(J16*M24,0)</f>
        <v>0</v>
      </c>
      <c r="K24" s="1844" t="s">
        <v>659</v>
      </c>
      <c r="L24" s="756" t="s">
        <v>631</v>
      </c>
      <c r="M24" s="788">
        <f ca="1">INDIRECT("'数据-取费表'!Ak"&amp;$G$1)</f>
        <v>0</v>
      </c>
    </row>
    <row r="25" spans="1:25" s="1900" customFormat="1" ht="18" customHeight="1">
      <c r="A25" s="775" t="s">
        <v>1671</v>
      </c>
      <c r="B25" s="756" t="s">
        <v>2219</v>
      </c>
      <c r="C25" s="53">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2.5</v>
      </c>
      <c r="G25" s="1482"/>
      <c r="H25" s="775" t="s">
        <v>1674</v>
      </c>
      <c r="I25" s="756" t="s">
        <v>661</v>
      </c>
      <c r="J25" s="53">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3">
        <f ca="1">ROUND(IF('数据-取费表'!B22&lt;=1,F23*F26*F25/2,F23*(POWER((1+F26),F25/2)-1)),4)</f>
        <v>1.1000000000000001E-3</v>
      </c>
      <c r="D26" s="2344" t="str">
        <f>IF(F25&lt;=1,"销售费用×利率×(建设周期÷2)","销售费用×((1+利率)^(建设周期÷2)-1)")</f>
        <v>销售费用×((1+利率)^(建设周期÷2)-1)</v>
      </c>
      <c r="E26" s="756" t="s">
        <v>664</v>
      </c>
      <c r="F26" s="790">
        <f ca="1">'数据-取费表'!B40</f>
        <v>4.2000000000000003E-2</v>
      </c>
      <c r="G26" s="1482"/>
      <c r="H26" s="775" t="s">
        <v>1675</v>
      </c>
      <c r="I26" s="756" t="s">
        <v>648</v>
      </c>
      <c r="J26" s="53">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3"/>
      <c r="D27" s="258" t="s">
        <v>667</v>
      </c>
      <c r="E27" s="1849"/>
      <c r="F27" s="56"/>
      <c r="G27" s="1481"/>
      <c r="H27" s="769" t="s">
        <v>1628</v>
      </c>
      <c r="I27" s="2644" t="s">
        <v>2538</v>
      </c>
      <c r="J27" s="771">
        <f ca="1">J7-J18</f>
        <v>0</v>
      </c>
      <c r="K27" s="1846" t="s">
        <v>682</v>
      </c>
      <c r="L27" s="1848"/>
      <c r="M27" s="791"/>
    </row>
    <row r="28" spans="1:25" ht="18" customHeight="1">
      <c r="A28" s="775" t="s">
        <v>1671</v>
      </c>
      <c r="B28" s="756" t="s">
        <v>2220</v>
      </c>
      <c r="C28" s="53">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3">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5"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5">
        <f ca="1">ROUND(IF(AND(项目基本情况!B11="自然人",项目基本情况!B10="北京市"),C8*F33/(1+'数据-取费表'!C42),C34+C35+C36),0)</f>
        <v>0</v>
      </c>
      <c r="D33" s="1846" t="s">
        <v>639</v>
      </c>
      <c r="E33" s="1844" t="s">
        <v>672</v>
      </c>
      <c r="F33" s="2924" t="str">
        <f>IF(项目基本情况!B11="企业","——",IF('数据-取费表'!B10="住宅",IF(F8*F9*F10/12/(1+'数据-取费表'!F30)&gt;100000,4%,2.5%),IF(F8*F9*F10/12/(1+'数据-取费表'!F30)&gt;100000,12%,7%)))</f>
        <v>——</v>
      </c>
      <c r="G33" s="1898"/>
      <c r="H33" s="3164" t="s">
        <v>2720</v>
      </c>
      <c r="I33" s="1902"/>
      <c r="J33" s="1903"/>
      <c r="K33" s="1904"/>
      <c r="L33" s="1905"/>
      <c r="M33" s="1906"/>
    </row>
    <row r="34" spans="1:18" ht="18" customHeight="1">
      <c r="A34" s="775" t="s">
        <v>1671</v>
      </c>
      <c r="B34" s="756" t="s">
        <v>642</v>
      </c>
      <c r="C34" s="53">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4">
        <f ca="1">ROUND(F36*F37/10000,1)</f>
        <v>0</v>
      </c>
      <c r="D36" s="785" t="s">
        <v>651</v>
      </c>
      <c r="E36" s="756" t="s">
        <v>652</v>
      </c>
      <c r="F36" s="614">
        <f>'数据-取费表'!B52</f>
        <v>2</v>
      </c>
      <c r="G36" s="1898"/>
      <c r="H36" s="1901"/>
      <c r="I36" s="3746"/>
      <c r="J36" s="1915"/>
      <c r="K36" s="1916"/>
      <c r="L36" s="1915"/>
      <c r="M36" s="1915"/>
    </row>
    <row r="37" spans="1:18" ht="18" customHeight="1">
      <c r="A37" s="786"/>
      <c r="B37" s="765"/>
      <c r="C37" s="69"/>
      <c r="D37" s="787"/>
      <c r="E37" s="756" t="s">
        <v>656</v>
      </c>
      <c r="F37" s="757">
        <f ca="1">INDIRECT("'数据-取费表'!r"&amp;$G$1)</f>
        <v>0</v>
      </c>
      <c r="G37" s="1898"/>
      <c r="H37" s="1901"/>
      <c r="I37" s="3746"/>
      <c r="J37" s="1913"/>
      <c r="K37" s="1914"/>
      <c r="L37" s="1913"/>
      <c r="M37" s="1913"/>
    </row>
    <row r="38" spans="1:18" ht="18" customHeight="1">
      <c r="A38" s="775" t="s">
        <v>1673</v>
      </c>
      <c r="B38" s="756" t="s">
        <v>658</v>
      </c>
      <c r="C38" s="53">
        <f ca="1">ROUND(C31*F38,1)</f>
        <v>0</v>
      </c>
      <c r="D38" s="1844" t="s">
        <v>673</v>
      </c>
      <c r="E38" s="756" t="s">
        <v>631</v>
      </c>
      <c r="F38" s="788">
        <f ca="1">INDIRECT("'数据-取费表'!Ak"&amp;$G$1)</f>
        <v>0</v>
      </c>
      <c r="G38" s="1898"/>
      <c r="H38" s="1913"/>
      <c r="I38" s="2928"/>
      <c r="J38" s="1853"/>
      <c r="K38" s="1917"/>
      <c r="L38" s="1913"/>
      <c r="M38" s="1913"/>
    </row>
    <row r="39" spans="1:18" ht="18" customHeight="1">
      <c r="A39" s="775" t="s">
        <v>1674</v>
      </c>
      <c r="B39" s="756" t="s">
        <v>661</v>
      </c>
      <c r="C39" s="53">
        <f ca="1">ROUND(C15*F39,1)</f>
        <v>0</v>
      </c>
      <c r="D39" s="1844" t="s">
        <v>662</v>
      </c>
      <c r="E39" s="756" t="s">
        <v>631</v>
      </c>
      <c r="F39" s="789">
        <f ca="1">INDIRECT("'数据-取费表'!Al"&amp;$G$1)</f>
        <v>0</v>
      </c>
      <c r="G39" s="1898"/>
      <c r="H39" s="1913"/>
      <c r="I39" s="2928"/>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8"/>
      <c r="J40" s="1853"/>
      <c r="K40" s="1918"/>
      <c r="L40" s="1913"/>
      <c r="M40" s="1913"/>
    </row>
    <row r="41" spans="1:18" ht="18" customHeight="1" thickTop="1">
      <c r="A41" s="1698">
        <v>4</v>
      </c>
      <c r="B41" s="1696" t="s">
        <v>674</v>
      </c>
      <c r="C41" s="1260"/>
      <c r="D41" s="1261"/>
      <c r="E41" s="1261"/>
      <c r="F41" s="1262"/>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3" t="s">
        <v>694</v>
      </c>
      <c r="E43" s="2711" t="s">
        <v>2656</v>
      </c>
      <c r="F43" s="2712">
        <f ca="1">INDIRECT("'数据-取费表'!j"&amp;$G$1)</f>
        <v>0</v>
      </c>
      <c r="G43" s="1898"/>
      <c r="H43" s="1898"/>
      <c r="I43" s="1898"/>
      <c r="J43" s="1898"/>
      <c r="K43" s="1918"/>
      <c r="L43" s="1898"/>
      <c r="M43" s="1898"/>
    </row>
    <row r="44" spans="1:18" ht="18" customHeight="1">
      <c r="A44" s="775" t="s">
        <v>1674</v>
      </c>
      <c r="B44" s="806" t="s">
        <v>695</v>
      </c>
      <c r="C44" s="1264">
        <f ca="1">C42-C43</f>
        <v>0</v>
      </c>
      <c r="D44" s="455" t="s">
        <v>696</v>
      </c>
      <c r="E44" s="456"/>
      <c r="F44" s="457"/>
      <c r="G44" s="1898"/>
      <c r="H44" s="1898"/>
      <c r="I44" s="1898"/>
      <c r="J44" s="1898"/>
      <c r="K44" s="1918"/>
      <c r="L44" s="1898"/>
      <c r="M44" s="1898"/>
    </row>
    <row r="45" spans="1:18" ht="18" customHeight="1">
      <c r="A45" s="775" t="s">
        <v>1675</v>
      </c>
      <c r="B45" s="1263" t="s">
        <v>697</v>
      </c>
      <c r="C45" s="2668">
        <f ca="1">ROUND(-PV(F45,F46,C44,0),0)</f>
        <v>0</v>
      </c>
      <c r="D45" s="1265" t="s">
        <v>698</v>
      </c>
      <c r="E45" s="778" t="s">
        <v>699</v>
      </c>
      <c r="F45" s="801">
        <f ca="1">INDIRECT("'数据-取费表'!h"&amp;$G$1)</f>
        <v>0</v>
      </c>
      <c r="G45" s="1898"/>
      <c r="H45" s="1898"/>
      <c r="I45" s="1898"/>
      <c r="J45" s="1898"/>
      <c r="K45" s="1918"/>
      <c r="L45" s="1898"/>
      <c r="M45" s="1898"/>
    </row>
    <row r="46" spans="1:18" ht="18" customHeight="1" thickBot="1">
      <c r="A46" s="802"/>
      <c r="B46" s="1266"/>
      <c r="C46" s="1267"/>
      <c r="D46" s="1268"/>
      <c r="E46" s="2713" t="s">
        <v>2659</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7" t="str">
        <f ca="1">IF(M48="住宅",0,IF(L49&gt;J52,L61,J61))</f>
        <v>0</v>
      </c>
      <c r="O47" s="2202" t="s">
        <v>2197</v>
      </c>
      <c r="P47" s="1481"/>
      <c r="Q47" s="1489"/>
      <c r="R47" s="1481"/>
    </row>
    <row r="48" spans="1:18" s="1895" customFormat="1" ht="18" customHeight="1" thickBot="1">
      <c r="A48" s="1919"/>
      <c r="C48" s="1922"/>
      <c r="D48" s="1923"/>
      <c r="E48" s="1923"/>
      <c r="F48" s="1924"/>
      <c r="G48" s="1925"/>
      <c r="I48" s="2718" t="s">
        <v>2131</v>
      </c>
      <c r="J48" s="2189"/>
      <c r="K48" s="2724" t="s">
        <v>2136</v>
      </c>
      <c r="L48" s="2728">
        <f ca="1">INDIRECT("'数据-取费表'!d"&amp;$G$1)</f>
        <v>0</v>
      </c>
      <c r="M48" s="2710"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5" t="s">
        <v>2132</v>
      </c>
      <c r="J49" s="2190"/>
      <c r="K49" s="2725"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5" t="s">
        <v>2133</v>
      </c>
      <c r="J50" s="2191"/>
      <c r="K50" s="2726"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5" t="s">
        <v>2134</v>
      </c>
      <c r="J51" s="2722">
        <f>SUMPRODUCT((I64:I66=J48)*(J63:L63=J49)*(J64:L66))</f>
        <v>0</v>
      </c>
      <c r="K51" s="2726" t="s">
        <v>2140</v>
      </c>
      <c r="L51" s="2192"/>
      <c r="O51" s="2209" t="s">
        <v>2170</v>
      </c>
      <c r="P51" s="2207" t="s">
        <v>2194</v>
      </c>
      <c r="Q51" s="2208">
        <f ca="1">C31</f>
        <v>0</v>
      </c>
      <c r="R51" s="2207" t="s">
        <v>2167</v>
      </c>
    </row>
    <row r="52" spans="1:18" s="1895" customFormat="1" ht="18" customHeight="1" thickBot="1">
      <c r="A52" s="1931"/>
      <c r="F52" s="1920"/>
      <c r="I52" s="2719" t="s">
        <v>2135</v>
      </c>
      <c r="J52" s="2723">
        <f>IF(J50="",J51,J50+J51-YEAR('数据-取费表'!B3))</f>
        <v>0</v>
      </c>
      <c r="K52" s="2715" t="s">
        <v>2141</v>
      </c>
      <c r="L52" s="2729">
        <f ca="1">C45</f>
        <v>0</v>
      </c>
      <c r="O52" s="2209" t="s">
        <v>2171</v>
      </c>
      <c r="P52" s="2207" t="s">
        <v>2172</v>
      </c>
      <c r="Q52" s="2210" t="e">
        <f ca="1">J59</f>
        <v>#VALUE!</v>
      </c>
      <c r="R52" s="2211"/>
    </row>
    <row r="53" spans="1:18" s="1895" customFormat="1" ht="18" customHeight="1" thickBot="1">
      <c r="A53" s="1931"/>
      <c r="F53" s="1920"/>
      <c r="I53" s="2720" t="s">
        <v>2208</v>
      </c>
      <c r="J53" s="2193"/>
      <c r="K53" s="2720" t="s">
        <v>2207</v>
      </c>
      <c r="L53" s="2193"/>
      <c r="O53" s="2209" t="s">
        <v>2173</v>
      </c>
      <c r="P53" s="2207" t="s">
        <v>2174</v>
      </c>
      <c r="Q53" s="2210">
        <f>J53</f>
        <v>0</v>
      </c>
      <c r="R53" s="2211"/>
    </row>
    <row r="54" spans="1:18" s="1895" customFormat="1" ht="29.25" thickBot="1">
      <c r="A54" s="1931"/>
      <c r="I54" s="2721" t="s">
        <v>2670</v>
      </c>
      <c r="J54" s="2774">
        <f ca="1">IF(M48="住宅",MAX(J52,L49-'数据-取费表'!B20),MIN(J52,L49-'数据-取费表'!B20))</f>
        <v>-2.5</v>
      </c>
      <c r="K54" s="3751"/>
      <c r="L54" s="3752"/>
      <c r="O54" s="2209" t="s">
        <v>2175</v>
      </c>
      <c r="P54" s="2207" t="s">
        <v>2176</v>
      </c>
      <c r="Q54" s="2208">
        <f ca="1">J54</f>
        <v>-2.5</v>
      </c>
      <c r="R54" s="2207" t="s">
        <v>2177</v>
      </c>
    </row>
    <row r="55" spans="1:18" s="1895" customFormat="1" ht="18" customHeight="1" thickBot="1">
      <c r="A55" s="1931"/>
      <c r="I55" s="273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0"/>
      <c r="K55" s="2731"/>
      <c r="O55" s="2206" t="s">
        <v>2178</v>
      </c>
      <c r="P55" s="2207" t="s">
        <v>2195</v>
      </c>
      <c r="Q55" s="2208">
        <f ca="1">Q49+Q50</f>
        <v>0</v>
      </c>
      <c r="R55" s="2211" t="s">
        <v>2179</v>
      </c>
    </row>
    <row r="56" spans="1:18" s="1895" customFormat="1" ht="16.5" thickBot="1">
      <c r="A56" s="1931"/>
      <c r="B56" s="1932"/>
      <c r="C56" s="1932"/>
      <c r="I56" s="2732" t="s">
        <v>2142</v>
      </c>
      <c r="J56" s="2704" t="e">
        <f ca="1">ROUND(IF(J48="钢混",J58/J51,1-(1-2%)*(J51-J58)/J51),3)</f>
        <v>#VALUE!</v>
      </c>
      <c r="K56" s="2733" t="s">
        <v>2143</v>
      </c>
      <c r="L56" s="2194"/>
      <c r="O56" s="2212" t="s">
        <v>2198</v>
      </c>
      <c r="P56" s="1481"/>
      <c r="Q56" s="1489"/>
      <c r="R56" s="1481"/>
    </row>
    <row r="57" spans="1:18" s="1895" customFormat="1" ht="43.5" thickBot="1">
      <c r="A57" s="1931"/>
      <c r="B57" s="1932"/>
      <c r="C57" s="1932"/>
      <c r="I57" s="2734" t="s">
        <v>2144</v>
      </c>
      <c r="J57" s="2744" t="s">
        <v>1478</v>
      </c>
      <c r="K57" s="2715" t="s">
        <v>2149</v>
      </c>
      <c r="L57" s="1776">
        <f ca="1">IF(L49&lt;J52,"——",L49-J52)</f>
        <v>0</v>
      </c>
      <c r="O57" s="2203" t="s">
        <v>2162</v>
      </c>
      <c r="P57" s="2204" t="s">
        <v>2163</v>
      </c>
      <c r="Q57" s="2205" t="s">
        <v>2164</v>
      </c>
      <c r="R57" s="2204" t="s">
        <v>2165</v>
      </c>
    </row>
    <row r="58" spans="1:18" s="1895" customFormat="1" ht="29.25" thickBot="1">
      <c r="A58" s="1931"/>
      <c r="B58" s="1932"/>
      <c r="C58" s="1932"/>
      <c r="I58" s="2735" t="s">
        <v>2145</v>
      </c>
      <c r="J58" s="2736" t="str">
        <f ca="1">IF(OR(M48="住宅",J52&lt;L49,J57="是"),"——",J52-L49)</f>
        <v>——</v>
      </c>
      <c r="K58" s="2715"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5" t="s">
        <v>2146</v>
      </c>
      <c r="J59" s="2705" t="e">
        <f ca="1">IF(J56&lt;0.4,0.4,J56)</f>
        <v>#VALUE!</v>
      </c>
      <c r="K59" s="2715"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5" t="s">
        <v>2147</v>
      </c>
      <c r="J60" s="2736" t="str">
        <f ca="1">IF(OR(M48="住宅",J52&lt;L49,J57="是"),"——",ROUND(C30*J59,0))</f>
        <v>——</v>
      </c>
      <c r="K60" s="2715"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7" t="s">
        <v>2148</v>
      </c>
      <c r="J61" s="2738" t="str">
        <f ca="1">IF(OR(M48="住宅",J52&lt;L49,J57="是"),"0",ROUND(J60/(1+J53)^J54,0))</f>
        <v>0</v>
      </c>
      <c r="K61" s="2739" t="s">
        <v>2153</v>
      </c>
      <c r="L61" s="2738"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40" t="s">
        <v>2154</v>
      </c>
      <c r="J63" s="2741" t="s">
        <v>2155</v>
      </c>
      <c r="K63" s="2741" t="s">
        <v>2156</v>
      </c>
      <c r="L63" s="2741" t="s">
        <v>2137</v>
      </c>
      <c r="M63" s="2742" t="s">
        <v>2639</v>
      </c>
      <c r="O63" s="2209" t="s">
        <v>2175</v>
      </c>
      <c r="P63" s="2207" t="s">
        <v>2183</v>
      </c>
      <c r="Q63" s="2208">
        <f ca="1">L60</f>
        <v>0</v>
      </c>
      <c r="R63" s="2211" t="s">
        <v>2184</v>
      </c>
    </row>
    <row r="64" spans="1:18" s="1895" customFormat="1" ht="15.75" thickBot="1">
      <c r="A64" s="1931"/>
      <c r="B64" s="1932"/>
      <c r="C64" s="1932"/>
      <c r="I64" s="2740" t="s">
        <v>2157</v>
      </c>
      <c r="J64" s="2741">
        <v>70</v>
      </c>
      <c r="K64" s="2741">
        <v>50</v>
      </c>
      <c r="L64" s="2741">
        <v>80</v>
      </c>
      <c r="M64" s="2743">
        <v>0.02</v>
      </c>
      <c r="O64" s="2206" t="s">
        <v>2178</v>
      </c>
      <c r="P64" s="2207" t="s">
        <v>2195</v>
      </c>
      <c r="Q64" s="2208" t="e">
        <f ca="1">Q58+Q59</f>
        <v>#DIV/0!</v>
      </c>
      <c r="R64" s="2211" t="s">
        <v>2179</v>
      </c>
    </row>
    <row r="65" spans="1:18" s="1895" customFormat="1" ht="16.5" thickBot="1">
      <c r="A65" s="1931"/>
      <c r="B65" s="1932"/>
      <c r="C65" s="1932"/>
      <c r="I65" s="2740" t="s">
        <v>2158</v>
      </c>
      <c r="J65" s="2741">
        <v>50</v>
      </c>
      <c r="K65" s="2741">
        <v>35</v>
      </c>
      <c r="L65" s="2741">
        <v>60</v>
      </c>
      <c r="M65" s="817">
        <v>0</v>
      </c>
      <c r="O65" s="2212" t="s">
        <v>2202</v>
      </c>
      <c r="P65" s="1481"/>
      <c r="Q65" s="1489"/>
      <c r="R65" s="1481"/>
    </row>
    <row r="66" spans="1:18" s="1895" customFormat="1" ht="15.75" thickBot="1">
      <c r="A66" s="1931"/>
      <c r="B66" s="1932"/>
      <c r="C66" s="1932"/>
      <c r="I66" s="2740" t="s">
        <v>2159</v>
      </c>
      <c r="J66" s="2741">
        <v>40</v>
      </c>
      <c r="K66" s="2741">
        <v>30</v>
      </c>
      <c r="L66" s="2741">
        <v>50</v>
      </c>
      <c r="M66" s="2743">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20" sqref="L20"/>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c r="D1" s="2714" t="s">
        <v>931</v>
      </c>
      <c r="E1" s="2195" t="s">
        <v>2161</v>
      </c>
      <c r="F1" s="2196">
        <f ca="1">J53</f>
        <v>0</v>
      </c>
      <c r="G1" s="3165">
        <f>MATCH(C1,'数据-取费表'!A6:A16,0)+5</f>
        <v>8</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t="e">
        <f ca="1">C40+J29+L46</f>
        <v>#DIV/0!</v>
      </c>
      <c r="C2" s="3170"/>
      <c r="D2" s="3171"/>
      <c r="E2" s="3172"/>
      <c r="F2" s="3172"/>
      <c r="G2" s="3166"/>
      <c r="H2" s="1893"/>
      <c r="I2" s="1893"/>
      <c r="J2" s="1893"/>
      <c r="K2" s="1894"/>
      <c r="L2" s="1893"/>
      <c r="M2" s="1893"/>
    </row>
    <row r="3" spans="1:33" ht="18" customHeight="1" thickBot="1">
      <c r="A3" s="804" t="s">
        <v>1527</v>
      </c>
      <c r="B3" s="805">
        <f ca="1">IF(ISERROR(B2*10000/F43),0,ROUND(B2*10000/F43,0))</f>
        <v>0</v>
      </c>
      <c r="C3" s="3170"/>
      <c r="D3" s="3171"/>
      <c r="E3" s="3172"/>
      <c r="F3" s="3172"/>
      <c r="G3" s="3166"/>
      <c r="H3" s="748" t="s">
        <v>677</v>
      </c>
      <c r="I3" s="1270"/>
      <c r="J3" s="1270"/>
      <c r="K3" s="1480"/>
      <c r="L3" s="1270"/>
      <c r="M3" s="1270"/>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5">
        <f ca="1">C6+C10+C12</f>
        <v>0</v>
      </c>
      <c r="D5" s="2300" t="s">
        <v>2240</v>
      </c>
      <c r="E5" s="2294"/>
      <c r="F5" s="2295"/>
      <c r="G5" s="1898"/>
      <c r="H5" s="753">
        <v>1</v>
      </c>
      <c r="I5" s="754" t="s">
        <v>2237</v>
      </c>
      <c r="J5" s="55">
        <f ca="1">J6+J10+J12</f>
        <v>0</v>
      </c>
      <c r="K5" s="2300" t="s">
        <v>2240</v>
      </c>
      <c r="L5" s="2294"/>
      <c r="M5" s="2295"/>
    </row>
    <row r="6" spans="1:33" ht="18" customHeight="1">
      <c r="A6" s="1699" t="s">
        <v>1624</v>
      </c>
      <c r="B6" s="3747" t="s">
        <v>2242</v>
      </c>
      <c r="C6" s="755">
        <f ca="1">ROUND(F6*F8*F7*(1-F9)/10000,0)</f>
        <v>0</v>
      </c>
      <c r="D6" s="2301" t="s">
        <v>2241</v>
      </c>
      <c r="E6" s="756" t="s">
        <v>1538</v>
      </c>
      <c r="F6" s="757">
        <f ca="1">INDIRECT("'数据-取费表'!u"&amp;$G$1)</f>
        <v>0</v>
      </c>
      <c r="G6" s="1898"/>
      <c r="H6" s="2308" t="s">
        <v>2247</v>
      </c>
      <c r="I6" s="3747" t="s">
        <v>2242</v>
      </c>
      <c r="J6" s="755">
        <f ca="1">ROUND(M6*M8*M7*(1-M9)/10000,0)</f>
        <v>0</v>
      </c>
      <c r="K6" s="338" t="s">
        <v>1537</v>
      </c>
      <c r="L6" s="756" t="s">
        <v>1538</v>
      </c>
      <c r="M6" s="757">
        <f ca="1">INDIRECT("'数据-取费表'!z"&amp;$G$1)</f>
        <v>0</v>
      </c>
    </row>
    <row r="7" spans="1:33" ht="18" customHeight="1">
      <c r="A7" s="2304"/>
      <c r="B7" s="3748"/>
      <c r="C7" s="760"/>
      <c r="D7" s="761"/>
      <c r="E7" s="756" t="s">
        <v>1539</v>
      </c>
      <c r="F7" s="757">
        <f ca="1">IF(INDIRECT("'数据-取费表'!ah"&amp;$G$1)="",INDIRECT("'数据-取费表'!k"&amp;$G$1),INDIRECT("'数据-取费表'!ah"&amp;$G$1))</f>
        <v>0</v>
      </c>
      <c r="G7" s="1898"/>
      <c r="H7" s="2293"/>
      <c r="I7" s="3748"/>
      <c r="J7" s="760"/>
      <c r="K7" s="761"/>
      <c r="L7" s="756" t="s">
        <v>1539</v>
      </c>
      <c r="M7" s="757">
        <f ca="1">F7</f>
        <v>0</v>
      </c>
    </row>
    <row r="8" spans="1:33" ht="18" customHeight="1">
      <c r="A8" s="2297"/>
      <c r="B8" s="3749"/>
      <c r="C8" s="760"/>
      <c r="D8" s="761"/>
      <c r="E8" s="756" t="s">
        <v>1540</v>
      </c>
      <c r="F8" s="757">
        <f ca="1">INDIRECT("'数据-取费表'!ai"&amp;$G$1)</f>
        <v>0</v>
      </c>
      <c r="G8" s="1898"/>
      <c r="H8" s="2293"/>
      <c r="I8" s="3749"/>
      <c r="J8" s="760"/>
      <c r="K8" s="761"/>
      <c r="L8" s="756" t="s">
        <v>1540</v>
      </c>
      <c r="M8" s="757">
        <f ca="1">INDIRECT("'数据-取费表'!ai"&amp;$G$1)</f>
        <v>0</v>
      </c>
    </row>
    <row r="9" spans="1:33" ht="18" customHeight="1">
      <c r="A9" s="758"/>
      <c r="B9" s="3750"/>
      <c r="C9" s="760"/>
      <c r="D9" s="761"/>
      <c r="E9" s="756" t="s">
        <v>1541</v>
      </c>
      <c r="F9" s="766">
        <f ca="1">INDIRECT("'数据-取费表'!w"&amp;$G$1)</f>
        <v>0</v>
      </c>
      <c r="G9" s="1898"/>
      <c r="H9" s="2309"/>
      <c r="I9" s="3749"/>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2666</v>
      </c>
      <c r="E10" s="2302" t="s">
        <v>2243</v>
      </c>
      <c r="F10" s="2386"/>
      <c r="G10" s="1898"/>
      <c r="H10" s="2336" t="s">
        <v>2248</v>
      </c>
      <c r="I10" s="2341" t="s">
        <v>2238</v>
      </c>
      <c r="J10" s="755">
        <f ca="1">ROUND(IF(M10="押一",J6/12*M11,IF(M10="押二",J6/12*2*M11,IF(M10="押三",J6/12*3*M11,J11*M11))),0)</f>
        <v>0</v>
      </c>
      <c r="K10" s="2305" t="s">
        <v>2666</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0</v>
      </c>
      <c r="D13" s="1703" t="s">
        <v>2087</v>
      </c>
      <c r="E13" s="1703" t="s">
        <v>1544</v>
      </c>
      <c r="F13" s="2311">
        <f ca="1">INDIRECT("'数据-取费表'!y"&amp;$G$1)</f>
        <v>0</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0</v>
      </c>
      <c r="D14" s="1846" t="s">
        <v>1545</v>
      </c>
      <c r="E14" s="1847"/>
      <c r="F14" s="777"/>
      <c r="G14" s="1898"/>
      <c r="H14" s="1531" t="s">
        <v>1630</v>
      </c>
      <c r="I14" s="2064" t="s">
        <v>2542</v>
      </c>
      <c r="J14" s="53">
        <f ca="1">C29</f>
        <v>0</v>
      </c>
      <c r="K14" s="26"/>
      <c r="L14" s="773"/>
      <c r="M14" s="774"/>
    </row>
    <row r="15" spans="1:33" s="1900" customFormat="1" ht="18" customHeight="1" thickBot="1">
      <c r="A15" s="1530" t="s">
        <v>1681</v>
      </c>
      <c r="B15" s="756" t="s">
        <v>629</v>
      </c>
      <c r="C15" s="53">
        <f ca="1">ROUND(C14*F15,0)</f>
        <v>0</v>
      </c>
      <c r="D15" s="778" t="s">
        <v>1546</v>
      </c>
      <c r="E15" s="778" t="s">
        <v>1547</v>
      </c>
      <c r="F15" s="779">
        <f>'数据-取费表'!B33</f>
        <v>0.03</v>
      </c>
      <c r="G15" s="3167"/>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3">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0</v>
      </c>
      <c r="K16" s="1690" t="s">
        <v>1550</v>
      </c>
      <c r="L16" s="2290"/>
      <c r="M16" s="2295"/>
    </row>
    <row r="17" spans="1:33" s="1900" customFormat="1" ht="18" customHeight="1">
      <c r="A17" s="1530" t="s">
        <v>1683</v>
      </c>
      <c r="B17" s="756" t="s">
        <v>635</v>
      </c>
      <c r="C17" s="53">
        <f ca="1">ROUND(F17*(F43+INDIRECT("'数据-取费表'!S"&amp;$G$1))/10000,0)</f>
        <v>0</v>
      </c>
      <c r="D17" s="756" t="s">
        <v>1551</v>
      </c>
      <c r="E17" s="756" t="s">
        <v>1552</v>
      </c>
      <c r="F17" s="56">
        <f>'数据-取费表'!B35</f>
        <v>200</v>
      </c>
      <c r="G17" s="3167"/>
      <c r="H17" s="1531" t="s">
        <v>1630</v>
      </c>
      <c r="I17" s="756" t="s">
        <v>638</v>
      </c>
      <c r="J17" s="2925">
        <f ca="1">ROUND(IF(AND(项目基本情况!B11="自然人",项目基本情况!B10="北京市"),J6*M17/(1+'数据-取费表'!C42),J18+J19+J20),0)</f>
        <v>0</v>
      </c>
      <c r="K17" s="2289" t="s">
        <v>1553</v>
      </c>
      <c r="L17" s="2288" t="s">
        <v>1554</v>
      </c>
      <c r="M17" s="2924"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3">
        <f ca="1">ROUND(C14*F18,0)</f>
        <v>0</v>
      </c>
      <c r="D18" s="756" t="s">
        <v>1546</v>
      </c>
      <c r="E18" s="756" t="s">
        <v>1547</v>
      </c>
      <c r="F18" s="781">
        <f>'数据-取费表'!B36</f>
        <v>1.4999999999999999E-2</v>
      </c>
      <c r="G18" s="3167"/>
      <c r="H18" s="1530" t="s">
        <v>1680</v>
      </c>
      <c r="I18" s="756" t="s">
        <v>1555</v>
      </c>
      <c r="J18" s="53">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3">
        <f ca="1">SUM(C14:C18)</f>
        <v>0</v>
      </c>
      <c r="D19" s="258" t="s">
        <v>1557</v>
      </c>
      <c r="E19" s="1849"/>
      <c r="F19" s="56"/>
      <c r="G19" s="1898"/>
      <c r="H19" s="1530" t="s">
        <v>1681</v>
      </c>
      <c r="I19" s="756" t="s">
        <v>1558</v>
      </c>
      <c r="J19" s="53">
        <f ca="1">IF(K19="按租金收入计税",ROUND(J6*M19/(1+'数据-取费表'!C42),1),ROUND(C29*F33*0.7,1))</f>
        <v>0</v>
      </c>
      <c r="K19" s="782" t="s">
        <v>647</v>
      </c>
      <c r="L19" s="756" t="s">
        <v>1547</v>
      </c>
      <c r="M19" s="781">
        <f>IF(K19="按租金收入计税",'数据-取费表'!B51,'数据-取费表'!B50)</f>
        <v>1.2E-2</v>
      </c>
    </row>
    <row r="20" spans="1:33" s="1900" customFormat="1" ht="18" customHeight="1">
      <c r="A20" s="1531" t="s">
        <v>1685</v>
      </c>
      <c r="B20" s="756" t="s">
        <v>648</v>
      </c>
      <c r="C20" s="53">
        <f ca="1">ROUND(C19*F20,0)</f>
        <v>0</v>
      </c>
      <c r="D20" s="783" t="s">
        <v>1559</v>
      </c>
      <c r="E20" s="756" t="s">
        <v>1547</v>
      </c>
      <c r="F20" s="781">
        <f>'数据-取费表'!B37</f>
        <v>0.02</v>
      </c>
      <c r="G20" s="3167"/>
      <c r="H20" s="1533" t="s">
        <v>1676</v>
      </c>
      <c r="I20" s="338" t="s">
        <v>1560</v>
      </c>
      <c r="J20" s="54">
        <f ca="1">ROUND(M20*M21/10000,0)</f>
        <v>0</v>
      </c>
      <c r="K20" s="785" t="s">
        <v>1561</v>
      </c>
      <c r="L20" s="756" t="s">
        <v>1562</v>
      </c>
      <c r="M20" s="614">
        <f>'数据-取费表'!B52</f>
        <v>2</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3" t="s">
        <v>1564</v>
      </c>
      <c r="D21" s="783" t="s">
        <v>2088</v>
      </c>
      <c r="E21" s="756" t="s">
        <v>1565</v>
      </c>
      <c r="F21" s="781">
        <f>'数据-取费表'!B38</f>
        <v>0.02</v>
      </c>
      <c r="G21" s="3167"/>
      <c r="H21" s="2310"/>
      <c r="I21" s="765"/>
      <c r="J21" s="69"/>
      <c r="K21" s="787"/>
      <c r="L21" s="756" t="s">
        <v>1566</v>
      </c>
      <c r="M21" s="757">
        <f ca="1">INDIRECT("'数据-取费表'!r"&amp;$G$1)</f>
        <v>0</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3"/>
      <c r="D22" s="2345" t="str">
        <f>IF(F23&lt;=1,"单利计息。","复利计息。")&amp;"建造成本、管理费用、销售费用产生的利息。"</f>
        <v>复利计息。建造成本、管理费用、销售费用产生的利息。</v>
      </c>
      <c r="E22" s="1849"/>
      <c r="F22" s="56"/>
      <c r="G22" s="1898"/>
      <c r="H22" s="1531" t="s">
        <v>1685</v>
      </c>
      <c r="I22" s="756" t="s">
        <v>1568</v>
      </c>
      <c r="J22" s="53">
        <f ca="1">ROUND(J14*M22,0)</f>
        <v>0</v>
      </c>
      <c r="K22" s="2288" t="s">
        <v>1569</v>
      </c>
      <c r="L22" s="756" t="s">
        <v>1547</v>
      </c>
      <c r="M22" s="788">
        <f ca="1">INDIRECT("'数据-取费表'!Ak"&amp;$G$1)</f>
        <v>0</v>
      </c>
    </row>
    <row r="23" spans="1:33" s="1900" customFormat="1" ht="18" customHeight="1">
      <c r="A23" s="1530" t="s">
        <v>1631</v>
      </c>
      <c r="B23" s="756" t="s">
        <v>2253</v>
      </c>
      <c r="C23" s="53">
        <f ca="1">ROUND(IF('数据-取费表'!B22&lt;=1,(C19+C20)*F24*F23/2,(C19+C20)*(POWER((1+F24),F23/2)-1)),0)</f>
        <v>0</v>
      </c>
      <c r="D23" s="2344" t="str">
        <f>IF(F23&lt;=1,"(建造成本+管理费用)×利率×(建设周期÷2)","(建造成本+管理费用)×((1+利率)^(建设周期÷2)-1)")</f>
        <v>(建造成本+管理费用)×((1+利率)^(建设周期÷2)-1)</v>
      </c>
      <c r="E23" s="756" t="s">
        <v>1570</v>
      </c>
      <c r="F23" s="614">
        <f>'数据-取费表'!B20</f>
        <v>2.5</v>
      </c>
      <c r="G23" s="3167"/>
      <c r="H23" s="1531" t="s">
        <v>1686</v>
      </c>
      <c r="I23" s="756" t="s">
        <v>661</v>
      </c>
      <c r="J23" s="53">
        <f ca="1">ROUND(J13*M23,0)</f>
        <v>0</v>
      </c>
      <c r="K23" s="2288" t="s">
        <v>1571</v>
      </c>
      <c r="L23" s="756" t="s">
        <v>1547</v>
      </c>
      <c r="M23" s="789">
        <f ca="1">INDIRECT("'数据-取费表'!Al"&amp;$G$1)</f>
        <v>0</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3">
        <f ca="1">ROUND(IF('数据-取费表'!B22&lt;=1,F21*F24*F23/2,F21*(POWER((1+F24),F23/2)-1)),4)</f>
        <v>1.1000000000000001E-3</v>
      </c>
      <c r="D24" s="2344" t="str">
        <f>IF(F23&lt;=1,"销售费用×利率×(建设周期÷2)","销售费用×((1+利率)^(建设周期÷2)-1)")</f>
        <v>销售费用×((1+利率)^(建设周期÷2)-1)</v>
      </c>
      <c r="E24" s="756" t="s">
        <v>1573</v>
      </c>
      <c r="F24" s="790">
        <f ca="1">'数据-取费表'!B40</f>
        <v>4.2000000000000003E-2</v>
      </c>
      <c r="G24" s="3167"/>
      <c r="H24" s="2326" t="s">
        <v>1687</v>
      </c>
      <c r="I24" s="2321" t="s">
        <v>648</v>
      </c>
      <c r="J24" s="2319">
        <f ca="1">ROUND(J5*M24,0)</f>
        <v>0</v>
      </c>
      <c r="K24" s="2320" t="s">
        <v>1574</v>
      </c>
      <c r="L24" s="2321" t="s">
        <v>1547</v>
      </c>
      <c r="M24" s="2317">
        <f ca="1">INDIRECT("'数据-取费表'!Am"&amp;$G$1)</f>
        <v>0</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3"/>
      <c r="D25" s="258" t="s">
        <v>1575</v>
      </c>
      <c r="E25" s="1849"/>
      <c r="F25" s="56"/>
      <c r="G25" s="1898"/>
      <c r="H25" s="1698" t="s">
        <v>1576</v>
      </c>
      <c r="I25" s="2643" t="s">
        <v>2538</v>
      </c>
      <c r="J25" s="764">
        <f ca="1">J5-J16</f>
        <v>0</v>
      </c>
      <c r="K25" s="2323" t="s">
        <v>1577</v>
      </c>
      <c r="L25" s="2324"/>
      <c r="M25" s="2325"/>
    </row>
    <row r="26" spans="1:33" ht="18" customHeight="1">
      <c r="A26" s="1530" t="s">
        <v>1631</v>
      </c>
      <c r="B26" s="756" t="s">
        <v>2220</v>
      </c>
      <c r="C26" s="53">
        <f ca="1">ROUND((C19+C20)*F26,0)</f>
        <v>0</v>
      </c>
      <c r="D26" s="783" t="s">
        <v>1578</v>
      </c>
      <c r="E26" s="767" t="s">
        <v>1579</v>
      </c>
      <c r="F26" s="766">
        <f ca="1">INDIRECT("'数据-取费表'!q"&amp;$G$1)</f>
        <v>0</v>
      </c>
      <c r="G26" s="1898"/>
      <c r="H26" s="2306" t="s">
        <v>1580</v>
      </c>
      <c r="I26" s="2065" t="s">
        <v>2543</v>
      </c>
      <c r="J26" s="755">
        <f ca="1">IF(J5&lt;&gt;0,ROUND(J25*(1-((1+M28)/(1+M26))^M27)/(M26-M28),0),0)</f>
        <v>0</v>
      </c>
      <c r="K26" s="785" t="s">
        <v>1581</v>
      </c>
      <c r="L26" s="756" t="s">
        <v>2206</v>
      </c>
      <c r="M26" s="766">
        <f ca="1">INDIRECT("'数据-取费表'!I"&amp;$G$1)</f>
        <v>0</v>
      </c>
    </row>
    <row r="27" spans="1:33" ht="18" customHeight="1">
      <c r="A27" s="1530" t="s">
        <v>1632</v>
      </c>
      <c r="B27" s="756" t="s">
        <v>668</v>
      </c>
      <c r="C27" s="53">
        <f ca="1">ROUND(F21*F26,4)</f>
        <v>0</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3">
        <f>ROUND(F28/(1+'数据-取费表'!C42),4)</f>
        <v>5.2400000000000002E-2</v>
      </c>
      <c r="D28" s="783" t="s">
        <v>2089</v>
      </c>
      <c r="E28" s="756" t="s">
        <v>1585</v>
      </c>
      <c r="F28" s="781">
        <f>'数据-取费表'!B41</f>
        <v>5.5000000000000007E-2</v>
      </c>
      <c r="G28" s="3167"/>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0</v>
      </c>
      <c r="D29" s="2320"/>
      <c r="E29" s="2321"/>
      <c r="F29" s="2322"/>
      <c r="G29" s="3167"/>
      <c r="H29" s="794" t="s">
        <v>1587</v>
      </c>
      <c r="I29" s="795" t="s">
        <v>1588</v>
      </c>
      <c r="J29" s="796">
        <f ca="1">ROUND(J26/(1+F40)^F41,0)</f>
        <v>0</v>
      </c>
      <c r="K29" s="797" t="s">
        <v>1589</v>
      </c>
      <c r="L29" s="798"/>
      <c r="M29" s="799">
        <f ca="1">INDIRECT("'数据-取费表'!k"&amp;$G$1)</f>
        <v>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0</v>
      </c>
      <c r="D30" s="1690" t="s">
        <v>1591</v>
      </c>
      <c r="E30" s="2290"/>
      <c r="F30" s="2295"/>
      <c r="G30" s="1898"/>
      <c r="H30" s="1901"/>
      <c r="I30" s="1902"/>
      <c r="J30" s="1903"/>
      <c r="K30" s="1904"/>
      <c r="L30" s="1905"/>
      <c r="M30" s="1906"/>
    </row>
    <row r="31" spans="1:33" ht="18" customHeight="1">
      <c r="A31" s="1531" t="s">
        <v>1630</v>
      </c>
      <c r="B31" s="756" t="s">
        <v>638</v>
      </c>
      <c r="C31" s="2925">
        <f ca="1">ROUND(IF(AND(项目基本情况!B11="自然人",项目基本情况!B10="北京市"),C6*F31/(1+'数据-取费表'!C42),C32+C33+C34),0)</f>
        <v>0</v>
      </c>
      <c r="D31" s="1846" t="s">
        <v>1592</v>
      </c>
      <c r="E31" s="1844" t="s">
        <v>1593</v>
      </c>
      <c r="F31" s="2924" t="str">
        <f>IF(项目基本情况!B11="企业","——",IF('数据-取费表'!B10="住宅",IF(F6*F7*F8/12/(1+'数据-取费表'!F30)&gt;100000,4%,2.5%),IF(F6*F7*F8/12/(1+'数据-取费表'!F30)&gt;100000,12%,7%)))</f>
        <v>——</v>
      </c>
      <c r="G31" s="1898"/>
      <c r="H31" s="3164" t="s">
        <v>2721</v>
      </c>
      <c r="I31" s="1902"/>
      <c r="J31" s="1903"/>
      <c r="K31" s="1904"/>
      <c r="L31" s="1905"/>
      <c r="M31" s="1906"/>
    </row>
    <row r="32" spans="1:33" ht="18" customHeight="1">
      <c r="A32" s="1530" t="s">
        <v>1631</v>
      </c>
      <c r="B32" s="756" t="s">
        <v>1594</v>
      </c>
      <c r="C32" s="53">
        <f ca="1">ROUND(C6*F32/(1+'数据-取费表'!C42),1)</f>
        <v>0</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3">
        <f ca="1">IF(D33="按租金收入计税",ROUND(C6*F33/(1+'数据-取费表'!C42),1),IF(D33="按房产原值计税",ROUND(C29*F33*0.7,1),INDIRECT("'数据-取费表'!Aj"&amp;$G$1)))</f>
        <v>0</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4">
        <f ca="1">ROUND(F34*F35/10000,1)</f>
        <v>0</v>
      </c>
      <c r="D34" s="785" t="s">
        <v>1599</v>
      </c>
      <c r="E34" s="756" t="s">
        <v>1600</v>
      </c>
      <c r="F34" s="614">
        <f>'数据-取费表'!B52</f>
        <v>2</v>
      </c>
      <c r="G34" s="1898"/>
      <c r="H34" s="1901"/>
      <c r="I34" s="806" t="s">
        <v>1613</v>
      </c>
      <c r="J34" s="807"/>
      <c r="K34" s="1916"/>
      <c r="L34" s="1915"/>
      <c r="M34" s="1915"/>
    </row>
    <row r="35" spans="1:18" ht="18" customHeight="1">
      <c r="A35" s="786"/>
      <c r="B35" s="765"/>
      <c r="C35" s="69"/>
      <c r="D35" s="787"/>
      <c r="E35" s="756" t="s">
        <v>1601</v>
      </c>
      <c r="F35" s="757">
        <f ca="1">INDIRECT("'数据-取费表'!r"&amp;$G$1)</f>
        <v>0</v>
      </c>
      <c r="G35" s="1898"/>
      <c r="H35" s="1901"/>
      <c r="I35" s="808" t="s">
        <v>1614</v>
      </c>
      <c r="J35" s="809">
        <f ca="1">ROUND(C13*J36,0)</f>
        <v>0</v>
      </c>
      <c r="K35" s="1914"/>
      <c r="L35" s="1913"/>
      <c r="M35" s="1913"/>
    </row>
    <row r="36" spans="1:18" ht="18" customHeight="1">
      <c r="A36" s="1531" t="s">
        <v>1685</v>
      </c>
      <c r="B36" s="756" t="s">
        <v>1602</v>
      </c>
      <c r="C36" s="53">
        <f ca="1">ROUND(C29*F36,1)</f>
        <v>0</v>
      </c>
      <c r="D36" s="1844" t="s">
        <v>1603</v>
      </c>
      <c r="E36" s="756" t="s">
        <v>1596</v>
      </c>
      <c r="F36" s="788">
        <f ca="1">INDIRECT("'数据-取费表'!Ak"&amp;$G$1)</f>
        <v>0</v>
      </c>
      <c r="G36" s="1898"/>
      <c r="H36" s="1913"/>
      <c r="I36" s="810" t="s">
        <v>1615</v>
      </c>
      <c r="J36" s="811">
        <f ca="1">INDIRECT("'数据-取费表'!j"&amp;$G$1)</f>
        <v>0</v>
      </c>
      <c r="K36" s="1917"/>
      <c r="L36" s="1913"/>
      <c r="M36" s="1913"/>
    </row>
    <row r="37" spans="1:18" ht="18" customHeight="1">
      <c r="A37" s="1531" t="s">
        <v>1686</v>
      </c>
      <c r="B37" s="756" t="s">
        <v>661</v>
      </c>
      <c r="C37" s="53">
        <f ca="1">ROUND(C13*F37,1)</f>
        <v>0</v>
      </c>
      <c r="D37" s="1844" t="s">
        <v>1604</v>
      </c>
      <c r="E37" s="756" t="s">
        <v>1596</v>
      </c>
      <c r="F37" s="789">
        <f ca="1">INDIRECT("'数据-取费表'!Al"&amp;$G$1)</f>
        <v>0</v>
      </c>
      <c r="G37" s="1898"/>
      <c r="H37" s="1913"/>
      <c r="I37" s="812" t="s">
        <v>1616</v>
      </c>
      <c r="J37" s="813"/>
      <c r="K37" s="1917"/>
      <c r="L37" s="1913"/>
      <c r="M37" s="1913"/>
    </row>
    <row r="38" spans="1:18" ht="18" customHeight="1" thickBot="1">
      <c r="A38" s="2326" t="s">
        <v>1687</v>
      </c>
      <c r="B38" s="2321" t="s">
        <v>648</v>
      </c>
      <c r="C38" s="2319">
        <f ca="1">ROUND(C5*F38,1)</f>
        <v>0</v>
      </c>
      <c r="D38" s="2320" t="s">
        <v>1605</v>
      </c>
      <c r="E38" s="2321" t="s">
        <v>1596</v>
      </c>
      <c r="F38" s="2317">
        <f ca="1">INDIRECT("'数据-取费表'!Am"&amp;$G$1)</f>
        <v>0</v>
      </c>
      <c r="G38" s="1898"/>
      <c r="H38" s="1913"/>
      <c r="I38" s="814" t="s">
        <v>1617</v>
      </c>
      <c r="J38" s="815"/>
      <c r="K38" s="1918"/>
      <c r="L38" s="1913"/>
      <c r="M38" s="1913"/>
    </row>
    <row r="39" spans="1:18" ht="24.6" customHeight="1" thickTop="1">
      <c r="A39" s="1698" t="s">
        <v>1690</v>
      </c>
      <c r="B39" s="2643" t="s">
        <v>2538</v>
      </c>
      <c r="C39" s="764">
        <f ca="1">C5-C30</f>
        <v>0</v>
      </c>
      <c r="D39" s="2323" t="s">
        <v>1606</v>
      </c>
      <c r="E39" s="2324"/>
      <c r="F39" s="2325"/>
      <c r="G39" s="1898"/>
      <c r="H39" s="1913"/>
      <c r="I39" s="808" t="s">
        <v>1618</v>
      </c>
      <c r="J39" s="816" t="e">
        <f ca="1">ROUND(J35/C39,3)</f>
        <v>#DIV/0!</v>
      </c>
      <c r="K39" s="1918"/>
      <c r="L39" s="1913"/>
      <c r="M39" s="1913"/>
    </row>
    <row r="40" spans="1:18" ht="18" customHeight="1">
      <c r="A40" s="753" t="s">
        <v>1691</v>
      </c>
      <c r="B40" s="2065" t="s">
        <v>2091</v>
      </c>
      <c r="C40" s="755" t="e">
        <f ca="1">ROUND(C39*(1-((1+F42)/(1+F40))^F41)/(F40-F42),0)</f>
        <v>#DIV/0!</v>
      </c>
      <c r="D40" s="785" t="s">
        <v>1607</v>
      </c>
      <c r="E40" s="756" t="s">
        <v>2206</v>
      </c>
      <c r="F40" s="766">
        <f ca="1">INDIRECT("'数据-取费表'!I"&amp;$G$1)</f>
        <v>0</v>
      </c>
      <c r="G40" s="1898"/>
      <c r="H40" s="1898"/>
      <c r="I40" s="808" t="s">
        <v>1619</v>
      </c>
      <c r="J40" s="816" t="e">
        <f ca="1">1-J39</f>
        <v>#DIV/0!</v>
      </c>
      <c r="K40" s="1918"/>
      <c r="L40" s="1898"/>
      <c r="M40" s="1898"/>
    </row>
    <row r="41" spans="1:18" ht="18" customHeight="1">
      <c r="A41" s="758"/>
      <c r="B41" s="759"/>
      <c r="C41" s="760"/>
      <c r="D41" s="792" t="s">
        <v>1608</v>
      </c>
      <c r="E41" s="756" t="s">
        <v>2658</v>
      </c>
      <c r="F41" s="793">
        <f ca="1">IF(INDIRECT("'数据-取费表'!af"&amp;$G$1)=0,INDIRECT("'数据-取费表'!ae"&amp;$G$1),INDIRECT("'数据-取费表'!af"&amp;$G$1))</f>
        <v>0</v>
      </c>
      <c r="G41" s="1898"/>
      <c r="H41" s="1853"/>
      <c r="I41" s="814" t="s">
        <v>1620</v>
      </c>
      <c r="J41" s="817"/>
      <c r="K41" s="1917"/>
      <c r="L41" s="1853"/>
      <c r="M41" s="1853"/>
    </row>
    <row r="42" spans="1:18" ht="18" customHeight="1">
      <c r="A42" s="762"/>
      <c r="B42" s="763"/>
      <c r="C42" s="764"/>
      <c r="D42" s="787"/>
      <c r="E42" s="756" t="s">
        <v>1609</v>
      </c>
      <c r="F42" s="766">
        <f ca="1">INDIRECT("'数据-取费表'!v"&amp;$G$1)</f>
        <v>0</v>
      </c>
      <c r="G42" s="1898"/>
      <c r="H42" s="1853"/>
      <c r="I42" s="818" t="s">
        <v>1621</v>
      </c>
      <c r="J42" s="816" t="e">
        <f ca="1">ROUND(C13/C40,3)</f>
        <v>#DIV/0!</v>
      </c>
      <c r="K42" s="1917"/>
      <c r="L42" s="1853"/>
      <c r="M42" s="1853"/>
    </row>
    <row r="43" spans="1:18" ht="18" customHeight="1" thickBot="1">
      <c r="A43" s="794" t="s">
        <v>1587</v>
      </c>
      <c r="B43" s="795" t="s">
        <v>1610</v>
      </c>
      <c r="C43" s="796" t="e">
        <f ca="1">ROUND(C40*10000/F43,0)</f>
        <v>#DIV/0!</v>
      </c>
      <c r="D43" s="797" t="s">
        <v>1611</v>
      </c>
      <c r="E43" s="798" t="s">
        <v>1612</v>
      </c>
      <c r="F43" s="799">
        <f ca="1">INDIRECT("'数据-取费表'!k"&amp;$G$1)</f>
        <v>0</v>
      </c>
      <c r="G43" s="1898"/>
      <c r="H43" s="1853"/>
      <c r="I43" s="818" t="s">
        <v>1622</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t="e">
        <f ca="1">C67-C40</f>
        <v>#DIV/0!</v>
      </c>
      <c r="D46" s="3168"/>
      <c r="E46" s="3168"/>
      <c r="F46" s="3168"/>
      <c r="I46" s="2186" t="s">
        <v>2130</v>
      </c>
      <c r="J46" s="2187"/>
      <c r="K46" s="2188"/>
      <c r="L46" s="2727" t="e">
        <f ca="1">IF(OR(M47="住宅",D1="土地（套用方法）"),0,IF(L48&gt;J51,L60,J60))</f>
        <v>#DIV/0!</v>
      </c>
      <c r="M46" s="3169"/>
      <c r="O46" s="2202" t="s">
        <v>2197</v>
      </c>
      <c r="P46" s="1481"/>
      <c r="Q46" s="1489"/>
      <c r="R46" s="1481"/>
    </row>
    <row r="47" spans="1:18" s="1895" customFormat="1" ht="18" customHeight="1" thickBot="1">
      <c r="A47" s="2180">
        <v>1</v>
      </c>
      <c r="B47" s="2181" t="s">
        <v>617</v>
      </c>
      <c r="C47" s="2347">
        <f ca="1">C48+C52+C54</f>
        <v>0</v>
      </c>
      <c r="D47" s="3168"/>
      <c r="E47" s="3168"/>
      <c r="F47" s="3168"/>
      <c r="I47" s="2718" t="s">
        <v>2131</v>
      </c>
      <c r="J47" s="2189"/>
      <c r="K47" s="2724" t="s">
        <v>2136</v>
      </c>
      <c r="L47" s="2728">
        <f ca="1">INDIRECT("'数据-取费表'!d"&amp;$G$1)</f>
        <v>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5" t="s">
        <v>2132</v>
      </c>
      <c r="J48" s="2190"/>
      <c r="K48" s="2725" t="s">
        <v>2138</v>
      </c>
      <c r="L48" s="1776">
        <f ca="1">INDIRECT("'数据-取费表'!f"&amp;$G$1)</f>
        <v>0</v>
      </c>
      <c r="M48" s="3169"/>
      <c r="O48" s="2206" t="s">
        <v>2166</v>
      </c>
      <c r="P48" s="2207" t="s">
        <v>2192</v>
      </c>
      <c r="Q48" s="2208" t="e">
        <f ca="1">C40+J29</f>
        <v>#DIV/0!</v>
      </c>
      <c r="R48" s="2207" t="s">
        <v>2167</v>
      </c>
    </row>
    <row r="49" spans="1:18" s="1895" customFormat="1" ht="18" customHeight="1" thickBot="1">
      <c r="A49" s="758"/>
      <c r="B49" s="759"/>
      <c r="C49" s="760"/>
      <c r="D49" s="761"/>
      <c r="E49" s="756" t="s">
        <v>1539</v>
      </c>
      <c r="F49" s="757">
        <f ca="1">F7</f>
        <v>0</v>
      </c>
      <c r="G49" s="1925"/>
      <c r="H49" s="1928"/>
      <c r="I49" s="2715" t="s">
        <v>2133</v>
      </c>
      <c r="J49" s="2191"/>
      <c r="K49" s="2726" t="s">
        <v>2139</v>
      </c>
      <c r="L49" s="2192"/>
      <c r="M49" s="3169"/>
      <c r="O49" s="2206" t="s">
        <v>2168</v>
      </c>
      <c r="P49" s="2207" t="s">
        <v>2193</v>
      </c>
      <c r="Q49" s="2208" t="e">
        <f ca="1">J60</f>
        <v>#DIV/0!</v>
      </c>
      <c r="R49" s="2207" t="s">
        <v>2169</v>
      </c>
    </row>
    <row r="50" spans="1:18" s="1895" customFormat="1" ht="18" customHeight="1" thickBot="1">
      <c r="A50" s="758"/>
      <c r="B50" s="759"/>
      <c r="C50" s="760"/>
      <c r="D50" s="761"/>
      <c r="E50" s="756" t="s">
        <v>1540</v>
      </c>
      <c r="F50" s="757">
        <f ca="1">F8</f>
        <v>0</v>
      </c>
      <c r="G50" s="1930"/>
      <c r="H50" s="1928"/>
      <c r="I50" s="2715" t="s">
        <v>2134</v>
      </c>
      <c r="J50" s="2722">
        <f>SUMPRODUCT((I63:I65=J47)*(J62:L62=J48)*(J63:L65))</f>
        <v>0</v>
      </c>
      <c r="K50" s="2726" t="s">
        <v>2140</v>
      </c>
      <c r="L50" s="2192"/>
      <c r="M50" s="3169"/>
      <c r="O50" s="2209" t="s">
        <v>2170</v>
      </c>
      <c r="P50" s="2207" t="s">
        <v>2194</v>
      </c>
      <c r="Q50" s="2208">
        <f ca="1">C29</f>
        <v>0</v>
      </c>
      <c r="R50" s="2207" t="s">
        <v>2167</v>
      </c>
    </row>
    <row r="51" spans="1:18" s="1895" customFormat="1" ht="18" customHeight="1" thickBot="1">
      <c r="A51" s="758"/>
      <c r="B51" s="759"/>
      <c r="C51" s="760"/>
      <c r="D51" s="761"/>
      <c r="E51" s="756" t="s">
        <v>622</v>
      </c>
      <c r="F51" s="2179"/>
      <c r="H51" s="1928"/>
      <c r="I51" s="2719" t="s">
        <v>2135</v>
      </c>
      <c r="J51" s="2723">
        <f>IF(J49="",J50,J49+J50-YEAR('数据-取费表'!B2))</f>
        <v>0</v>
      </c>
      <c r="K51" s="2715" t="s">
        <v>2141</v>
      </c>
      <c r="L51" s="2729">
        <f ca="1">ROUND(-PV(INDIRECT("'数据-取费表'!h"&amp;$G$1),J51,(C39-C13*J36),0),0)</f>
        <v>0</v>
      </c>
      <c r="M51" s="3169"/>
      <c r="O51" s="2209" t="s">
        <v>2171</v>
      </c>
      <c r="P51" s="2207" t="s">
        <v>2172</v>
      </c>
      <c r="Q51" s="2210" t="e">
        <f ca="1">J58</f>
        <v>#DIV/0!</v>
      </c>
      <c r="R51" s="2211"/>
    </row>
    <row r="52" spans="1:18" s="1895" customFormat="1" ht="18" customHeight="1" thickBot="1">
      <c r="A52" s="753" t="s">
        <v>2254</v>
      </c>
      <c r="B52" s="2298" t="s">
        <v>2238</v>
      </c>
      <c r="C52" s="771">
        <f ca="1">ROUND(IF(F52="押一",C48/12*F11,IF(F52="押二",C48/12*2*F11,IF(F52="押三",C48/12*3*F11,C53*F11))),0)</f>
        <v>0</v>
      </c>
      <c r="D52" s="2305" t="s">
        <v>2667</v>
      </c>
      <c r="E52" s="2302" t="s">
        <v>2243</v>
      </c>
      <c r="F52" s="2386"/>
      <c r="I52" s="2720" t="s">
        <v>2208</v>
      </c>
      <c r="J52" s="2193"/>
      <c r="K52" s="2720" t="s">
        <v>2207</v>
      </c>
      <c r="L52" s="2193"/>
      <c r="M52" s="3169"/>
      <c r="O52" s="2209" t="s">
        <v>2173</v>
      </c>
      <c r="P52" s="2207" t="s">
        <v>2174</v>
      </c>
      <c r="Q52" s="2210">
        <f>J52</f>
        <v>0</v>
      </c>
      <c r="R52" s="2211"/>
    </row>
    <row r="53" spans="1:18" s="1895" customFormat="1" ht="39.75" customHeight="1" thickBot="1">
      <c r="A53" s="758"/>
      <c r="B53" s="2299" t="s">
        <v>2291</v>
      </c>
      <c r="C53" s="2303"/>
      <c r="D53" s="2305"/>
      <c r="E53" s="2302"/>
      <c r="F53" s="772"/>
      <c r="I53" s="2721" t="s">
        <v>2670</v>
      </c>
      <c r="J53" s="2774">
        <f ca="1">IF(M47="住宅",IF(D1="——",MAX(J51,L48),MAX(J51,L48-'数据-取费表'!B20)),IF(D1="——",MIN(J51,L48),MIN(J51,L48-'数据-取费表'!B20)))</f>
        <v>0</v>
      </c>
      <c r="K53" s="3753" t="s">
        <v>2660</v>
      </c>
      <c r="L53" s="3754"/>
      <c r="M53" s="3169"/>
      <c r="O53" s="2209" t="s">
        <v>2175</v>
      </c>
      <c r="P53" s="2207" t="s">
        <v>2176</v>
      </c>
      <c r="Q53" s="2208">
        <f ca="1">J53</f>
        <v>0</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69"/>
      <c r="O54" s="2206" t="s">
        <v>2178</v>
      </c>
      <c r="P54" s="2207" t="s">
        <v>2195</v>
      </c>
      <c r="Q54" s="2208" t="e">
        <f ca="1">Q48+Q49</f>
        <v>#DIV/0!</v>
      </c>
      <c r="R54" s="2211" t="s">
        <v>2179</v>
      </c>
    </row>
    <row r="55" spans="1:18" s="1895" customFormat="1" ht="18" customHeight="1" thickTop="1" thickBot="1">
      <c r="A55" s="769">
        <v>2</v>
      </c>
      <c r="B55" s="770" t="s">
        <v>626</v>
      </c>
      <c r="C55" s="771">
        <f ca="1">C13</f>
        <v>0</v>
      </c>
      <c r="D55" s="767"/>
      <c r="E55" s="767"/>
      <c r="F55" s="772"/>
      <c r="I55" s="2732" t="s">
        <v>2142</v>
      </c>
      <c r="J55" s="2704" t="e">
        <f ca="1">ROUND(IF(J47="钢混",J57/J50,1-(1-2%)*(J50-J57)/J50),3)</f>
        <v>#DIV/0!</v>
      </c>
      <c r="K55" s="2733" t="s">
        <v>2143</v>
      </c>
      <c r="L55" s="2194"/>
      <c r="M55" s="3169"/>
      <c r="O55" s="2212" t="s">
        <v>2198</v>
      </c>
      <c r="P55" s="1481"/>
      <c r="Q55" s="1489"/>
      <c r="R55" s="1481"/>
    </row>
    <row r="56" spans="1:18" s="1895" customFormat="1" ht="42.75" customHeight="1" thickBot="1">
      <c r="A56" s="1532"/>
      <c r="B56" s="2064" t="s">
        <v>2092</v>
      </c>
      <c r="C56" s="53">
        <f ca="1">C29</f>
        <v>0</v>
      </c>
      <c r="D56" s="2402"/>
      <c r="E56" s="756"/>
      <c r="F56" s="781"/>
      <c r="I56" s="2734" t="s">
        <v>2144</v>
      </c>
      <c r="J56" s="2744"/>
      <c r="K56" s="2715" t="s">
        <v>2149</v>
      </c>
      <c r="L56" s="1776">
        <f ca="1">IF(L48&lt;J51,"——",L48-J51)</f>
        <v>0</v>
      </c>
      <c r="M56" s="3169"/>
      <c r="O56" s="2203" t="s">
        <v>2162</v>
      </c>
      <c r="P56" s="2204" t="s">
        <v>2163</v>
      </c>
      <c r="Q56" s="2205" t="s">
        <v>2164</v>
      </c>
      <c r="R56" s="2204" t="s">
        <v>2165</v>
      </c>
    </row>
    <row r="57" spans="1:18" s="1895" customFormat="1" ht="28.5" customHeight="1" thickBot="1">
      <c r="A57" s="769" t="s">
        <v>1548</v>
      </c>
      <c r="B57" s="770" t="s">
        <v>633</v>
      </c>
      <c r="C57" s="771">
        <f ca="1">ROUND(C58+C63+C64+C65,0)</f>
        <v>0</v>
      </c>
      <c r="D57" s="26" t="s">
        <v>1550</v>
      </c>
      <c r="E57" s="2403"/>
      <c r="F57" s="56"/>
      <c r="I57" s="2735" t="s">
        <v>2145</v>
      </c>
      <c r="J57" s="2736">
        <f ca="1">IF(OR(M47="住宅",J51&lt;L48,J56="是"),"——",J51-L48)</f>
        <v>0</v>
      </c>
      <c r="K57" s="2715" t="s">
        <v>2150</v>
      </c>
      <c r="L57" s="1776">
        <f ca="1">IF(L48&lt;J51,"——",IF(L55="比较法",L49,IF(L55="基准地价",L50,L51)))</f>
        <v>0</v>
      </c>
      <c r="M57" s="3169"/>
      <c r="O57" s="2206" t="s">
        <v>2166</v>
      </c>
      <c r="P57" s="2207" t="s">
        <v>2196</v>
      </c>
      <c r="Q57" s="2208" t="e">
        <f ca="1">C40+J29</f>
        <v>#DIV/0!</v>
      </c>
      <c r="R57" s="2207" t="s">
        <v>2167</v>
      </c>
    </row>
    <row r="58" spans="1:18" s="1895" customFormat="1" ht="28.5" customHeight="1" thickBot="1">
      <c r="A58" s="1531" t="s">
        <v>1624</v>
      </c>
      <c r="B58" s="756" t="s">
        <v>638</v>
      </c>
      <c r="C58" s="2925">
        <f ca="1">ROUND(IF(AND(项目基本情况!B11="自然人",项目基本情况!B10="北京市"),C48*F58/(1+'数据-取费表'!C42),C59+C60+C61),0)</f>
        <v>0</v>
      </c>
      <c r="D58" s="2401" t="s">
        <v>639</v>
      </c>
      <c r="E58" s="2402" t="s">
        <v>672</v>
      </c>
      <c r="F58" s="2924" t="str">
        <f>IF(项目基本情况!B11="企业","——",IF('数据-取费表'!B10="住宅",IF(F48*F49*F50/12/(1+'数据-取费表'!F30)&gt;100000,4%,2.5%),IF(F48*F49*F50/12/(1+'数据-取费表'!F30)&gt;100000,12%,7%)))</f>
        <v>——</v>
      </c>
      <c r="I58" s="2735" t="s">
        <v>2146</v>
      </c>
      <c r="J58" s="2705" t="e">
        <f ca="1">IF(J55&lt;0.4,0.4,J55)</f>
        <v>#DIV/0!</v>
      </c>
      <c r="K58" s="2715" t="s">
        <v>2151</v>
      </c>
      <c r="L58" s="1776" t="e">
        <f ca="1">ROUND(POWER(1+L52,L47-L48)*(POWER(1+L52,L48)-1)/(POWER(1+L52,L47)-1),4)</f>
        <v>#DIV/0!</v>
      </c>
      <c r="M58" s="3169"/>
      <c r="O58" s="2206" t="s">
        <v>2168</v>
      </c>
      <c r="P58" s="2207" t="s">
        <v>2199</v>
      </c>
      <c r="Q58" s="2208" t="e">
        <f ca="1">L60</f>
        <v>#DIV/0!</v>
      </c>
      <c r="R58" s="2211" t="s">
        <v>2201</v>
      </c>
    </row>
    <row r="59" spans="1:18" s="1895" customFormat="1" ht="28.5" customHeight="1" thickBot="1">
      <c r="A59" s="1530" t="s">
        <v>1631</v>
      </c>
      <c r="B59" s="756" t="s">
        <v>642</v>
      </c>
      <c r="C59" s="53">
        <f ca="1">ROUND(C47*F59/1.05,1)</f>
        <v>0</v>
      </c>
      <c r="D59" s="2402" t="s">
        <v>1556</v>
      </c>
      <c r="E59" s="756" t="s">
        <v>1547</v>
      </c>
      <c r="F59" s="781">
        <f t="shared" ref="F59:F65" si="0">F32</f>
        <v>5.5000000000000007E-2</v>
      </c>
      <c r="I59" s="2735" t="s">
        <v>2147</v>
      </c>
      <c r="J59" s="2736" t="e">
        <f ca="1">IF(OR(M47="住宅",J51&lt;L48,J56="是"),"——",ROUND(C29*J58,0))</f>
        <v>#DIV/0!</v>
      </c>
      <c r="K59" s="2715"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69"/>
      <c r="O59" s="2209" t="s">
        <v>2170</v>
      </c>
      <c r="P59" s="2207" t="s">
        <v>2200</v>
      </c>
      <c r="Q59" s="2208">
        <f>IF(L55="比较法",L49,IF(L55="基准地价",L50,0))</f>
        <v>0</v>
      </c>
      <c r="R59" s="2207" t="s">
        <v>2167</v>
      </c>
    </row>
    <row r="60" spans="1:18" s="1895" customFormat="1" ht="18" customHeight="1" thickBot="1">
      <c r="A60" s="1530" t="s">
        <v>1632</v>
      </c>
      <c r="B60" s="756" t="s">
        <v>1558</v>
      </c>
      <c r="C60" s="53">
        <f ca="1">IF(D60="按租金收入计税",ROUND(C48*F60/(1+'数据-取费表'!C42),1),IF(D60="按房产原值计税",ROUND(C56*F60*0.7,1),INDIRECT("'数据-取费表'!Aj"&amp;$G$1)))</f>
        <v>0</v>
      </c>
      <c r="D60" s="2402" t="str">
        <f>D33</f>
        <v>按房产原值计税</v>
      </c>
      <c r="E60" s="756" t="s">
        <v>1547</v>
      </c>
      <c r="F60" s="781">
        <f t="shared" si="0"/>
        <v>1.2E-2</v>
      </c>
      <c r="I60" s="2737" t="s">
        <v>2148</v>
      </c>
      <c r="J60" s="2738" t="e">
        <f ca="1">IF(OR(M47="住宅",J51&lt;L48,J56="是"),"0",ROUND(J59/(1+J52)^J53,0))</f>
        <v>#DIV/0!</v>
      </c>
      <c r="K60" s="2739" t="s">
        <v>2153</v>
      </c>
      <c r="L60" s="2738" t="e">
        <f ca="1">IF(OR(M47="住宅",L48&lt;J51),0,ROUND(L57*(L58/L59-1),0))</f>
        <v>#DIV/0!</v>
      </c>
      <c r="M60" s="3169"/>
      <c r="O60" s="2209" t="s">
        <v>2171</v>
      </c>
      <c r="P60" s="2207" t="s">
        <v>2180</v>
      </c>
      <c r="Q60" s="2210">
        <f>L52</f>
        <v>0</v>
      </c>
      <c r="R60" s="2211"/>
    </row>
    <row r="61" spans="1:18" s="1895" customFormat="1" ht="18" customHeight="1" thickBot="1">
      <c r="A61" s="1533" t="s">
        <v>1633</v>
      </c>
      <c r="B61" s="338" t="s">
        <v>650</v>
      </c>
      <c r="C61" s="54">
        <f ca="1">ROUND(F61*F62/10000,1)</f>
        <v>0</v>
      </c>
      <c r="D61" s="785" t="s">
        <v>651</v>
      </c>
      <c r="E61" s="756" t="s">
        <v>652</v>
      </c>
      <c r="F61" s="614">
        <f t="shared" si="0"/>
        <v>2</v>
      </c>
      <c r="K61" s="1921"/>
      <c r="O61" s="2209" t="s">
        <v>2173</v>
      </c>
      <c r="P61" s="2207" t="s">
        <v>2181</v>
      </c>
      <c r="Q61" s="2208" t="e">
        <f ca="1">L58</f>
        <v>#DIV/0!</v>
      </c>
      <c r="R61" s="2211" t="s">
        <v>2182</v>
      </c>
    </row>
    <row r="62" spans="1:18" s="1895" customFormat="1" ht="15.75" thickBot="1">
      <c r="A62" s="786"/>
      <c r="B62" s="765"/>
      <c r="C62" s="69"/>
      <c r="D62" s="787"/>
      <c r="E62" s="756" t="s">
        <v>656</v>
      </c>
      <c r="F62" s="757">
        <f t="shared" ca="1" si="0"/>
        <v>0</v>
      </c>
      <c r="I62" s="2740" t="s">
        <v>2154</v>
      </c>
      <c r="J62" s="2741" t="s">
        <v>2155</v>
      </c>
      <c r="K62" s="2741" t="s">
        <v>2156</v>
      </c>
      <c r="L62" s="2741" t="s">
        <v>2137</v>
      </c>
      <c r="M62" s="2742" t="s">
        <v>2639</v>
      </c>
      <c r="O62" s="2209" t="s">
        <v>2175</v>
      </c>
      <c r="P62" s="2207" t="str">
        <f>K59</f>
        <v>建筑物剩余耐用年限下的土地年期修正系数Kn</v>
      </c>
      <c r="Q62" s="2208" t="e">
        <f ca="1">L59</f>
        <v>#DIV/0!</v>
      </c>
      <c r="R62" s="2211" t="s">
        <v>2184</v>
      </c>
    </row>
    <row r="63" spans="1:18" s="1895" customFormat="1" ht="15.75" thickBot="1">
      <c r="A63" s="1531" t="s">
        <v>1685</v>
      </c>
      <c r="B63" s="756" t="s">
        <v>658</v>
      </c>
      <c r="C63" s="53">
        <f ca="1">ROUND(C56*F63,1)</f>
        <v>0</v>
      </c>
      <c r="D63" s="2402" t="s">
        <v>1603</v>
      </c>
      <c r="E63" s="756" t="s">
        <v>1547</v>
      </c>
      <c r="F63" s="788">
        <f t="shared" ca="1" si="0"/>
        <v>0</v>
      </c>
      <c r="I63" s="2740" t="s">
        <v>2157</v>
      </c>
      <c r="J63" s="2741">
        <v>70</v>
      </c>
      <c r="K63" s="2741">
        <v>50</v>
      </c>
      <c r="L63" s="2741">
        <v>80</v>
      </c>
      <c r="M63" s="2743">
        <v>0.02</v>
      </c>
      <c r="O63" s="2206" t="s">
        <v>2178</v>
      </c>
      <c r="P63" s="2207" t="s">
        <v>2195</v>
      </c>
      <c r="Q63" s="2208" t="e">
        <f ca="1">Q57+Q58</f>
        <v>#DIV/0!</v>
      </c>
      <c r="R63" s="2211" t="s">
        <v>2179</v>
      </c>
    </row>
    <row r="64" spans="1:18" s="1895" customFormat="1" ht="16.5" thickBot="1">
      <c r="A64" s="1531" t="s">
        <v>1686</v>
      </c>
      <c r="B64" s="756" t="s">
        <v>661</v>
      </c>
      <c r="C64" s="53">
        <f ca="1">ROUND(C55*F64,1)</f>
        <v>0</v>
      </c>
      <c r="D64" s="2402" t="s">
        <v>662</v>
      </c>
      <c r="E64" s="756" t="s">
        <v>1547</v>
      </c>
      <c r="F64" s="789">
        <f t="shared" ca="1" si="0"/>
        <v>0</v>
      </c>
      <c r="I64" s="2740" t="s">
        <v>2158</v>
      </c>
      <c r="J64" s="2741">
        <v>50</v>
      </c>
      <c r="K64" s="2741">
        <v>35</v>
      </c>
      <c r="L64" s="2741">
        <v>60</v>
      </c>
      <c r="M64" s="817">
        <v>0</v>
      </c>
      <c r="O64" s="2212" t="s">
        <v>2202</v>
      </c>
      <c r="P64" s="1481"/>
      <c r="Q64" s="1489"/>
      <c r="R64" s="1481"/>
    </row>
    <row r="65" spans="1:18" s="1895" customFormat="1" ht="15.75" thickBot="1">
      <c r="A65" s="1531" t="s">
        <v>1687</v>
      </c>
      <c r="B65" s="756" t="s">
        <v>648</v>
      </c>
      <c r="C65" s="53">
        <f ca="1">ROUND(C47*F65,1)</f>
        <v>0</v>
      </c>
      <c r="D65" s="2402" t="s">
        <v>665</v>
      </c>
      <c r="E65" s="756" t="s">
        <v>1547</v>
      </c>
      <c r="F65" s="766">
        <f t="shared" ca="1" si="0"/>
        <v>0</v>
      </c>
      <c r="I65" s="2740" t="s">
        <v>2159</v>
      </c>
      <c r="J65" s="2741">
        <v>40</v>
      </c>
      <c r="K65" s="2741">
        <v>30</v>
      </c>
      <c r="L65" s="2741">
        <v>50</v>
      </c>
      <c r="M65" s="2743">
        <v>0.02</v>
      </c>
      <c r="O65" s="2203" t="s">
        <v>2162</v>
      </c>
      <c r="P65" s="2204" t="s">
        <v>2163</v>
      </c>
      <c r="Q65" s="2205" t="s">
        <v>2164</v>
      </c>
      <c r="R65" s="2204" t="s">
        <v>2165</v>
      </c>
    </row>
    <row r="66" spans="1:18" s="1895" customFormat="1" ht="24.75" thickBot="1">
      <c r="A66" s="769" t="s">
        <v>1576</v>
      </c>
      <c r="B66" s="2644" t="s">
        <v>2538</v>
      </c>
      <c r="C66" s="771">
        <f ca="1">C47-C57</f>
        <v>0</v>
      </c>
      <c r="D66" s="2401" t="s">
        <v>682</v>
      </c>
      <c r="E66" s="2400"/>
      <c r="F66" s="791"/>
      <c r="K66" s="1921"/>
      <c r="O66" s="2206" t="s">
        <v>2166</v>
      </c>
      <c r="P66" s="2207" t="s">
        <v>2196</v>
      </c>
      <c r="Q66" s="2208" t="e">
        <f ca="1">C40+J29</f>
        <v>#DIV/0!</v>
      </c>
      <c r="R66" s="2207" t="s">
        <v>2167</v>
      </c>
    </row>
    <row r="67" spans="1:18" s="1895" customFormat="1" ht="20.25" thickBot="1">
      <c r="A67" s="753" t="s">
        <v>1580</v>
      </c>
      <c r="B67" s="2065" t="s">
        <v>2091</v>
      </c>
      <c r="C67" s="755" t="e">
        <f ca="1">ROUND(C66*(1-((1+F69)/(1+F67))^F68)/(F67-F69),0)</f>
        <v>#DIV/0!</v>
      </c>
      <c r="D67" s="785" t="s">
        <v>686</v>
      </c>
      <c r="E67" s="756" t="s">
        <v>687</v>
      </c>
      <c r="F67" s="766">
        <f ca="1">F40</f>
        <v>0</v>
      </c>
      <c r="K67" s="1921"/>
      <c r="O67" s="2206" t="s">
        <v>2168</v>
      </c>
      <c r="P67" s="2207" t="s">
        <v>2199</v>
      </c>
      <c r="Q67" s="2208" t="e">
        <f ca="1">L60</f>
        <v>#DIV/0!</v>
      </c>
      <c r="R67" s="2211" t="s">
        <v>2201</v>
      </c>
    </row>
    <row r="68" spans="1:18" ht="21.75" thickBot="1">
      <c r="A68" s="758"/>
      <c r="B68" s="759"/>
      <c r="C68" s="760"/>
      <c r="D68" s="792" t="s">
        <v>1608</v>
      </c>
      <c r="E68" s="756" t="s">
        <v>1584</v>
      </c>
      <c r="F68" s="793">
        <f ca="1">F41</f>
        <v>0</v>
      </c>
      <c r="O68" s="2209" t="s">
        <v>2170</v>
      </c>
      <c r="P68" s="2207" t="s">
        <v>2200</v>
      </c>
      <c r="Q68" s="2213">
        <f ca="1">L51</f>
        <v>0</v>
      </c>
      <c r="R68" s="2214" t="s">
        <v>2203</v>
      </c>
    </row>
    <row r="69" spans="1:18" ht="20.25" thickBot="1">
      <c r="A69" s="762"/>
      <c r="B69" s="763"/>
      <c r="C69" s="764"/>
      <c r="D69" s="787"/>
      <c r="E69" s="756" t="s">
        <v>692</v>
      </c>
      <c r="F69" s="2179"/>
      <c r="O69" s="2209" t="s">
        <v>2171</v>
      </c>
      <c r="P69" s="2215" t="s">
        <v>2185</v>
      </c>
      <c r="Q69" s="2208">
        <f ca="1">ROUND(Q70-Q71*Q72,0)</f>
        <v>0</v>
      </c>
      <c r="R69" s="2211"/>
    </row>
    <row r="70" spans="1:18" ht="15.75" thickBot="1">
      <c r="A70" s="794" t="s">
        <v>1587</v>
      </c>
      <c r="B70" s="795" t="s">
        <v>1610</v>
      </c>
      <c r="C70" s="796" t="e">
        <f ca="1">ROUND(C67*10000/F70,0)</f>
        <v>#DIV/0!</v>
      </c>
      <c r="D70" s="797" t="s">
        <v>1611</v>
      </c>
      <c r="E70" s="798" t="s">
        <v>1612</v>
      </c>
      <c r="F70" s="799">
        <f ca="1">F43</f>
        <v>0</v>
      </c>
      <c r="O70" s="2209" t="s">
        <v>2186</v>
      </c>
      <c r="P70" s="2215" t="s">
        <v>2187</v>
      </c>
      <c r="Q70" s="2208">
        <f ca="1">C39</f>
        <v>0</v>
      </c>
      <c r="R70" s="2207" t="s">
        <v>2167</v>
      </c>
    </row>
    <row r="71" spans="1:18" ht="15.75" thickBot="1">
      <c r="O71" s="2209" t="s">
        <v>2188</v>
      </c>
      <c r="P71" s="2215" t="s">
        <v>2189</v>
      </c>
      <c r="Q71" s="2208">
        <f ca="1">C13</f>
        <v>0</v>
      </c>
      <c r="R71" s="2207" t="s">
        <v>2167</v>
      </c>
    </row>
    <row r="72" spans="1:18" ht="15.75" thickBot="1">
      <c r="O72" s="2209" t="s">
        <v>2190</v>
      </c>
      <c r="P72" s="2215" t="s">
        <v>2191</v>
      </c>
      <c r="Q72" s="2210">
        <f ca="1">J36</f>
        <v>0</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建筑物剩余耐用年限下的土地年期修正系数Kn</v>
      </c>
      <c r="Q75" s="2208" t="e">
        <f ca="1">L59</f>
        <v>#DIV/0!</v>
      </c>
      <c r="R75" s="2211" t="s">
        <v>2184</v>
      </c>
    </row>
    <row r="76" spans="1:18" ht="15.75" thickBot="1">
      <c r="O76" s="2206" t="s">
        <v>2178</v>
      </c>
      <c r="P76" s="2207" t="s">
        <v>2195</v>
      </c>
      <c r="Q76" s="2208" t="e">
        <f ca="1">Q66+Q67</f>
        <v>#DIV/0!</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0" sqref="L20"/>
    </sheetView>
  </sheetViews>
  <sheetFormatPr defaultRowHeight="13.15" customHeight="1"/>
  <cols>
    <col min="1" max="1" width="9.5" style="3233" customWidth="1"/>
    <col min="2" max="2" width="8.875" style="3233"/>
    <col min="3" max="5" width="12.875" style="3233" customWidth="1"/>
    <col min="6" max="6" width="47.5" style="3233" customWidth="1"/>
    <col min="7" max="7" width="13" style="3393" customWidth="1"/>
    <col min="8" max="8" width="8.875" style="3227"/>
    <col min="9" max="9" width="8.875" style="3228"/>
    <col min="10" max="10" width="5.75" style="3394" customWidth="1"/>
    <col min="11" max="11" width="11.75" style="3394" customWidth="1"/>
    <col min="12" max="13" width="10.75" style="3394" customWidth="1"/>
    <col min="14" max="14" width="10" style="3394" customWidth="1"/>
    <col min="15" max="16" width="10.5" style="3394" bestFit="1" customWidth="1"/>
    <col min="17" max="17" width="10" style="3394" customWidth="1"/>
    <col min="18" max="18" width="10.125" style="3394" customWidth="1"/>
    <col min="19" max="19" width="10" style="3394" customWidth="1"/>
    <col min="20" max="20" width="26.125" style="3394" customWidth="1"/>
    <col min="21" max="21" width="8.875" style="3394"/>
    <col min="22" max="22" width="8.875" style="3228"/>
    <col min="23" max="256" width="8.875" style="3233"/>
    <col min="257" max="257" width="9.5" style="3233" customWidth="1"/>
    <col min="258" max="258" width="8.875" style="3233"/>
    <col min="259" max="261" width="12.875" style="3233" customWidth="1"/>
    <col min="262" max="262" width="47.5" style="3233" customWidth="1"/>
    <col min="263" max="263" width="13" style="3233" customWidth="1"/>
    <col min="264" max="265" width="8.875" style="3233"/>
    <col min="266" max="266" width="5.75" style="3233" customWidth="1"/>
    <col min="267" max="267" width="11.75" style="3233" customWidth="1"/>
    <col min="268" max="269" width="10.75" style="3233" customWidth="1"/>
    <col min="270" max="270" width="10" style="3233" customWidth="1"/>
    <col min="271" max="272" width="10.5" style="3233" bestFit="1" customWidth="1"/>
    <col min="273" max="273" width="10" style="3233" customWidth="1"/>
    <col min="274" max="274" width="10.125" style="3233" customWidth="1"/>
    <col min="275" max="275" width="10" style="3233" customWidth="1"/>
    <col min="276" max="276" width="26.125" style="3233" customWidth="1"/>
    <col min="277" max="512" width="8.875" style="3233"/>
    <col min="513" max="513" width="9.5" style="3233" customWidth="1"/>
    <col min="514" max="514" width="8.875" style="3233"/>
    <col min="515" max="517" width="12.875" style="3233" customWidth="1"/>
    <col min="518" max="518" width="47.5" style="3233" customWidth="1"/>
    <col min="519" max="519" width="13" style="3233" customWidth="1"/>
    <col min="520" max="521" width="8.875" style="3233"/>
    <col min="522" max="522" width="5.75" style="3233" customWidth="1"/>
    <col min="523" max="523" width="11.75" style="3233" customWidth="1"/>
    <col min="524" max="525" width="10.75" style="3233" customWidth="1"/>
    <col min="526" max="526" width="10" style="3233" customWidth="1"/>
    <col min="527" max="528" width="10.5" style="3233" bestFit="1" customWidth="1"/>
    <col min="529" max="529" width="10" style="3233" customWidth="1"/>
    <col min="530" max="530" width="10.125" style="3233" customWidth="1"/>
    <col min="531" max="531" width="10" style="3233" customWidth="1"/>
    <col min="532" max="532" width="26.125" style="3233" customWidth="1"/>
    <col min="533" max="768" width="8.875" style="3233"/>
    <col min="769" max="769" width="9.5" style="3233" customWidth="1"/>
    <col min="770" max="770" width="8.875" style="3233"/>
    <col min="771" max="773" width="12.875" style="3233" customWidth="1"/>
    <col min="774" max="774" width="47.5" style="3233" customWidth="1"/>
    <col min="775" max="775" width="13" style="3233" customWidth="1"/>
    <col min="776" max="777" width="8.875" style="3233"/>
    <col min="778" max="778" width="5.75" style="3233" customWidth="1"/>
    <col min="779" max="779" width="11.75" style="3233" customWidth="1"/>
    <col min="780" max="781" width="10.75" style="3233" customWidth="1"/>
    <col min="782" max="782" width="10" style="3233" customWidth="1"/>
    <col min="783" max="784" width="10.5" style="3233" bestFit="1" customWidth="1"/>
    <col min="785" max="785" width="10" style="3233" customWidth="1"/>
    <col min="786" max="786" width="10.125" style="3233" customWidth="1"/>
    <col min="787" max="787" width="10" style="3233" customWidth="1"/>
    <col min="788" max="788" width="26.125" style="3233" customWidth="1"/>
    <col min="789" max="1024" width="8.875" style="3233"/>
    <col min="1025" max="1025" width="9.5" style="3233" customWidth="1"/>
    <col min="1026" max="1026" width="8.875" style="3233"/>
    <col min="1027" max="1029" width="12.875" style="3233" customWidth="1"/>
    <col min="1030" max="1030" width="47.5" style="3233" customWidth="1"/>
    <col min="1031" max="1031" width="13" style="3233" customWidth="1"/>
    <col min="1032" max="1033" width="8.875" style="3233"/>
    <col min="1034" max="1034" width="5.75" style="3233" customWidth="1"/>
    <col min="1035" max="1035" width="11.75" style="3233" customWidth="1"/>
    <col min="1036" max="1037" width="10.75" style="3233" customWidth="1"/>
    <col min="1038" max="1038" width="10" style="3233" customWidth="1"/>
    <col min="1039" max="1040" width="10.5" style="3233" bestFit="1" customWidth="1"/>
    <col min="1041" max="1041" width="10" style="3233" customWidth="1"/>
    <col min="1042" max="1042" width="10.125" style="3233" customWidth="1"/>
    <col min="1043" max="1043" width="10" style="3233" customWidth="1"/>
    <col min="1044" max="1044" width="26.125" style="3233" customWidth="1"/>
    <col min="1045" max="1280" width="8.875" style="3233"/>
    <col min="1281" max="1281" width="9.5" style="3233" customWidth="1"/>
    <col min="1282" max="1282" width="8.875" style="3233"/>
    <col min="1283" max="1285" width="12.875" style="3233" customWidth="1"/>
    <col min="1286" max="1286" width="47.5" style="3233" customWidth="1"/>
    <col min="1287" max="1287" width="13" style="3233" customWidth="1"/>
    <col min="1288" max="1289" width="8.875" style="3233"/>
    <col min="1290" max="1290" width="5.75" style="3233" customWidth="1"/>
    <col min="1291" max="1291" width="11.75" style="3233" customWidth="1"/>
    <col min="1292" max="1293" width="10.75" style="3233" customWidth="1"/>
    <col min="1294" max="1294" width="10" style="3233" customWidth="1"/>
    <col min="1295" max="1296" width="10.5" style="3233" bestFit="1" customWidth="1"/>
    <col min="1297" max="1297" width="10" style="3233" customWidth="1"/>
    <col min="1298" max="1298" width="10.125" style="3233" customWidth="1"/>
    <col min="1299" max="1299" width="10" style="3233" customWidth="1"/>
    <col min="1300" max="1300" width="26.125" style="3233" customWidth="1"/>
    <col min="1301" max="1536" width="8.875" style="3233"/>
    <col min="1537" max="1537" width="9.5" style="3233" customWidth="1"/>
    <col min="1538" max="1538" width="8.875" style="3233"/>
    <col min="1539" max="1541" width="12.875" style="3233" customWidth="1"/>
    <col min="1542" max="1542" width="47.5" style="3233" customWidth="1"/>
    <col min="1543" max="1543" width="13" style="3233" customWidth="1"/>
    <col min="1544" max="1545" width="8.875" style="3233"/>
    <col min="1546" max="1546" width="5.75" style="3233" customWidth="1"/>
    <col min="1547" max="1547" width="11.75" style="3233" customWidth="1"/>
    <col min="1548" max="1549" width="10.75" style="3233" customWidth="1"/>
    <col min="1550" max="1550" width="10" style="3233" customWidth="1"/>
    <col min="1551" max="1552" width="10.5" style="3233" bestFit="1" customWidth="1"/>
    <col min="1553" max="1553" width="10" style="3233" customWidth="1"/>
    <col min="1554" max="1554" width="10.125" style="3233" customWidth="1"/>
    <col min="1555" max="1555" width="10" style="3233" customWidth="1"/>
    <col min="1556" max="1556" width="26.125" style="3233" customWidth="1"/>
    <col min="1557" max="1792" width="8.875" style="3233"/>
    <col min="1793" max="1793" width="9.5" style="3233" customWidth="1"/>
    <col min="1794" max="1794" width="8.875" style="3233"/>
    <col min="1795" max="1797" width="12.875" style="3233" customWidth="1"/>
    <col min="1798" max="1798" width="47.5" style="3233" customWidth="1"/>
    <col min="1799" max="1799" width="13" style="3233" customWidth="1"/>
    <col min="1800" max="1801" width="8.875" style="3233"/>
    <col min="1802" max="1802" width="5.75" style="3233" customWidth="1"/>
    <col min="1803" max="1803" width="11.75" style="3233" customWidth="1"/>
    <col min="1804" max="1805" width="10.75" style="3233" customWidth="1"/>
    <col min="1806" max="1806" width="10" style="3233" customWidth="1"/>
    <col min="1807" max="1808" width="10.5" style="3233" bestFit="1" customWidth="1"/>
    <col min="1809" max="1809" width="10" style="3233" customWidth="1"/>
    <col min="1810" max="1810" width="10.125" style="3233" customWidth="1"/>
    <col min="1811" max="1811" width="10" style="3233" customWidth="1"/>
    <col min="1812" max="1812" width="26.125" style="3233" customWidth="1"/>
    <col min="1813" max="2048" width="8.875" style="3233"/>
    <col min="2049" max="2049" width="9.5" style="3233" customWidth="1"/>
    <col min="2050" max="2050" width="8.875" style="3233"/>
    <col min="2051" max="2053" width="12.875" style="3233" customWidth="1"/>
    <col min="2054" max="2054" width="47.5" style="3233" customWidth="1"/>
    <col min="2055" max="2055" width="13" style="3233" customWidth="1"/>
    <col min="2056" max="2057" width="8.875" style="3233"/>
    <col min="2058" max="2058" width="5.75" style="3233" customWidth="1"/>
    <col min="2059" max="2059" width="11.75" style="3233" customWidth="1"/>
    <col min="2060" max="2061" width="10.75" style="3233" customWidth="1"/>
    <col min="2062" max="2062" width="10" style="3233" customWidth="1"/>
    <col min="2063" max="2064" width="10.5" style="3233" bestFit="1" customWidth="1"/>
    <col min="2065" max="2065" width="10" style="3233" customWidth="1"/>
    <col min="2066" max="2066" width="10.125" style="3233" customWidth="1"/>
    <col min="2067" max="2067" width="10" style="3233" customWidth="1"/>
    <col min="2068" max="2068" width="26.125" style="3233" customWidth="1"/>
    <col min="2069" max="2304" width="8.875" style="3233"/>
    <col min="2305" max="2305" width="9.5" style="3233" customWidth="1"/>
    <col min="2306" max="2306" width="8.875" style="3233"/>
    <col min="2307" max="2309" width="12.875" style="3233" customWidth="1"/>
    <col min="2310" max="2310" width="47.5" style="3233" customWidth="1"/>
    <col min="2311" max="2311" width="13" style="3233" customWidth="1"/>
    <col min="2312" max="2313" width="8.875" style="3233"/>
    <col min="2314" max="2314" width="5.75" style="3233" customWidth="1"/>
    <col min="2315" max="2315" width="11.75" style="3233" customWidth="1"/>
    <col min="2316" max="2317" width="10.75" style="3233" customWidth="1"/>
    <col min="2318" max="2318" width="10" style="3233" customWidth="1"/>
    <col min="2319" max="2320" width="10.5" style="3233" bestFit="1" customWidth="1"/>
    <col min="2321" max="2321" width="10" style="3233" customWidth="1"/>
    <col min="2322" max="2322" width="10.125" style="3233" customWidth="1"/>
    <col min="2323" max="2323" width="10" style="3233" customWidth="1"/>
    <col min="2324" max="2324" width="26.125" style="3233" customWidth="1"/>
    <col min="2325" max="2560" width="8.875" style="3233"/>
    <col min="2561" max="2561" width="9.5" style="3233" customWidth="1"/>
    <col min="2562" max="2562" width="8.875" style="3233"/>
    <col min="2563" max="2565" width="12.875" style="3233" customWidth="1"/>
    <col min="2566" max="2566" width="47.5" style="3233" customWidth="1"/>
    <col min="2567" max="2567" width="13" style="3233" customWidth="1"/>
    <col min="2568" max="2569" width="8.875" style="3233"/>
    <col min="2570" max="2570" width="5.75" style="3233" customWidth="1"/>
    <col min="2571" max="2571" width="11.75" style="3233" customWidth="1"/>
    <col min="2572" max="2573" width="10.75" style="3233" customWidth="1"/>
    <col min="2574" max="2574" width="10" style="3233" customWidth="1"/>
    <col min="2575" max="2576" width="10.5" style="3233" bestFit="1" customWidth="1"/>
    <col min="2577" max="2577" width="10" style="3233" customWidth="1"/>
    <col min="2578" max="2578" width="10.125" style="3233" customWidth="1"/>
    <col min="2579" max="2579" width="10" style="3233" customWidth="1"/>
    <col min="2580" max="2580" width="26.125" style="3233" customWidth="1"/>
    <col min="2581" max="2816" width="8.875" style="3233"/>
    <col min="2817" max="2817" width="9.5" style="3233" customWidth="1"/>
    <col min="2818" max="2818" width="8.875" style="3233"/>
    <col min="2819" max="2821" width="12.875" style="3233" customWidth="1"/>
    <col min="2822" max="2822" width="47.5" style="3233" customWidth="1"/>
    <col min="2823" max="2823" width="13" style="3233" customWidth="1"/>
    <col min="2824" max="2825" width="8.875" style="3233"/>
    <col min="2826" max="2826" width="5.75" style="3233" customWidth="1"/>
    <col min="2827" max="2827" width="11.75" style="3233" customWidth="1"/>
    <col min="2828" max="2829" width="10.75" style="3233" customWidth="1"/>
    <col min="2830" max="2830" width="10" style="3233" customWidth="1"/>
    <col min="2831" max="2832" width="10.5" style="3233" bestFit="1" customWidth="1"/>
    <col min="2833" max="2833" width="10" style="3233" customWidth="1"/>
    <col min="2834" max="2834" width="10.125" style="3233" customWidth="1"/>
    <col min="2835" max="2835" width="10" style="3233" customWidth="1"/>
    <col min="2836" max="2836" width="26.125" style="3233" customWidth="1"/>
    <col min="2837" max="3072" width="8.875" style="3233"/>
    <col min="3073" max="3073" width="9.5" style="3233" customWidth="1"/>
    <col min="3074" max="3074" width="8.875" style="3233"/>
    <col min="3075" max="3077" width="12.875" style="3233" customWidth="1"/>
    <col min="3078" max="3078" width="47.5" style="3233" customWidth="1"/>
    <col min="3079" max="3079" width="13" style="3233" customWidth="1"/>
    <col min="3080" max="3081" width="8.875" style="3233"/>
    <col min="3082" max="3082" width="5.75" style="3233" customWidth="1"/>
    <col min="3083" max="3083" width="11.75" style="3233" customWidth="1"/>
    <col min="3084" max="3085" width="10.75" style="3233" customWidth="1"/>
    <col min="3086" max="3086" width="10" style="3233" customWidth="1"/>
    <col min="3087" max="3088" width="10.5" style="3233" bestFit="1" customWidth="1"/>
    <col min="3089" max="3089" width="10" style="3233" customWidth="1"/>
    <col min="3090" max="3090" width="10.125" style="3233" customWidth="1"/>
    <col min="3091" max="3091" width="10" style="3233" customWidth="1"/>
    <col min="3092" max="3092" width="26.125" style="3233" customWidth="1"/>
    <col min="3093" max="3328" width="8.875" style="3233"/>
    <col min="3329" max="3329" width="9.5" style="3233" customWidth="1"/>
    <col min="3330" max="3330" width="8.875" style="3233"/>
    <col min="3331" max="3333" width="12.875" style="3233" customWidth="1"/>
    <col min="3334" max="3334" width="47.5" style="3233" customWidth="1"/>
    <col min="3335" max="3335" width="13" style="3233" customWidth="1"/>
    <col min="3336" max="3337" width="8.875" style="3233"/>
    <col min="3338" max="3338" width="5.75" style="3233" customWidth="1"/>
    <col min="3339" max="3339" width="11.75" style="3233" customWidth="1"/>
    <col min="3340" max="3341" width="10.75" style="3233" customWidth="1"/>
    <col min="3342" max="3342" width="10" style="3233" customWidth="1"/>
    <col min="3343" max="3344" width="10.5" style="3233" bestFit="1" customWidth="1"/>
    <col min="3345" max="3345" width="10" style="3233" customWidth="1"/>
    <col min="3346" max="3346" width="10.125" style="3233" customWidth="1"/>
    <col min="3347" max="3347" width="10" style="3233" customWidth="1"/>
    <col min="3348" max="3348" width="26.125" style="3233" customWidth="1"/>
    <col min="3349" max="3584" width="8.875" style="3233"/>
    <col min="3585" max="3585" width="9.5" style="3233" customWidth="1"/>
    <col min="3586" max="3586" width="8.875" style="3233"/>
    <col min="3587" max="3589" width="12.875" style="3233" customWidth="1"/>
    <col min="3590" max="3590" width="47.5" style="3233" customWidth="1"/>
    <col min="3591" max="3591" width="13" style="3233" customWidth="1"/>
    <col min="3592" max="3593" width="8.875" style="3233"/>
    <col min="3594" max="3594" width="5.75" style="3233" customWidth="1"/>
    <col min="3595" max="3595" width="11.75" style="3233" customWidth="1"/>
    <col min="3596" max="3597" width="10.75" style="3233" customWidth="1"/>
    <col min="3598" max="3598" width="10" style="3233" customWidth="1"/>
    <col min="3599" max="3600" width="10.5" style="3233" bestFit="1" customWidth="1"/>
    <col min="3601" max="3601" width="10" style="3233" customWidth="1"/>
    <col min="3602" max="3602" width="10.125" style="3233" customWidth="1"/>
    <col min="3603" max="3603" width="10" style="3233" customWidth="1"/>
    <col min="3604" max="3604" width="26.125" style="3233" customWidth="1"/>
    <col min="3605" max="3840" width="8.875" style="3233"/>
    <col min="3841" max="3841" width="9.5" style="3233" customWidth="1"/>
    <col min="3842" max="3842" width="8.875" style="3233"/>
    <col min="3843" max="3845" width="12.875" style="3233" customWidth="1"/>
    <col min="3846" max="3846" width="47.5" style="3233" customWidth="1"/>
    <col min="3847" max="3847" width="13" style="3233" customWidth="1"/>
    <col min="3848" max="3849" width="8.875" style="3233"/>
    <col min="3850" max="3850" width="5.75" style="3233" customWidth="1"/>
    <col min="3851" max="3851" width="11.75" style="3233" customWidth="1"/>
    <col min="3852" max="3853" width="10.75" style="3233" customWidth="1"/>
    <col min="3854" max="3854" width="10" style="3233" customWidth="1"/>
    <col min="3855" max="3856" width="10.5" style="3233" bestFit="1" customWidth="1"/>
    <col min="3857" max="3857" width="10" style="3233" customWidth="1"/>
    <col min="3858" max="3858" width="10.125" style="3233" customWidth="1"/>
    <col min="3859" max="3859" width="10" style="3233" customWidth="1"/>
    <col min="3860" max="3860" width="26.125" style="3233" customWidth="1"/>
    <col min="3861" max="4096" width="8.875" style="3233"/>
    <col min="4097" max="4097" width="9.5" style="3233" customWidth="1"/>
    <col min="4098" max="4098" width="8.875" style="3233"/>
    <col min="4099" max="4101" width="12.875" style="3233" customWidth="1"/>
    <col min="4102" max="4102" width="47.5" style="3233" customWidth="1"/>
    <col min="4103" max="4103" width="13" style="3233" customWidth="1"/>
    <col min="4104" max="4105" width="8.875" style="3233"/>
    <col min="4106" max="4106" width="5.75" style="3233" customWidth="1"/>
    <col min="4107" max="4107" width="11.75" style="3233" customWidth="1"/>
    <col min="4108" max="4109" width="10.75" style="3233" customWidth="1"/>
    <col min="4110" max="4110" width="10" style="3233" customWidth="1"/>
    <col min="4111" max="4112" width="10.5" style="3233" bestFit="1" customWidth="1"/>
    <col min="4113" max="4113" width="10" style="3233" customWidth="1"/>
    <col min="4114" max="4114" width="10.125" style="3233" customWidth="1"/>
    <col min="4115" max="4115" width="10" style="3233" customWidth="1"/>
    <col min="4116" max="4116" width="26.125" style="3233" customWidth="1"/>
    <col min="4117" max="4352" width="8.875" style="3233"/>
    <col min="4353" max="4353" width="9.5" style="3233" customWidth="1"/>
    <col min="4354" max="4354" width="8.875" style="3233"/>
    <col min="4355" max="4357" width="12.875" style="3233" customWidth="1"/>
    <col min="4358" max="4358" width="47.5" style="3233" customWidth="1"/>
    <col min="4359" max="4359" width="13" style="3233" customWidth="1"/>
    <col min="4360" max="4361" width="8.875" style="3233"/>
    <col min="4362" max="4362" width="5.75" style="3233" customWidth="1"/>
    <col min="4363" max="4363" width="11.75" style="3233" customWidth="1"/>
    <col min="4364" max="4365" width="10.75" style="3233" customWidth="1"/>
    <col min="4366" max="4366" width="10" style="3233" customWidth="1"/>
    <col min="4367" max="4368" width="10.5" style="3233" bestFit="1" customWidth="1"/>
    <col min="4369" max="4369" width="10" style="3233" customWidth="1"/>
    <col min="4370" max="4370" width="10.125" style="3233" customWidth="1"/>
    <col min="4371" max="4371" width="10" style="3233" customWidth="1"/>
    <col min="4372" max="4372" width="26.125" style="3233" customWidth="1"/>
    <col min="4373" max="4608" width="8.875" style="3233"/>
    <col min="4609" max="4609" width="9.5" style="3233" customWidth="1"/>
    <col min="4610" max="4610" width="8.875" style="3233"/>
    <col min="4611" max="4613" width="12.875" style="3233" customWidth="1"/>
    <col min="4614" max="4614" width="47.5" style="3233" customWidth="1"/>
    <col min="4615" max="4615" width="13" style="3233" customWidth="1"/>
    <col min="4616" max="4617" width="8.875" style="3233"/>
    <col min="4618" max="4618" width="5.75" style="3233" customWidth="1"/>
    <col min="4619" max="4619" width="11.75" style="3233" customWidth="1"/>
    <col min="4620" max="4621" width="10.75" style="3233" customWidth="1"/>
    <col min="4622" max="4622" width="10" style="3233" customWidth="1"/>
    <col min="4623" max="4624" width="10.5" style="3233" bestFit="1" customWidth="1"/>
    <col min="4625" max="4625" width="10" style="3233" customWidth="1"/>
    <col min="4626" max="4626" width="10.125" style="3233" customWidth="1"/>
    <col min="4627" max="4627" width="10" style="3233" customWidth="1"/>
    <col min="4628" max="4628" width="26.125" style="3233" customWidth="1"/>
    <col min="4629" max="4864" width="8.875" style="3233"/>
    <col min="4865" max="4865" width="9.5" style="3233" customWidth="1"/>
    <col min="4866" max="4866" width="8.875" style="3233"/>
    <col min="4867" max="4869" width="12.875" style="3233" customWidth="1"/>
    <col min="4870" max="4870" width="47.5" style="3233" customWidth="1"/>
    <col min="4871" max="4871" width="13" style="3233" customWidth="1"/>
    <col min="4872" max="4873" width="8.875" style="3233"/>
    <col min="4874" max="4874" width="5.75" style="3233" customWidth="1"/>
    <col min="4875" max="4875" width="11.75" style="3233" customWidth="1"/>
    <col min="4876" max="4877" width="10.75" style="3233" customWidth="1"/>
    <col min="4878" max="4878" width="10" style="3233" customWidth="1"/>
    <col min="4879" max="4880" width="10.5" style="3233" bestFit="1" customWidth="1"/>
    <col min="4881" max="4881" width="10" style="3233" customWidth="1"/>
    <col min="4882" max="4882" width="10.125" style="3233" customWidth="1"/>
    <col min="4883" max="4883" width="10" style="3233" customWidth="1"/>
    <col min="4884" max="4884" width="26.125" style="3233" customWidth="1"/>
    <col min="4885" max="5120" width="8.875" style="3233"/>
    <col min="5121" max="5121" width="9.5" style="3233" customWidth="1"/>
    <col min="5122" max="5122" width="8.875" style="3233"/>
    <col min="5123" max="5125" width="12.875" style="3233" customWidth="1"/>
    <col min="5126" max="5126" width="47.5" style="3233" customWidth="1"/>
    <col min="5127" max="5127" width="13" style="3233" customWidth="1"/>
    <col min="5128" max="5129" width="8.875" style="3233"/>
    <col min="5130" max="5130" width="5.75" style="3233" customWidth="1"/>
    <col min="5131" max="5131" width="11.75" style="3233" customWidth="1"/>
    <col min="5132" max="5133" width="10.75" style="3233" customWidth="1"/>
    <col min="5134" max="5134" width="10" style="3233" customWidth="1"/>
    <col min="5135" max="5136" width="10.5" style="3233" bestFit="1" customWidth="1"/>
    <col min="5137" max="5137" width="10" style="3233" customWidth="1"/>
    <col min="5138" max="5138" width="10.125" style="3233" customWidth="1"/>
    <col min="5139" max="5139" width="10" style="3233" customWidth="1"/>
    <col min="5140" max="5140" width="26.125" style="3233" customWidth="1"/>
    <col min="5141" max="5376" width="8.875" style="3233"/>
    <col min="5377" max="5377" width="9.5" style="3233" customWidth="1"/>
    <col min="5378" max="5378" width="8.875" style="3233"/>
    <col min="5379" max="5381" width="12.875" style="3233" customWidth="1"/>
    <col min="5382" max="5382" width="47.5" style="3233" customWidth="1"/>
    <col min="5383" max="5383" width="13" style="3233" customWidth="1"/>
    <col min="5384" max="5385" width="8.875" style="3233"/>
    <col min="5386" max="5386" width="5.75" style="3233" customWidth="1"/>
    <col min="5387" max="5387" width="11.75" style="3233" customWidth="1"/>
    <col min="5388" max="5389" width="10.75" style="3233" customWidth="1"/>
    <col min="5390" max="5390" width="10" style="3233" customWidth="1"/>
    <col min="5391" max="5392" width="10.5" style="3233" bestFit="1" customWidth="1"/>
    <col min="5393" max="5393" width="10" style="3233" customWidth="1"/>
    <col min="5394" max="5394" width="10.125" style="3233" customWidth="1"/>
    <col min="5395" max="5395" width="10" style="3233" customWidth="1"/>
    <col min="5396" max="5396" width="26.125" style="3233" customWidth="1"/>
    <col min="5397" max="5632" width="8.875" style="3233"/>
    <col min="5633" max="5633" width="9.5" style="3233" customWidth="1"/>
    <col min="5634" max="5634" width="8.875" style="3233"/>
    <col min="5635" max="5637" width="12.875" style="3233" customWidth="1"/>
    <col min="5638" max="5638" width="47.5" style="3233" customWidth="1"/>
    <col min="5639" max="5639" width="13" style="3233" customWidth="1"/>
    <col min="5640" max="5641" width="8.875" style="3233"/>
    <col min="5642" max="5642" width="5.75" style="3233" customWidth="1"/>
    <col min="5643" max="5643" width="11.75" style="3233" customWidth="1"/>
    <col min="5644" max="5645" width="10.75" style="3233" customWidth="1"/>
    <col min="5646" max="5646" width="10" style="3233" customWidth="1"/>
    <col min="5647" max="5648" width="10.5" style="3233" bestFit="1" customWidth="1"/>
    <col min="5649" max="5649" width="10" style="3233" customWidth="1"/>
    <col min="5650" max="5650" width="10.125" style="3233" customWidth="1"/>
    <col min="5651" max="5651" width="10" style="3233" customWidth="1"/>
    <col min="5652" max="5652" width="26.125" style="3233" customWidth="1"/>
    <col min="5653" max="5888" width="8.875" style="3233"/>
    <col min="5889" max="5889" width="9.5" style="3233" customWidth="1"/>
    <col min="5890" max="5890" width="8.875" style="3233"/>
    <col min="5891" max="5893" width="12.875" style="3233" customWidth="1"/>
    <col min="5894" max="5894" width="47.5" style="3233" customWidth="1"/>
    <col min="5895" max="5895" width="13" style="3233" customWidth="1"/>
    <col min="5896" max="5897" width="8.875" style="3233"/>
    <col min="5898" max="5898" width="5.75" style="3233" customWidth="1"/>
    <col min="5899" max="5899" width="11.75" style="3233" customWidth="1"/>
    <col min="5900" max="5901" width="10.75" style="3233" customWidth="1"/>
    <col min="5902" max="5902" width="10" style="3233" customWidth="1"/>
    <col min="5903" max="5904" width="10.5" style="3233" bestFit="1" customWidth="1"/>
    <col min="5905" max="5905" width="10" style="3233" customWidth="1"/>
    <col min="5906" max="5906" width="10.125" style="3233" customWidth="1"/>
    <col min="5907" max="5907" width="10" style="3233" customWidth="1"/>
    <col min="5908" max="5908" width="26.125" style="3233" customWidth="1"/>
    <col min="5909" max="6144" width="8.875" style="3233"/>
    <col min="6145" max="6145" width="9.5" style="3233" customWidth="1"/>
    <col min="6146" max="6146" width="8.875" style="3233"/>
    <col min="6147" max="6149" width="12.875" style="3233" customWidth="1"/>
    <col min="6150" max="6150" width="47.5" style="3233" customWidth="1"/>
    <col min="6151" max="6151" width="13" style="3233" customWidth="1"/>
    <col min="6152" max="6153" width="8.875" style="3233"/>
    <col min="6154" max="6154" width="5.75" style="3233" customWidth="1"/>
    <col min="6155" max="6155" width="11.75" style="3233" customWidth="1"/>
    <col min="6156" max="6157" width="10.75" style="3233" customWidth="1"/>
    <col min="6158" max="6158" width="10" style="3233" customWidth="1"/>
    <col min="6159" max="6160" width="10.5" style="3233" bestFit="1" customWidth="1"/>
    <col min="6161" max="6161" width="10" style="3233" customWidth="1"/>
    <col min="6162" max="6162" width="10.125" style="3233" customWidth="1"/>
    <col min="6163" max="6163" width="10" style="3233" customWidth="1"/>
    <col min="6164" max="6164" width="26.125" style="3233" customWidth="1"/>
    <col min="6165" max="6400" width="8.875" style="3233"/>
    <col min="6401" max="6401" width="9.5" style="3233" customWidth="1"/>
    <col min="6402" max="6402" width="8.875" style="3233"/>
    <col min="6403" max="6405" width="12.875" style="3233" customWidth="1"/>
    <col min="6406" max="6406" width="47.5" style="3233" customWidth="1"/>
    <col min="6407" max="6407" width="13" style="3233" customWidth="1"/>
    <col min="6408" max="6409" width="8.875" style="3233"/>
    <col min="6410" max="6410" width="5.75" style="3233" customWidth="1"/>
    <col min="6411" max="6411" width="11.75" style="3233" customWidth="1"/>
    <col min="6412" max="6413" width="10.75" style="3233" customWidth="1"/>
    <col min="6414" max="6414" width="10" style="3233" customWidth="1"/>
    <col min="6415" max="6416" width="10.5" style="3233" bestFit="1" customWidth="1"/>
    <col min="6417" max="6417" width="10" style="3233" customWidth="1"/>
    <col min="6418" max="6418" width="10.125" style="3233" customWidth="1"/>
    <col min="6419" max="6419" width="10" style="3233" customWidth="1"/>
    <col min="6420" max="6420" width="26.125" style="3233" customWidth="1"/>
    <col min="6421" max="6656" width="8.875" style="3233"/>
    <col min="6657" max="6657" width="9.5" style="3233" customWidth="1"/>
    <col min="6658" max="6658" width="8.875" style="3233"/>
    <col min="6659" max="6661" width="12.875" style="3233" customWidth="1"/>
    <col min="6662" max="6662" width="47.5" style="3233" customWidth="1"/>
    <col min="6663" max="6663" width="13" style="3233" customWidth="1"/>
    <col min="6664" max="6665" width="8.875" style="3233"/>
    <col min="6666" max="6666" width="5.75" style="3233" customWidth="1"/>
    <col min="6667" max="6667" width="11.75" style="3233" customWidth="1"/>
    <col min="6668" max="6669" width="10.75" style="3233" customWidth="1"/>
    <col min="6670" max="6670" width="10" style="3233" customWidth="1"/>
    <col min="6671" max="6672" width="10.5" style="3233" bestFit="1" customWidth="1"/>
    <col min="6673" max="6673" width="10" style="3233" customWidth="1"/>
    <col min="6674" max="6674" width="10.125" style="3233" customWidth="1"/>
    <col min="6675" max="6675" width="10" style="3233" customWidth="1"/>
    <col min="6676" max="6676" width="26.125" style="3233" customWidth="1"/>
    <col min="6677" max="6912" width="8.875" style="3233"/>
    <col min="6913" max="6913" width="9.5" style="3233" customWidth="1"/>
    <col min="6914" max="6914" width="8.875" style="3233"/>
    <col min="6915" max="6917" width="12.875" style="3233" customWidth="1"/>
    <col min="6918" max="6918" width="47.5" style="3233" customWidth="1"/>
    <col min="6919" max="6919" width="13" style="3233" customWidth="1"/>
    <col min="6920" max="6921" width="8.875" style="3233"/>
    <col min="6922" max="6922" width="5.75" style="3233" customWidth="1"/>
    <col min="6923" max="6923" width="11.75" style="3233" customWidth="1"/>
    <col min="6924" max="6925" width="10.75" style="3233" customWidth="1"/>
    <col min="6926" max="6926" width="10" style="3233" customWidth="1"/>
    <col min="6927" max="6928" width="10.5" style="3233" bestFit="1" customWidth="1"/>
    <col min="6929" max="6929" width="10" style="3233" customWidth="1"/>
    <col min="6930" max="6930" width="10.125" style="3233" customWidth="1"/>
    <col min="6931" max="6931" width="10" style="3233" customWidth="1"/>
    <col min="6932" max="6932" width="26.125" style="3233" customWidth="1"/>
    <col min="6933" max="7168" width="8.875" style="3233"/>
    <col min="7169" max="7169" width="9.5" style="3233" customWidth="1"/>
    <col min="7170" max="7170" width="8.875" style="3233"/>
    <col min="7171" max="7173" width="12.875" style="3233" customWidth="1"/>
    <col min="7174" max="7174" width="47.5" style="3233" customWidth="1"/>
    <col min="7175" max="7175" width="13" style="3233" customWidth="1"/>
    <col min="7176" max="7177" width="8.875" style="3233"/>
    <col min="7178" max="7178" width="5.75" style="3233" customWidth="1"/>
    <col min="7179" max="7179" width="11.75" style="3233" customWidth="1"/>
    <col min="7180" max="7181" width="10.75" style="3233" customWidth="1"/>
    <col min="7182" max="7182" width="10" style="3233" customWidth="1"/>
    <col min="7183" max="7184" width="10.5" style="3233" bestFit="1" customWidth="1"/>
    <col min="7185" max="7185" width="10" style="3233" customWidth="1"/>
    <col min="7186" max="7186" width="10.125" style="3233" customWidth="1"/>
    <col min="7187" max="7187" width="10" style="3233" customWidth="1"/>
    <col min="7188" max="7188" width="26.125" style="3233" customWidth="1"/>
    <col min="7189" max="7424" width="8.875" style="3233"/>
    <col min="7425" max="7425" width="9.5" style="3233" customWidth="1"/>
    <col min="7426" max="7426" width="8.875" style="3233"/>
    <col min="7427" max="7429" width="12.875" style="3233" customWidth="1"/>
    <col min="7430" max="7430" width="47.5" style="3233" customWidth="1"/>
    <col min="7431" max="7431" width="13" style="3233" customWidth="1"/>
    <col min="7432" max="7433" width="8.875" style="3233"/>
    <col min="7434" max="7434" width="5.75" style="3233" customWidth="1"/>
    <col min="7435" max="7435" width="11.75" style="3233" customWidth="1"/>
    <col min="7436" max="7437" width="10.75" style="3233" customWidth="1"/>
    <col min="7438" max="7438" width="10" style="3233" customWidth="1"/>
    <col min="7439" max="7440" width="10.5" style="3233" bestFit="1" customWidth="1"/>
    <col min="7441" max="7441" width="10" style="3233" customWidth="1"/>
    <col min="7442" max="7442" width="10.125" style="3233" customWidth="1"/>
    <col min="7443" max="7443" width="10" style="3233" customWidth="1"/>
    <col min="7444" max="7444" width="26.125" style="3233" customWidth="1"/>
    <col min="7445" max="7680" width="8.875" style="3233"/>
    <col min="7681" max="7681" width="9.5" style="3233" customWidth="1"/>
    <col min="7682" max="7682" width="8.875" style="3233"/>
    <col min="7683" max="7685" width="12.875" style="3233" customWidth="1"/>
    <col min="7686" max="7686" width="47.5" style="3233" customWidth="1"/>
    <col min="7687" max="7687" width="13" style="3233" customWidth="1"/>
    <col min="7688" max="7689" width="8.875" style="3233"/>
    <col min="7690" max="7690" width="5.75" style="3233" customWidth="1"/>
    <col min="7691" max="7691" width="11.75" style="3233" customWidth="1"/>
    <col min="7692" max="7693" width="10.75" style="3233" customWidth="1"/>
    <col min="7694" max="7694" width="10" style="3233" customWidth="1"/>
    <col min="7695" max="7696" width="10.5" style="3233" bestFit="1" customWidth="1"/>
    <col min="7697" max="7697" width="10" style="3233" customWidth="1"/>
    <col min="7698" max="7698" width="10.125" style="3233" customWidth="1"/>
    <col min="7699" max="7699" width="10" style="3233" customWidth="1"/>
    <col min="7700" max="7700" width="26.125" style="3233" customWidth="1"/>
    <col min="7701" max="7936" width="8.875" style="3233"/>
    <col min="7937" max="7937" width="9.5" style="3233" customWidth="1"/>
    <col min="7938" max="7938" width="8.875" style="3233"/>
    <col min="7939" max="7941" width="12.875" style="3233" customWidth="1"/>
    <col min="7942" max="7942" width="47.5" style="3233" customWidth="1"/>
    <col min="7943" max="7943" width="13" style="3233" customWidth="1"/>
    <col min="7944" max="7945" width="8.875" style="3233"/>
    <col min="7946" max="7946" width="5.75" style="3233" customWidth="1"/>
    <col min="7947" max="7947" width="11.75" style="3233" customWidth="1"/>
    <col min="7948" max="7949" width="10.75" style="3233" customWidth="1"/>
    <col min="7950" max="7950" width="10" style="3233" customWidth="1"/>
    <col min="7951" max="7952" width="10.5" style="3233" bestFit="1" customWidth="1"/>
    <col min="7953" max="7953" width="10" style="3233" customWidth="1"/>
    <col min="7954" max="7954" width="10.125" style="3233" customWidth="1"/>
    <col min="7955" max="7955" width="10" style="3233" customWidth="1"/>
    <col min="7956" max="7956" width="26.125" style="3233" customWidth="1"/>
    <col min="7957" max="8192" width="8.875" style="3233"/>
    <col min="8193" max="8193" width="9.5" style="3233" customWidth="1"/>
    <col min="8194" max="8194" width="8.875" style="3233"/>
    <col min="8195" max="8197" width="12.875" style="3233" customWidth="1"/>
    <col min="8198" max="8198" width="47.5" style="3233" customWidth="1"/>
    <col min="8199" max="8199" width="13" style="3233" customWidth="1"/>
    <col min="8200" max="8201" width="8.875" style="3233"/>
    <col min="8202" max="8202" width="5.75" style="3233" customWidth="1"/>
    <col min="8203" max="8203" width="11.75" style="3233" customWidth="1"/>
    <col min="8204" max="8205" width="10.75" style="3233" customWidth="1"/>
    <col min="8206" max="8206" width="10" style="3233" customWidth="1"/>
    <col min="8207" max="8208" width="10.5" style="3233" bestFit="1" customWidth="1"/>
    <col min="8209" max="8209" width="10" style="3233" customWidth="1"/>
    <col min="8210" max="8210" width="10.125" style="3233" customWidth="1"/>
    <col min="8211" max="8211" width="10" style="3233" customWidth="1"/>
    <col min="8212" max="8212" width="26.125" style="3233" customWidth="1"/>
    <col min="8213" max="8448" width="8.875" style="3233"/>
    <col min="8449" max="8449" width="9.5" style="3233" customWidth="1"/>
    <col min="8450" max="8450" width="8.875" style="3233"/>
    <col min="8451" max="8453" width="12.875" style="3233" customWidth="1"/>
    <col min="8454" max="8454" width="47.5" style="3233" customWidth="1"/>
    <col min="8455" max="8455" width="13" style="3233" customWidth="1"/>
    <col min="8456" max="8457" width="8.875" style="3233"/>
    <col min="8458" max="8458" width="5.75" style="3233" customWidth="1"/>
    <col min="8459" max="8459" width="11.75" style="3233" customWidth="1"/>
    <col min="8460" max="8461" width="10.75" style="3233" customWidth="1"/>
    <col min="8462" max="8462" width="10" style="3233" customWidth="1"/>
    <col min="8463" max="8464" width="10.5" style="3233" bestFit="1" customWidth="1"/>
    <col min="8465" max="8465" width="10" style="3233" customWidth="1"/>
    <col min="8466" max="8466" width="10.125" style="3233" customWidth="1"/>
    <col min="8467" max="8467" width="10" style="3233" customWidth="1"/>
    <col min="8468" max="8468" width="26.125" style="3233" customWidth="1"/>
    <col min="8469" max="8704" width="8.875" style="3233"/>
    <col min="8705" max="8705" width="9.5" style="3233" customWidth="1"/>
    <col min="8706" max="8706" width="8.875" style="3233"/>
    <col min="8707" max="8709" width="12.875" style="3233" customWidth="1"/>
    <col min="8710" max="8710" width="47.5" style="3233" customWidth="1"/>
    <col min="8711" max="8711" width="13" style="3233" customWidth="1"/>
    <col min="8712" max="8713" width="8.875" style="3233"/>
    <col min="8714" max="8714" width="5.75" style="3233" customWidth="1"/>
    <col min="8715" max="8715" width="11.75" style="3233" customWidth="1"/>
    <col min="8716" max="8717" width="10.75" style="3233" customWidth="1"/>
    <col min="8718" max="8718" width="10" style="3233" customWidth="1"/>
    <col min="8719" max="8720" width="10.5" style="3233" bestFit="1" customWidth="1"/>
    <col min="8721" max="8721" width="10" style="3233" customWidth="1"/>
    <col min="8722" max="8722" width="10.125" style="3233" customWidth="1"/>
    <col min="8723" max="8723" width="10" style="3233" customWidth="1"/>
    <col min="8724" max="8724" width="26.125" style="3233" customWidth="1"/>
    <col min="8725" max="8960" width="8.875" style="3233"/>
    <col min="8961" max="8961" width="9.5" style="3233" customWidth="1"/>
    <col min="8962" max="8962" width="8.875" style="3233"/>
    <col min="8963" max="8965" width="12.875" style="3233" customWidth="1"/>
    <col min="8966" max="8966" width="47.5" style="3233" customWidth="1"/>
    <col min="8967" max="8967" width="13" style="3233" customWidth="1"/>
    <col min="8968" max="8969" width="8.875" style="3233"/>
    <col min="8970" max="8970" width="5.75" style="3233" customWidth="1"/>
    <col min="8971" max="8971" width="11.75" style="3233" customWidth="1"/>
    <col min="8972" max="8973" width="10.75" style="3233" customWidth="1"/>
    <col min="8974" max="8974" width="10" style="3233" customWidth="1"/>
    <col min="8975" max="8976" width="10.5" style="3233" bestFit="1" customWidth="1"/>
    <col min="8977" max="8977" width="10" style="3233" customWidth="1"/>
    <col min="8978" max="8978" width="10.125" style="3233" customWidth="1"/>
    <col min="8979" max="8979" width="10" style="3233" customWidth="1"/>
    <col min="8980" max="8980" width="26.125" style="3233" customWidth="1"/>
    <col min="8981" max="9216" width="8.875" style="3233"/>
    <col min="9217" max="9217" width="9.5" style="3233" customWidth="1"/>
    <col min="9218" max="9218" width="8.875" style="3233"/>
    <col min="9219" max="9221" width="12.875" style="3233" customWidth="1"/>
    <col min="9222" max="9222" width="47.5" style="3233" customWidth="1"/>
    <col min="9223" max="9223" width="13" style="3233" customWidth="1"/>
    <col min="9224" max="9225" width="8.875" style="3233"/>
    <col min="9226" max="9226" width="5.75" style="3233" customWidth="1"/>
    <col min="9227" max="9227" width="11.75" style="3233" customWidth="1"/>
    <col min="9228" max="9229" width="10.75" style="3233" customWidth="1"/>
    <col min="9230" max="9230" width="10" style="3233" customWidth="1"/>
    <col min="9231" max="9232" width="10.5" style="3233" bestFit="1" customWidth="1"/>
    <col min="9233" max="9233" width="10" style="3233" customWidth="1"/>
    <col min="9234" max="9234" width="10.125" style="3233" customWidth="1"/>
    <col min="9235" max="9235" width="10" style="3233" customWidth="1"/>
    <col min="9236" max="9236" width="26.125" style="3233" customWidth="1"/>
    <col min="9237" max="9472" width="8.875" style="3233"/>
    <col min="9473" max="9473" width="9.5" style="3233" customWidth="1"/>
    <col min="9474" max="9474" width="8.875" style="3233"/>
    <col min="9475" max="9477" width="12.875" style="3233" customWidth="1"/>
    <col min="9478" max="9478" width="47.5" style="3233" customWidth="1"/>
    <col min="9479" max="9479" width="13" style="3233" customWidth="1"/>
    <col min="9480" max="9481" width="8.875" style="3233"/>
    <col min="9482" max="9482" width="5.75" style="3233" customWidth="1"/>
    <col min="9483" max="9483" width="11.75" style="3233" customWidth="1"/>
    <col min="9484" max="9485" width="10.75" style="3233" customWidth="1"/>
    <col min="9486" max="9486" width="10" style="3233" customWidth="1"/>
    <col min="9487" max="9488" width="10.5" style="3233" bestFit="1" customWidth="1"/>
    <col min="9489" max="9489" width="10" style="3233" customWidth="1"/>
    <col min="9490" max="9490" width="10.125" style="3233" customWidth="1"/>
    <col min="9491" max="9491" width="10" style="3233" customWidth="1"/>
    <col min="9492" max="9492" width="26.125" style="3233" customWidth="1"/>
    <col min="9493" max="9728" width="8.875" style="3233"/>
    <col min="9729" max="9729" width="9.5" style="3233" customWidth="1"/>
    <col min="9730" max="9730" width="8.875" style="3233"/>
    <col min="9731" max="9733" width="12.875" style="3233" customWidth="1"/>
    <col min="9734" max="9734" width="47.5" style="3233" customWidth="1"/>
    <col min="9735" max="9735" width="13" style="3233" customWidth="1"/>
    <col min="9736" max="9737" width="8.875" style="3233"/>
    <col min="9738" max="9738" width="5.75" style="3233" customWidth="1"/>
    <col min="9739" max="9739" width="11.75" style="3233" customWidth="1"/>
    <col min="9740" max="9741" width="10.75" style="3233" customWidth="1"/>
    <col min="9742" max="9742" width="10" style="3233" customWidth="1"/>
    <col min="9743" max="9744" width="10.5" style="3233" bestFit="1" customWidth="1"/>
    <col min="9745" max="9745" width="10" style="3233" customWidth="1"/>
    <col min="9746" max="9746" width="10.125" style="3233" customWidth="1"/>
    <col min="9747" max="9747" width="10" style="3233" customWidth="1"/>
    <col min="9748" max="9748" width="26.125" style="3233" customWidth="1"/>
    <col min="9749" max="9984" width="8.875" style="3233"/>
    <col min="9985" max="9985" width="9.5" style="3233" customWidth="1"/>
    <col min="9986" max="9986" width="8.875" style="3233"/>
    <col min="9987" max="9989" width="12.875" style="3233" customWidth="1"/>
    <col min="9990" max="9990" width="47.5" style="3233" customWidth="1"/>
    <col min="9991" max="9991" width="13" style="3233" customWidth="1"/>
    <col min="9992" max="9993" width="8.875" style="3233"/>
    <col min="9994" max="9994" width="5.75" style="3233" customWidth="1"/>
    <col min="9995" max="9995" width="11.75" style="3233" customWidth="1"/>
    <col min="9996" max="9997" width="10.75" style="3233" customWidth="1"/>
    <col min="9998" max="9998" width="10" style="3233" customWidth="1"/>
    <col min="9999" max="10000" width="10.5" style="3233" bestFit="1" customWidth="1"/>
    <col min="10001" max="10001" width="10" style="3233" customWidth="1"/>
    <col min="10002" max="10002" width="10.125" style="3233" customWidth="1"/>
    <col min="10003" max="10003" width="10" style="3233" customWidth="1"/>
    <col min="10004" max="10004" width="26.125" style="3233" customWidth="1"/>
    <col min="10005" max="10240" width="8.875" style="3233"/>
    <col min="10241" max="10241" width="9.5" style="3233" customWidth="1"/>
    <col min="10242" max="10242" width="8.875" style="3233"/>
    <col min="10243" max="10245" width="12.875" style="3233" customWidth="1"/>
    <col min="10246" max="10246" width="47.5" style="3233" customWidth="1"/>
    <col min="10247" max="10247" width="13" style="3233" customWidth="1"/>
    <col min="10248" max="10249" width="8.875" style="3233"/>
    <col min="10250" max="10250" width="5.75" style="3233" customWidth="1"/>
    <col min="10251" max="10251" width="11.75" style="3233" customWidth="1"/>
    <col min="10252" max="10253" width="10.75" style="3233" customWidth="1"/>
    <col min="10254" max="10254" width="10" style="3233" customWidth="1"/>
    <col min="10255" max="10256" width="10.5" style="3233" bestFit="1" customWidth="1"/>
    <col min="10257" max="10257" width="10" style="3233" customWidth="1"/>
    <col min="10258" max="10258" width="10.125" style="3233" customWidth="1"/>
    <col min="10259" max="10259" width="10" style="3233" customWidth="1"/>
    <col min="10260" max="10260" width="26.125" style="3233" customWidth="1"/>
    <col min="10261" max="10496" width="8.875" style="3233"/>
    <col min="10497" max="10497" width="9.5" style="3233" customWidth="1"/>
    <col min="10498" max="10498" width="8.875" style="3233"/>
    <col min="10499" max="10501" width="12.875" style="3233" customWidth="1"/>
    <col min="10502" max="10502" width="47.5" style="3233" customWidth="1"/>
    <col min="10503" max="10503" width="13" style="3233" customWidth="1"/>
    <col min="10504" max="10505" width="8.875" style="3233"/>
    <col min="10506" max="10506" width="5.75" style="3233" customWidth="1"/>
    <col min="10507" max="10507" width="11.75" style="3233" customWidth="1"/>
    <col min="10508" max="10509" width="10.75" style="3233" customWidth="1"/>
    <col min="10510" max="10510" width="10" style="3233" customWidth="1"/>
    <col min="10511" max="10512" width="10.5" style="3233" bestFit="1" customWidth="1"/>
    <col min="10513" max="10513" width="10" style="3233" customWidth="1"/>
    <col min="10514" max="10514" width="10.125" style="3233" customWidth="1"/>
    <col min="10515" max="10515" width="10" style="3233" customWidth="1"/>
    <col min="10516" max="10516" width="26.125" style="3233" customWidth="1"/>
    <col min="10517" max="10752" width="8.875" style="3233"/>
    <col min="10753" max="10753" width="9.5" style="3233" customWidth="1"/>
    <col min="10754" max="10754" width="8.875" style="3233"/>
    <col min="10755" max="10757" width="12.875" style="3233" customWidth="1"/>
    <col min="10758" max="10758" width="47.5" style="3233" customWidth="1"/>
    <col min="10759" max="10759" width="13" style="3233" customWidth="1"/>
    <col min="10760" max="10761" width="8.875" style="3233"/>
    <col min="10762" max="10762" width="5.75" style="3233" customWidth="1"/>
    <col min="10763" max="10763" width="11.75" style="3233" customWidth="1"/>
    <col min="10764" max="10765" width="10.75" style="3233" customWidth="1"/>
    <col min="10766" max="10766" width="10" style="3233" customWidth="1"/>
    <col min="10767" max="10768" width="10.5" style="3233" bestFit="1" customWidth="1"/>
    <col min="10769" max="10769" width="10" style="3233" customWidth="1"/>
    <col min="10770" max="10770" width="10.125" style="3233" customWidth="1"/>
    <col min="10771" max="10771" width="10" style="3233" customWidth="1"/>
    <col min="10772" max="10772" width="26.125" style="3233" customWidth="1"/>
    <col min="10773" max="11008" width="8.875" style="3233"/>
    <col min="11009" max="11009" width="9.5" style="3233" customWidth="1"/>
    <col min="11010" max="11010" width="8.875" style="3233"/>
    <col min="11011" max="11013" width="12.875" style="3233" customWidth="1"/>
    <col min="11014" max="11014" width="47.5" style="3233" customWidth="1"/>
    <col min="11015" max="11015" width="13" style="3233" customWidth="1"/>
    <col min="11016" max="11017" width="8.875" style="3233"/>
    <col min="11018" max="11018" width="5.75" style="3233" customWidth="1"/>
    <col min="11019" max="11019" width="11.75" style="3233" customWidth="1"/>
    <col min="11020" max="11021" width="10.75" style="3233" customWidth="1"/>
    <col min="11022" max="11022" width="10" style="3233" customWidth="1"/>
    <col min="11023" max="11024" width="10.5" style="3233" bestFit="1" customWidth="1"/>
    <col min="11025" max="11025" width="10" style="3233" customWidth="1"/>
    <col min="11026" max="11026" width="10.125" style="3233" customWidth="1"/>
    <col min="11027" max="11027" width="10" style="3233" customWidth="1"/>
    <col min="11028" max="11028" width="26.125" style="3233" customWidth="1"/>
    <col min="11029" max="11264" width="8.875" style="3233"/>
    <col min="11265" max="11265" width="9.5" style="3233" customWidth="1"/>
    <col min="11266" max="11266" width="8.875" style="3233"/>
    <col min="11267" max="11269" width="12.875" style="3233" customWidth="1"/>
    <col min="11270" max="11270" width="47.5" style="3233" customWidth="1"/>
    <col min="11271" max="11271" width="13" style="3233" customWidth="1"/>
    <col min="11272" max="11273" width="8.875" style="3233"/>
    <col min="11274" max="11274" width="5.75" style="3233" customWidth="1"/>
    <col min="11275" max="11275" width="11.75" style="3233" customWidth="1"/>
    <col min="11276" max="11277" width="10.75" style="3233" customWidth="1"/>
    <col min="11278" max="11278" width="10" style="3233" customWidth="1"/>
    <col min="11279" max="11280" width="10.5" style="3233" bestFit="1" customWidth="1"/>
    <col min="11281" max="11281" width="10" style="3233" customWidth="1"/>
    <col min="11282" max="11282" width="10.125" style="3233" customWidth="1"/>
    <col min="11283" max="11283" width="10" style="3233" customWidth="1"/>
    <col min="11284" max="11284" width="26.125" style="3233" customWidth="1"/>
    <col min="11285" max="11520" width="8.875" style="3233"/>
    <col min="11521" max="11521" width="9.5" style="3233" customWidth="1"/>
    <col min="11522" max="11522" width="8.875" style="3233"/>
    <col min="11523" max="11525" width="12.875" style="3233" customWidth="1"/>
    <col min="11526" max="11526" width="47.5" style="3233" customWidth="1"/>
    <col min="11527" max="11527" width="13" style="3233" customWidth="1"/>
    <col min="11528" max="11529" width="8.875" style="3233"/>
    <col min="11530" max="11530" width="5.75" style="3233" customWidth="1"/>
    <col min="11531" max="11531" width="11.75" style="3233" customWidth="1"/>
    <col min="11532" max="11533" width="10.75" style="3233" customWidth="1"/>
    <col min="11534" max="11534" width="10" style="3233" customWidth="1"/>
    <col min="11535" max="11536" width="10.5" style="3233" bestFit="1" customWidth="1"/>
    <col min="11537" max="11537" width="10" style="3233" customWidth="1"/>
    <col min="11538" max="11538" width="10.125" style="3233" customWidth="1"/>
    <col min="11539" max="11539" width="10" style="3233" customWidth="1"/>
    <col min="11540" max="11540" width="26.125" style="3233" customWidth="1"/>
    <col min="11541" max="11776" width="8.875" style="3233"/>
    <col min="11777" max="11777" width="9.5" style="3233" customWidth="1"/>
    <col min="11778" max="11778" width="8.875" style="3233"/>
    <col min="11779" max="11781" width="12.875" style="3233" customWidth="1"/>
    <col min="11782" max="11782" width="47.5" style="3233" customWidth="1"/>
    <col min="11783" max="11783" width="13" style="3233" customWidth="1"/>
    <col min="11784" max="11785" width="8.875" style="3233"/>
    <col min="11786" max="11786" width="5.75" style="3233" customWidth="1"/>
    <col min="11787" max="11787" width="11.75" style="3233" customWidth="1"/>
    <col min="11788" max="11789" width="10.75" style="3233" customWidth="1"/>
    <col min="11790" max="11790" width="10" style="3233" customWidth="1"/>
    <col min="11791" max="11792" width="10.5" style="3233" bestFit="1" customWidth="1"/>
    <col min="11793" max="11793" width="10" style="3233" customWidth="1"/>
    <col min="11794" max="11794" width="10.125" style="3233" customWidth="1"/>
    <col min="11795" max="11795" width="10" style="3233" customWidth="1"/>
    <col min="11796" max="11796" width="26.125" style="3233" customWidth="1"/>
    <col min="11797" max="12032" width="8.875" style="3233"/>
    <col min="12033" max="12033" width="9.5" style="3233" customWidth="1"/>
    <col min="12034" max="12034" width="8.875" style="3233"/>
    <col min="12035" max="12037" width="12.875" style="3233" customWidth="1"/>
    <col min="12038" max="12038" width="47.5" style="3233" customWidth="1"/>
    <col min="12039" max="12039" width="13" style="3233" customWidth="1"/>
    <col min="12040" max="12041" width="8.875" style="3233"/>
    <col min="12042" max="12042" width="5.75" style="3233" customWidth="1"/>
    <col min="12043" max="12043" width="11.75" style="3233" customWidth="1"/>
    <col min="12044" max="12045" width="10.75" style="3233" customWidth="1"/>
    <col min="12046" max="12046" width="10" style="3233" customWidth="1"/>
    <col min="12047" max="12048" width="10.5" style="3233" bestFit="1" customWidth="1"/>
    <col min="12049" max="12049" width="10" style="3233" customWidth="1"/>
    <col min="12050" max="12050" width="10.125" style="3233" customWidth="1"/>
    <col min="12051" max="12051" width="10" style="3233" customWidth="1"/>
    <col min="12052" max="12052" width="26.125" style="3233" customWidth="1"/>
    <col min="12053" max="12288" width="8.875" style="3233"/>
    <col min="12289" max="12289" width="9.5" style="3233" customWidth="1"/>
    <col min="12290" max="12290" width="8.875" style="3233"/>
    <col min="12291" max="12293" width="12.875" style="3233" customWidth="1"/>
    <col min="12294" max="12294" width="47.5" style="3233" customWidth="1"/>
    <col min="12295" max="12295" width="13" style="3233" customWidth="1"/>
    <col min="12296" max="12297" width="8.875" style="3233"/>
    <col min="12298" max="12298" width="5.75" style="3233" customWidth="1"/>
    <col min="12299" max="12299" width="11.75" style="3233" customWidth="1"/>
    <col min="12300" max="12301" width="10.75" style="3233" customWidth="1"/>
    <col min="12302" max="12302" width="10" style="3233" customWidth="1"/>
    <col min="12303" max="12304" width="10.5" style="3233" bestFit="1" customWidth="1"/>
    <col min="12305" max="12305" width="10" style="3233" customWidth="1"/>
    <col min="12306" max="12306" width="10.125" style="3233" customWidth="1"/>
    <col min="12307" max="12307" width="10" style="3233" customWidth="1"/>
    <col min="12308" max="12308" width="26.125" style="3233" customWidth="1"/>
    <col min="12309" max="12544" width="8.875" style="3233"/>
    <col min="12545" max="12545" width="9.5" style="3233" customWidth="1"/>
    <col min="12546" max="12546" width="8.875" style="3233"/>
    <col min="12547" max="12549" width="12.875" style="3233" customWidth="1"/>
    <col min="12550" max="12550" width="47.5" style="3233" customWidth="1"/>
    <col min="12551" max="12551" width="13" style="3233" customWidth="1"/>
    <col min="12552" max="12553" width="8.875" style="3233"/>
    <col min="12554" max="12554" width="5.75" style="3233" customWidth="1"/>
    <col min="12555" max="12555" width="11.75" style="3233" customWidth="1"/>
    <col min="12556" max="12557" width="10.75" style="3233" customWidth="1"/>
    <col min="12558" max="12558" width="10" style="3233" customWidth="1"/>
    <col min="12559" max="12560" width="10.5" style="3233" bestFit="1" customWidth="1"/>
    <col min="12561" max="12561" width="10" style="3233" customWidth="1"/>
    <col min="12562" max="12562" width="10.125" style="3233" customWidth="1"/>
    <col min="12563" max="12563" width="10" style="3233" customWidth="1"/>
    <col min="12564" max="12564" width="26.125" style="3233" customWidth="1"/>
    <col min="12565" max="12800" width="8.875" style="3233"/>
    <col min="12801" max="12801" width="9.5" style="3233" customWidth="1"/>
    <col min="12802" max="12802" width="8.875" style="3233"/>
    <col min="12803" max="12805" width="12.875" style="3233" customWidth="1"/>
    <col min="12806" max="12806" width="47.5" style="3233" customWidth="1"/>
    <col min="12807" max="12807" width="13" style="3233" customWidth="1"/>
    <col min="12808" max="12809" width="8.875" style="3233"/>
    <col min="12810" max="12810" width="5.75" style="3233" customWidth="1"/>
    <col min="12811" max="12811" width="11.75" style="3233" customWidth="1"/>
    <col min="12812" max="12813" width="10.75" style="3233" customWidth="1"/>
    <col min="12814" max="12814" width="10" style="3233" customWidth="1"/>
    <col min="12815" max="12816" width="10.5" style="3233" bestFit="1" customWidth="1"/>
    <col min="12817" max="12817" width="10" style="3233" customWidth="1"/>
    <col min="12818" max="12818" width="10.125" style="3233" customWidth="1"/>
    <col min="12819" max="12819" width="10" style="3233" customWidth="1"/>
    <col min="12820" max="12820" width="26.125" style="3233" customWidth="1"/>
    <col min="12821" max="13056" width="8.875" style="3233"/>
    <col min="13057" max="13057" width="9.5" style="3233" customWidth="1"/>
    <col min="13058" max="13058" width="8.875" style="3233"/>
    <col min="13059" max="13061" width="12.875" style="3233" customWidth="1"/>
    <col min="13062" max="13062" width="47.5" style="3233" customWidth="1"/>
    <col min="13063" max="13063" width="13" style="3233" customWidth="1"/>
    <col min="13064" max="13065" width="8.875" style="3233"/>
    <col min="13066" max="13066" width="5.75" style="3233" customWidth="1"/>
    <col min="13067" max="13067" width="11.75" style="3233" customWidth="1"/>
    <col min="13068" max="13069" width="10.75" style="3233" customWidth="1"/>
    <col min="13070" max="13070" width="10" style="3233" customWidth="1"/>
    <col min="13071" max="13072" width="10.5" style="3233" bestFit="1" customWidth="1"/>
    <col min="13073" max="13073" width="10" style="3233" customWidth="1"/>
    <col min="13074" max="13074" width="10.125" style="3233" customWidth="1"/>
    <col min="13075" max="13075" width="10" style="3233" customWidth="1"/>
    <col min="13076" max="13076" width="26.125" style="3233" customWidth="1"/>
    <col min="13077" max="13312" width="8.875" style="3233"/>
    <col min="13313" max="13313" width="9.5" style="3233" customWidth="1"/>
    <col min="13314" max="13314" width="8.875" style="3233"/>
    <col min="13315" max="13317" width="12.875" style="3233" customWidth="1"/>
    <col min="13318" max="13318" width="47.5" style="3233" customWidth="1"/>
    <col min="13319" max="13319" width="13" style="3233" customWidth="1"/>
    <col min="13320" max="13321" width="8.875" style="3233"/>
    <col min="13322" max="13322" width="5.75" style="3233" customWidth="1"/>
    <col min="13323" max="13323" width="11.75" style="3233" customWidth="1"/>
    <col min="13324" max="13325" width="10.75" style="3233" customWidth="1"/>
    <col min="13326" max="13326" width="10" style="3233" customWidth="1"/>
    <col min="13327" max="13328" width="10.5" style="3233" bestFit="1" customWidth="1"/>
    <col min="13329" max="13329" width="10" style="3233" customWidth="1"/>
    <col min="13330" max="13330" width="10.125" style="3233" customWidth="1"/>
    <col min="13331" max="13331" width="10" style="3233" customWidth="1"/>
    <col min="13332" max="13332" width="26.125" style="3233" customWidth="1"/>
    <col min="13333" max="13568" width="8.875" style="3233"/>
    <col min="13569" max="13569" width="9.5" style="3233" customWidth="1"/>
    <col min="13570" max="13570" width="8.875" style="3233"/>
    <col min="13571" max="13573" width="12.875" style="3233" customWidth="1"/>
    <col min="13574" max="13574" width="47.5" style="3233" customWidth="1"/>
    <col min="13575" max="13575" width="13" style="3233" customWidth="1"/>
    <col min="13576" max="13577" width="8.875" style="3233"/>
    <col min="13578" max="13578" width="5.75" style="3233" customWidth="1"/>
    <col min="13579" max="13579" width="11.75" style="3233" customWidth="1"/>
    <col min="13580" max="13581" width="10.75" style="3233" customWidth="1"/>
    <col min="13582" max="13582" width="10" style="3233" customWidth="1"/>
    <col min="13583" max="13584" width="10.5" style="3233" bestFit="1" customWidth="1"/>
    <col min="13585" max="13585" width="10" style="3233" customWidth="1"/>
    <col min="13586" max="13586" width="10.125" style="3233" customWidth="1"/>
    <col min="13587" max="13587" width="10" style="3233" customWidth="1"/>
    <col min="13588" max="13588" width="26.125" style="3233" customWidth="1"/>
    <col min="13589" max="13824" width="8.875" style="3233"/>
    <col min="13825" max="13825" width="9.5" style="3233" customWidth="1"/>
    <col min="13826" max="13826" width="8.875" style="3233"/>
    <col min="13827" max="13829" width="12.875" style="3233" customWidth="1"/>
    <col min="13830" max="13830" width="47.5" style="3233" customWidth="1"/>
    <col min="13831" max="13831" width="13" style="3233" customWidth="1"/>
    <col min="13832" max="13833" width="8.875" style="3233"/>
    <col min="13834" max="13834" width="5.75" style="3233" customWidth="1"/>
    <col min="13835" max="13835" width="11.75" style="3233" customWidth="1"/>
    <col min="13836" max="13837" width="10.75" style="3233" customWidth="1"/>
    <col min="13838" max="13838" width="10" style="3233" customWidth="1"/>
    <col min="13839" max="13840" width="10.5" style="3233" bestFit="1" customWidth="1"/>
    <col min="13841" max="13841" width="10" style="3233" customWidth="1"/>
    <col min="13842" max="13842" width="10.125" style="3233" customWidth="1"/>
    <col min="13843" max="13843" width="10" style="3233" customWidth="1"/>
    <col min="13844" max="13844" width="26.125" style="3233" customWidth="1"/>
    <col min="13845" max="14080" width="8.875" style="3233"/>
    <col min="14081" max="14081" width="9.5" style="3233" customWidth="1"/>
    <col min="14082" max="14082" width="8.875" style="3233"/>
    <col min="14083" max="14085" width="12.875" style="3233" customWidth="1"/>
    <col min="14086" max="14086" width="47.5" style="3233" customWidth="1"/>
    <col min="14087" max="14087" width="13" style="3233" customWidth="1"/>
    <col min="14088" max="14089" width="8.875" style="3233"/>
    <col min="14090" max="14090" width="5.75" style="3233" customWidth="1"/>
    <col min="14091" max="14091" width="11.75" style="3233" customWidth="1"/>
    <col min="14092" max="14093" width="10.75" style="3233" customWidth="1"/>
    <col min="14094" max="14094" width="10" style="3233" customWidth="1"/>
    <col min="14095" max="14096" width="10.5" style="3233" bestFit="1" customWidth="1"/>
    <col min="14097" max="14097" width="10" style="3233" customWidth="1"/>
    <col min="14098" max="14098" width="10.125" style="3233" customWidth="1"/>
    <col min="14099" max="14099" width="10" style="3233" customWidth="1"/>
    <col min="14100" max="14100" width="26.125" style="3233" customWidth="1"/>
    <col min="14101" max="14336" width="8.875" style="3233"/>
    <col min="14337" max="14337" width="9.5" style="3233" customWidth="1"/>
    <col min="14338" max="14338" width="8.875" style="3233"/>
    <col min="14339" max="14341" width="12.875" style="3233" customWidth="1"/>
    <col min="14342" max="14342" width="47.5" style="3233" customWidth="1"/>
    <col min="14343" max="14343" width="13" style="3233" customWidth="1"/>
    <col min="14344" max="14345" width="8.875" style="3233"/>
    <col min="14346" max="14346" width="5.75" style="3233" customWidth="1"/>
    <col min="14347" max="14347" width="11.75" style="3233" customWidth="1"/>
    <col min="14348" max="14349" width="10.75" style="3233" customWidth="1"/>
    <col min="14350" max="14350" width="10" style="3233" customWidth="1"/>
    <col min="14351" max="14352" width="10.5" style="3233" bestFit="1" customWidth="1"/>
    <col min="14353" max="14353" width="10" style="3233" customWidth="1"/>
    <col min="14354" max="14354" width="10.125" style="3233" customWidth="1"/>
    <col min="14355" max="14355" width="10" style="3233" customWidth="1"/>
    <col min="14356" max="14356" width="26.125" style="3233" customWidth="1"/>
    <col min="14357" max="14592" width="8.875" style="3233"/>
    <col min="14593" max="14593" width="9.5" style="3233" customWidth="1"/>
    <col min="14594" max="14594" width="8.875" style="3233"/>
    <col min="14595" max="14597" width="12.875" style="3233" customWidth="1"/>
    <col min="14598" max="14598" width="47.5" style="3233" customWidth="1"/>
    <col min="14599" max="14599" width="13" style="3233" customWidth="1"/>
    <col min="14600" max="14601" width="8.875" style="3233"/>
    <col min="14602" max="14602" width="5.75" style="3233" customWidth="1"/>
    <col min="14603" max="14603" width="11.75" style="3233" customWidth="1"/>
    <col min="14604" max="14605" width="10.75" style="3233" customWidth="1"/>
    <col min="14606" max="14606" width="10" style="3233" customWidth="1"/>
    <col min="14607" max="14608" width="10.5" style="3233" bestFit="1" customWidth="1"/>
    <col min="14609" max="14609" width="10" style="3233" customWidth="1"/>
    <col min="14610" max="14610" width="10.125" style="3233" customWidth="1"/>
    <col min="14611" max="14611" width="10" style="3233" customWidth="1"/>
    <col min="14612" max="14612" width="26.125" style="3233" customWidth="1"/>
    <col min="14613" max="14848" width="8.875" style="3233"/>
    <col min="14849" max="14849" width="9.5" style="3233" customWidth="1"/>
    <col min="14850" max="14850" width="8.875" style="3233"/>
    <col min="14851" max="14853" width="12.875" style="3233" customWidth="1"/>
    <col min="14854" max="14854" width="47.5" style="3233" customWidth="1"/>
    <col min="14855" max="14855" width="13" style="3233" customWidth="1"/>
    <col min="14856" max="14857" width="8.875" style="3233"/>
    <col min="14858" max="14858" width="5.75" style="3233" customWidth="1"/>
    <col min="14859" max="14859" width="11.75" style="3233" customWidth="1"/>
    <col min="14860" max="14861" width="10.75" style="3233" customWidth="1"/>
    <col min="14862" max="14862" width="10" style="3233" customWidth="1"/>
    <col min="14863" max="14864" width="10.5" style="3233" bestFit="1" customWidth="1"/>
    <col min="14865" max="14865" width="10" style="3233" customWidth="1"/>
    <col min="14866" max="14866" width="10.125" style="3233" customWidth="1"/>
    <col min="14867" max="14867" width="10" style="3233" customWidth="1"/>
    <col min="14868" max="14868" width="26.125" style="3233" customWidth="1"/>
    <col min="14869" max="15104" width="8.875" style="3233"/>
    <col min="15105" max="15105" width="9.5" style="3233" customWidth="1"/>
    <col min="15106" max="15106" width="8.875" style="3233"/>
    <col min="15107" max="15109" width="12.875" style="3233" customWidth="1"/>
    <col min="15110" max="15110" width="47.5" style="3233" customWidth="1"/>
    <col min="15111" max="15111" width="13" style="3233" customWidth="1"/>
    <col min="15112" max="15113" width="8.875" style="3233"/>
    <col min="15114" max="15114" width="5.75" style="3233" customWidth="1"/>
    <col min="15115" max="15115" width="11.75" style="3233" customWidth="1"/>
    <col min="15116" max="15117" width="10.75" style="3233" customWidth="1"/>
    <col min="15118" max="15118" width="10" style="3233" customWidth="1"/>
    <col min="15119" max="15120" width="10.5" style="3233" bestFit="1" customWidth="1"/>
    <col min="15121" max="15121" width="10" style="3233" customWidth="1"/>
    <col min="15122" max="15122" width="10.125" style="3233" customWidth="1"/>
    <col min="15123" max="15123" width="10" style="3233" customWidth="1"/>
    <col min="15124" max="15124" width="26.125" style="3233" customWidth="1"/>
    <col min="15125" max="15360" width="8.875" style="3233"/>
    <col min="15361" max="15361" width="9.5" style="3233" customWidth="1"/>
    <col min="15362" max="15362" width="8.875" style="3233"/>
    <col min="15363" max="15365" width="12.875" style="3233" customWidth="1"/>
    <col min="15366" max="15366" width="47.5" style="3233" customWidth="1"/>
    <col min="15367" max="15367" width="13" style="3233" customWidth="1"/>
    <col min="15368" max="15369" width="8.875" style="3233"/>
    <col min="15370" max="15370" width="5.75" style="3233" customWidth="1"/>
    <col min="15371" max="15371" width="11.75" style="3233" customWidth="1"/>
    <col min="15372" max="15373" width="10.75" style="3233" customWidth="1"/>
    <col min="15374" max="15374" width="10" style="3233" customWidth="1"/>
    <col min="15375" max="15376" width="10.5" style="3233" bestFit="1" customWidth="1"/>
    <col min="15377" max="15377" width="10" style="3233" customWidth="1"/>
    <col min="15378" max="15378" width="10.125" style="3233" customWidth="1"/>
    <col min="15379" max="15379" width="10" style="3233" customWidth="1"/>
    <col min="15380" max="15380" width="26.125" style="3233" customWidth="1"/>
    <col min="15381" max="15616" width="8.875" style="3233"/>
    <col min="15617" max="15617" width="9.5" style="3233" customWidth="1"/>
    <col min="15618" max="15618" width="8.875" style="3233"/>
    <col min="15619" max="15621" width="12.875" style="3233" customWidth="1"/>
    <col min="15622" max="15622" width="47.5" style="3233" customWidth="1"/>
    <col min="15623" max="15623" width="13" style="3233" customWidth="1"/>
    <col min="15624" max="15625" width="8.875" style="3233"/>
    <col min="15626" max="15626" width="5.75" style="3233" customWidth="1"/>
    <col min="15627" max="15627" width="11.75" style="3233" customWidth="1"/>
    <col min="15628" max="15629" width="10.75" style="3233" customWidth="1"/>
    <col min="15630" max="15630" width="10" style="3233" customWidth="1"/>
    <col min="15631" max="15632" width="10.5" style="3233" bestFit="1" customWidth="1"/>
    <col min="15633" max="15633" width="10" style="3233" customWidth="1"/>
    <col min="15634" max="15634" width="10.125" style="3233" customWidth="1"/>
    <col min="15635" max="15635" width="10" style="3233" customWidth="1"/>
    <col min="15636" max="15636" width="26.125" style="3233" customWidth="1"/>
    <col min="15637" max="15872" width="8.875" style="3233"/>
    <col min="15873" max="15873" width="9.5" style="3233" customWidth="1"/>
    <col min="15874" max="15874" width="8.875" style="3233"/>
    <col min="15875" max="15877" width="12.875" style="3233" customWidth="1"/>
    <col min="15878" max="15878" width="47.5" style="3233" customWidth="1"/>
    <col min="15879" max="15879" width="13" style="3233" customWidth="1"/>
    <col min="15880" max="15881" width="8.875" style="3233"/>
    <col min="15882" max="15882" width="5.75" style="3233" customWidth="1"/>
    <col min="15883" max="15883" width="11.75" style="3233" customWidth="1"/>
    <col min="15884" max="15885" width="10.75" style="3233" customWidth="1"/>
    <col min="15886" max="15886" width="10" style="3233" customWidth="1"/>
    <col min="15887" max="15888" width="10.5" style="3233" bestFit="1" customWidth="1"/>
    <col min="15889" max="15889" width="10" style="3233" customWidth="1"/>
    <col min="15890" max="15890" width="10.125" style="3233" customWidth="1"/>
    <col min="15891" max="15891" width="10" style="3233" customWidth="1"/>
    <col min="15892" max="15892" width="26.125" style="3233" customWidth="1"/>
    <col min="15893" max="16128" width="8.875" style="3233"/>
    <col min="16129" max="16129" width="9.5" style="3233" customWidth="1"/>
    <col min="16130" max="16130" width="8.875" style="3233"/>
    <col min="16131" max="16133" width="12.875" style="3233" customWidth="1"/>
    <col min="16134" max="16134" width="47.5" style="3233" customWidth="1"/>
    <col min="16135" max="16135" width="13" style="3233" customWidth="1"/>
    <col min="16136" max="16137" width="8.875" style="3233"/>
    <col min="16138" max="16138" width="5.75" style="3233" customWidth="1"/>
    <col min="16139" max="16139" width="11.75" style="3233" customWidth="1"/>
    <col min="16140" max="16141" width="10.75" style="3233" customWidth="1"/>
    <col min="16142" max="16142" width="10" style="3233" customWidth="1"/>
    <col min="16143" max="16144" width="10.5" style="3233" bestFit="1" customWidth="1"/>
    <col min="16145" max="16145" width="10" style="3233" customWidth="1"/>
    <col min="16146" max="16146" width="10.125" style="3233" customWidth="1"/>
    <col min="16147" max="16147" width="10" style="3233" customWidth="1"/>
    <col min="16148" max="16148" width="26.125" style="3233" customWidth="1"/>
    <col min="16149" max="16384" width="8.875" style="3233"/>
  </cols>
  <sheetData>
    <row r="1" spans="1:22" ht="21" customHeight="1">
      <c r="A1" s="3222" t="s">
        <v>2880</v>
      </c>
      <c r="B1" s="3223"/>
      <c r="C1" s="3236"/>
      <c r="D1" s="3236"/>
      <c r="E1" s="3224"/>
      <c r="F1" s="3225"/>
      <c r="G1" s="3226"/>
      <c r="J1" s="3229" t="s">
        <v>2737</v>
      </c>
      <c r="K1" s="3230"/>
      <c r="L1" s="3230"/>
      <c r="M1" s="3230"/>
      <c r="N1" s="3230"/>
      <c r="O1" s="3230"/>
      <c r="P1" s="3230"/>
      <c r="Q1" s="3230"/>
      <c r="R1" s="3231"/>
      <c r="S1" s="3232"/>
      <c r="T1" s="3232"/>
      <c r="U1" s="3232"/>
    </row>
    <row r="2" spans="1:22" s="3245" customFormat="1" ht="13.15" customHeight="1">
      <c r="A2" s="3234" t="s">
        <v>2738</v>
      </c>
      <c r="B2" s="3235" t="e">
        <f>C40</f>
        <v>#DIV/0!</v>
      </c>
      <c r="C2" s="3236" t="s">
        <v>2739</v>
      </c>
      <c r="D2" s="3236"/>
      <c r="E2" s="3237"/>
      <c r="F2" s="3238"/>
      <c r="G2" s="3239"/>
      <c r="H2" s="3240"/>
      <c r="I2" s="3241"/>
      <c r="J2" s="3761" t="s">
        <v>2740</v>
      </c>
      <c r="K2" s="3762"/>
      <c r="L2" s="3242" t="s">
        <v>2741</v>
      </c>
      <c r="M2" s="3242" t="s">
        <v>2742</v>
      </c>
      <c r="N2" s="3242" t="s">
        <v>2743</v>
      </c>
      <c r="O2" s="3242" t="s">
        <v>2744</v>
      </c>
      <c r="P2" s="3242" t="s">
        <v>2745</v>
      </c>
      <c r="Q2" s="3243" t="s">
        <v>2746</v>
      </c>
      <c r="R2" s="3244" t="s">
        <v>2747</v>
      </c>
      <c r="S2" s="3232"/>
      <c r="T2" s="3232"/>
      <c r="U2" s="3232"/>
      <c r="V2" s="3241"/>
    </row>
    <row r="3" spans="1:22" s="3245" customFormat="1" ht="13.15" customHeight="1">
      <c r="A3" s="3246" t="s">
        <v>2748</v>
      </c>
      <c r="B3" s="3247" t="e">
        <f>ROUND(B2*10000/B4,0)</f>
        <v>#DIV/0!</v>
      </c>
      <c r="C3" s="3236" t="s">
        <v>2749</v>
      </c>
      <c r="D3" s="3236"/>
      <c r="E3" s="3237"/>
      <c r="F3" s="3238"/>
      <c r="G3" s="3239"/>
      <c r="H3" s="3240"/>
      <c r="I3" s="3241"/>
      <c r="J3" s="3763" t="s">
        <v>2750</v>
      </c>
      <c r="K3" s="3764"/>
      <c r="L3" s="3248"/>
      <c r="M3" s="3248"/>
      <c r="N3" s="3248"/>
      <c r="O3" s="3248"/>
      <c r="P3" s="3248"/>
      <c r="Q3" s="3249"/>
      <c r="R3" s="3250">
        <f>SUM(L3:Q3)</f>
        <v>0</v>
      </c>
      <c r="S3" s="3232"/>
      <c r="T3" s="3232"/>
      <c r="U3" s="3232"/>
      <c r="V3" s="3241"/>
    </row>
    <row r="4" spans="1:22" s="3245" customFormat="1" ht="13.15" customHeight="1">
      <c r="A4" s="3251" t="s">
        <v>2751</v>
      </c>
      <c r="B4" s="3252"/>
      <c r="C4" s="3236"/>
      <c r="D4" s="3236"/>
      <c r="E4" s="3237"/>
      <c r="F4" s="3238"/>
      <c r="G4" s="3239"/>
      <c r="H4" s="3240"/>
      <c r="I4" s="3241"/>
      <c r="J4" s="3763" t="s">
        <v>2752</v>
      </c>
      <c r="K4" s="3764"/>
      <c r="L4" s="3253"/>
      <c r="M4" s="3253"/>
      <c r="N4" s="3253"/>
      <c r="O4" s="3253"/>
      <c r="P4" s="3253"/>
      <c r="Q4" s="3254"/>
      <c r="R4" s="3255">
        <f>SUM(L4:Q4)</f>
        <v>0</v>
      </c>
      <c r="S4" s="3232"/>
      <c r="T4" s="3232"/>
      <c r="U4" s="3232"/>
      <c r="V4" s="3241"/>
    </row>
    <row r="5" spans="1:22" s="3245" customFormat="1" ht="13.15" customHeight="1" thickBot="1">
      <c r="A5" s="3256" t="s">
        <v>2753</v>
      </c>
      <c r="B5" s="3257"/>
      <c r="C5" s="3236"/>
      <c r="D5" s="3258"/>
      <c r="E5" s="3238"/>
      <c r="F5" s="3238"/>
      <c r="G5" s="3239"/>
      <c r="H5" s="3240"/>
      <c r="I5" s="3241"/>
      <c r="J5" s="3259" t="s">
        <v>2754</v>
      </c>
      <c r="K5" s="3260"/>
      <c r="L5" s="3260"/>
      <c r="M5" s="3261"/>
      <c r="N5" s="3261"/>
      <c r="O5" s="3261"/>
      <c r="P5" s="3261"/>
      <c r="Q5" s="3261"/>
      <c r="R5" s="3244">
        <f>SUM(R14,R19,R24,R25,R27,R28)</f>
        <v>0</v>
      </c>
      <c r="S5" s="3232"/>
      <c r="T5" s="3232" t="s">
        <v>2755</v>
      </c>
      <c r="U5" s="3232" t="e">
        <f>ROUND(R5*10000/365/R3,1)</f>
        <v>#DIV/0!</v>
      </c>
      <c r="V5" s="3241"/>
    </row>
    <row r="6" spans="1:22" s="3245" customFormat="1" ht="13.15" customHeight="1" thickBot="1">
      <c r="A6" s="3769" t="s">
        <v>2756</v>
      </c>
      <c r="B6" s="3770"/>
      <c r="C6" s="3771"/>
      <c r="D6" s="3262"/>
      <c r="E6" s="3263"/>
      <c r="F6" s="3264"/>
      <c r="G6" s="3265"/>
      <c r="H6" s="3240"/>
      <c r="I6" s="3241"/>
      <c r="J6" s="3755">
        <v>1</v>
      </c>
      <c r="K6" s="3756" t="s">
        <v>2757</v>
      </c>
      <c r="L6" s="3266" t="s">
        <v>2758</v>
      </c>
      <c r="M6" s="3267" t="s">
        <v>2759</v>
      </c>
      <c r="N6" s="3267" t="s">
        <v>2760</v>
      </c>
      <c r="O6" s="3267" t="s">
        <v>2761</v>
      </c>
      <c r="P6" s="3267" t="s">
        <v>2762</v>
      </c>
      <c r="Q6" s="3267" t="s">
        <v>2763</v>
      </c>
      <c r="R6" s="3250" t="s">
        <v>2764</v>
      </c>
      <c r="S6" s="3232"/>
      <c r="T6" s="3232" t="s">
        <v>2765</v>
      </c>
      <c r="U6" s="3232"/>
      <c r="V6" s="3241"/>
    </row>
    <row r="7" spans="1:22" s="3245" customFormat="1" ht="13.15" customHeight="1">
      <c r="A7" s="3268" t="s">
        <v>2766</v>
      </c>
      <c r="B7" s="3269"/>
      <c r="C7" s="3270"/>
      <c r="D7" s="3271">
        <f>SUM(D9,D10,D11,D17,0)</f>
        <v>0</v>
      </c>
      <c r="E7" s="3272" t="e">
        <f>E9+E10+E11+E17</f>
        <v>#DIV/0!</v>
      </c>
      <c r="F7" s="3273"/>
      <c r="G7" s="3274"/>
      <c r="H7" s="3240"/>
      <c r="I7" s="3241"/>
      <c r="J7" s="3755"/>
      <c r="K7" s="3757"/>
      <c r="L7" s="3275" t="s">
        <v>2767</v>
      </c>
      <c r="M7" s="3276"/>
      <c r="N7" s="3252"/>
      <c r="O7" s="3277"/>
      <c r="P7" s="3277"/>
      <c r="Q7" s="3278">
        <v>365</v>
      </c>
      <c r="R7" s="3279">
        <f>ROUND(M7*N7*O7*P7*Q7/10000,0)</f>
        <v>0</v>
      </c>
      <c r="S7" s="3232"/>
      <c r="T7" s="3232" t="s">
        <v>2768</v>
      </c>
      <c r="U7" s="3232"/>
      <c r="V7" s="3241"/>
    </row>
    <row r="8" spans="1:22" s="3245" customFormat="1" ht="13.15" customHeight="1">
      <c r="A8" s="3280" t="s">
        <v>2769</v>
      </c>
      <c r="B8" s="3772" t="s">
        <v>2770</v>
      </c>
      <c r="C8" s="3773"/>
      <c r="D8" s="3281" t="s">
        <v>2771</v>
      </c>
      <c r="E8" s="3282" t="s">
        <v>2772</v>
      </c>
      <c r="F8" s="3283" t="s">
        <v>2773</v>
      </c>
      <c r="G8" s="3284"/>
      <c r="H8" s="3240"/>
      <c r="I8" s="3241"/>
      <c r="J8" s="3755"/>
      <c r="K8" s="3757"/>
      <c r="L8" s="3275" t="s">
        <v>2774</v>
      </c>
      <c r="M8" s="3276"/>
      <c r="N8" s="3252"/>
      <c r="O8" s="3277"/>
      <c r="P8" s="3277"/>
      <c r="Q8" s="3278">
        <v>365</v>
      </c>
      <c r="R8" s="3279">
        <f t="shared" ref="R8:R13" si="0">ROUND(M8*N8*O8*P8*Q8/10000,0)</f>
        <v>0</v>
      </c>
      <c r="S8" s="3232"/>
      <c r="T8" s="3232" t="s">
        <v>2775</v>
      </c>
      <c r="U8" s="3232"/>
      <c r="V8" s="3241"/>
    </row>
    <row r="9" spans="1:22" s="3245" customFormat="1" ht="13.15" customHeight="1">
      <c r="A9" s="3280">
        <v>1</v>
      </c>
      <c r="B9" s="3772" t="s">
        <v>2776</v>
      </c>
      <c r="C9" s="3773"/>
      <c r="D9" s="3281">
        <f>ROUND(D6*E9,0)</f>
        <v>0</v>
      </c>
      <c r="E9" s="3285"/>
      <c r="F9" s="3286" t="s">
        <v>2777</v>
      </c>
      <c r="G9" s="3265"/>
      <c r="H9" s="3240"/>
      <c r="I9" s="3241"/>
      <c r="J9" s="3755"/>
      <c r="K9" s="3757"/>
      <c r="L9" s="3275" t="s">
        <v>2778</v>
      </c>
      <c r="M9" s="3276"/>
      <c r="N9" s="3252"/>
      <c r="O9" s="3277"/>
      <c r="P9" s="3277"/>
      <c r="Q9" s="3278">
        <v>365</v>
      </c>
      <c r="R9" s="3279">
        <f t="shared" si="0"/>
        <v>0</v>
      </c>
      <c r="S9" s="3232"/>
      <c r="T9" s="3232"/>
      <c r="U9" s="3232"/>
      <c r="V9" s="3241"/>
    </row>
    <row r="10" spans="1:22" s="3245" customFormat="1" ht="13.15" customHeight="1">
      <c r="A10" s="3280">
        <v>2</v>
      </c>
      <c r="B10" s="3772" t="s">
        <v>2779</v>
      </c>
      <c r="C10" s="3773"/>
      <c r="D10" s="3281">
        <f>ROUND(D6*E10,0)</f>
        <v>0</v>
      </c>
      <c r="E10" s="3285"/>
      <c r="F10" s="3286" t="s">
        <v>2780</v>
      </c>
      <c r="G10" s="3265"/>
      <c r="H10" s="3240"/>
      <c r="I10" s="3241"/>
      <c r="J10" s="3755"/>
      <c r="K10" s="3757"/>
      <c r="L10" s="3275" t="s">
        <v>2781</v>
      </c>
      <c r="M10" s="3276"/>
      <c r="N10" s="3252"/>
      <c r="O10" s="3277"/>
      <c r="P10" s="3277"/>
      <c r="Q10" s="3278">
        <v>365</v>
      </c>
      <c r="R10" s="3279">
        <f t="shared" si="0"/>
        <v>0</v>
      </c>
      <c r="S10" s="3232"/>
      <c r="T10" s="3232"/>
      <c r="U10" s="3232"/>
      <c r="V10" s="3241"/>
    </row>
    <row r="11" spans="1:22" s="3245" customFormat="1" ht="13.15" customHeight="1">
      <c r="A11" s="3280">
        <v>3</v>
      </c>
      <c r="B11" s="3772" t="s">
        <v>2782</v>
      </c>
      <c r="C11" s="3773"/>
      <c r="D11" s="3281">
        <f>D12+D14+D15+D16</f>
        <v>0</v>
      </c>
      <c r="E11" s="3287" t="e">
        <f>D11/D6</f>
        <v>#DIV/0!</v>
      </c>
      <c r="F11" s="3283"/>
      <c r="G11" s="3284"/>
      <c r="H11" s="3240"/>
      <c r="I11" s="3241"/>
      <c r="J11" s="3755"/>
      <c r="K11" s="3757"/>
      <c r="L11" s="3275" t="s">
        <v>2783</v>
      </c>
      <c r="M11" s="3276"/>
      <c r="N11" s="3252"/>
      <c r="O11" s="3277"/>
      <c r="P11" s="3277"/>
      <c r="Q11" s="3278">
        <v>365</v>
      </c>
      <c r="R11" s="3279">
        <f t="shared" si="0"/>
        <v>0</v>
      </c>
      <c r="S11" s="3232"/>
      <c r="T11" s="3232"/>
      <c r="U11" s="3232"/>
      <c r="V11" s="3241"/>
    </row>
    <row r="12" spans="1:22" s="3245" customFormat="1" ht="13.15" customHeight="1">
      <c r="A12" s="3288" t="s">
        <v>2784</v>
      </c>
      <c r="B12" s="3765" t="s">
        <v>2785</v>
      </c>
      <c r="C12" s="3766"/>
      <c r="D12" s="3289">
        <f>ROUND(D13*1.2%*(1-30%),0)</f>
        <v>0</v>
      </c>
      <c r="E12" s="3290">
        <v>1.2E-2</v>
      </c>
      <c r="F12" s="3283" t="s">
        <v>2786</v>
      </c>
      <c r="G12" s="3284"/>
      <c r="H12" s="3240"/>
      <c r="I12" s="3241"/>
      <c r="J12" s="3755"/>
      <c r="K12" s="3757"/>
      <c r="L12" s="3275" t="s">
        <v>2787</v>
      </c>
      <c r="M12" s="3276"/>
      <c r="N12" s="3252"/>
      <c r="O12" s="3277"/>
      <c r="P12" s="3277"/>
      <c r="Q12" s="3278">
        <v>365</v>
      </c>
      <c r="R12" s="3279">
        <f t="shared" si="0"/>
        <v>0</v>
      </c>
      <c r="S12" s="3232"/>
      <c r="T12" s="3232"/>
      <c r="U12" s="3232"/>
      <c r="V12" s="3241"/>
    </row>
    <row r="13" spans="1:22" s="3245" customFormat="1" ht="13.15" customHeight="1">
      <c r="A13" s="3288"/>
      <c r="B13" s="3291"/>
      <c r="C13" s="3292" t="s">
        <v>2788</v>
      </c>
      <c r="D13" s="3293"/>
      <c r="E13" s="3294"/>
      <c r="F13" s="3283"/>
      <c r="G13" s="3284"/>
      <c r="H13" s="3240"/>
      <c r="I13" s="3241"/>
      <c r="J13" s="3755"/>
      <c r="K13" s="3757"/>
      <c r="L13" s="3275" t="s">
        <v>2789</v>
      </c>
      <c r="M13" s="3276"/>
      <c r="N13" s="3252"/>
      <c r="O13" s="3277"/>
      <c r="P13" s="3277"/>
      <c r="Q13" s="3278">
        <v>365</v>
      </c>
      <c r="R13" s="3279">
        <f t="shared" si="0"/>
        <v>0</v>
      </c>
      <c r="S13" s="3232"/>
      <c r="T13" s="3232"/>
      <c r="U13" s="3232"/>
      <c r="V13" s="3241"/>
    </row>
    <row r="14" spans="1:22" s="3245" customFormat="1" ht="13.15" customHeight="1">
      <c r="A14" s="3288" t="s">
        <v>2790</v>
      </c>
      <c r="B14" s="3765" t="s">
        <v>2791</v>
      </c>
      <c r="C14" s="3766"/>
      <c r="D14" s="3289">
        <f>ROUND(E14*B5/10000,0)</f>
        <v>0</v>
      </c>
      <c r="E14" s="3278"/>
      <c r="F14" s="3283" t="s">
        <v>2792</v>
      </c>
      <c r="G14" s="3284"/>
      <c r="H14" s="3240"/>
      <c r="I14" s="3241"/>
      <c r="J14" s="3755"/>
      <c r="K14" s="3758"/>
      <c r="L14" s="3295" t="s">
        <v>2793</v>
      </c>
      <c r="M14" s="3296">
        <f>SUM(M7:M13)</f>
        <v>0</v>
      </c>
      <c r="N14" s="3296" t="e">
        <f>ROUND((N7*M7+N8*M8+N9*M9+N10*M10+N11*M11+N12*M12+N13*M13)/M14,0)</f>
        <v>#DIV/0!</v>
      </c>
      <c r="O14" s="3297"/>
      <c r="P14" s="3297"/>
      <c r="Q14" s="3298"/>
      <c r="R14" s="3244">
        <f>SUM(R7:R13)</f>
        <v>0</v>
      </c>
      <c r="S14" s="3232"/>
      <c r="T14" s="3232"/>
      <c r="U14" s="3232"/>
      <c r="V14" s="3241"/>
    </row>
    <row r="15" spans="1:22" s="3245" customFormat="1" ht="13.15" customHeight="1">
      <c r="A15" s="3288" t="s">
        <v>2794</v>
      </c>
      <c r="B15" s="3765" t="s">
        <v>2795</v>
      </c>
      <c r="C15" s="3766"/>
      <c r="D15" s="3289">
        <f>ROUND(D6*E15,0)</f>
        <v>0</v>
      </c>
      <c r="E15" s="3290">
        <v>5.5E-2</v>
      </c>
      <c r="F15" s="3283" t="s">
        <v>2796</v>
      </c>
      <c r="G15" s="3265"/>
      <c r="H15" s="3240"/>
      <c r="I15" s="3241"/>
      <c r="J15" s="3755">
        <v>2</v>
      </c>
      <c r="K15" s="3756" t="s">
        <v>2797</v>
      </c>
      <c r="L15" s="3275" t="s">
        <v>2798</v>
      </c>
      <c r="M15" s="3276" t="s">
        <v>2799</v>
      </c>
      <c r="N15" s="3276" t="s">
        <v>2800</v>
      </c>
      <c r="O15" s="3277" t="s">
        <v>2801</v>
      </c>
      <c r="P15" s="3277" t="s">
        <v>2802</v>
      </c>
      <c r="Q15" s="3252" t="s">
        <v>2803</v>
      </c>
      <c r="R15" s="3299" t="s">
        <v>2804</v>
      </c>
      <c r="S15" s="3232"/>
      <c r="T15" s="3232"/>
      <c r="U15" s="3232"/>
      <c r="V15" s="3241"/>
    </row>
    <row r="16" spans="1:22" s="3245" customFormat="1" ht="13.15" customHeight="1">
      <c r="A16" s="3288" t="s">
        <v>2805</v>
      </c>
      <c r="B16" s="3765" t="s">
        <v>2806</v>
      </c>
      <c r="C16" s="3766"/>
      <c r="D16" s="3300">
        <f>D6*E16</f>
        <v>0</v>
      </c>
      <c r="E16" s="3301"/>
      <c r="F16" s="3286" t="s">
        <v>2807</v>
      </c>
      <c r="G16" s="3265"/>
      <c r="H16" s="3240"/>
      <c r="I16" s="3241"/>
      <c r="J16" s="3755"/>
      <c r="K16" s="3757"/>
      <c r="L16" s="3275" t="s">
        <v>2808</v>
      </c>
      <c r="M16" s="3276"/>
      <c r="N16" s="3276"/>
      <c r="O16" s="3277"/>
      <c r="P16" s="3278">
        <v>365</v>
      </c>
      <c r="Q16" s="3252"/>
      <c r="R16" s="3299">
        <f>ROUND(M16*N16*O16*P16/10000,0)</f>
        <v>0</v>
      </c>
      <c r="S16" s="3232"/>
      <c r="T16" s="3232"/>
      <c r="U16" s="3232"/>
      <c r="V16" s="3241"/>
    </row>
    <row r="17" spans="1:22" s="3245" customFormat="1" ht="13.15" customHeight="1" thickBot="1">
      <c r="A17" s="3302">
        <v>4</v>
      </c>
      <c r="B17" s="3767" t="s">
        <v>2809</v>
      </c>
      <c r="C17" s="3768"/>
      <c r="D17" s="3303">
        <f>ROUND(D6*E17,0)</f>
        <v>0</v>
      </c>
      <c r="E17" s="3304"/>
      <c r="F17" s="3305" t="s">
        <v>2810</v>
      </c>
      <c r="G17" s="3265"/>
      <c r="H17" s="3240"/>
      <c r="I17" s="3241"/>
      <c r="J17" s="3755"/>
      <c r="K17" s="3757"/>
      <c r="L17" s="3275" t="s">
        <v>2811</v>
      </c>
      <c r="M17" s="3276"/>
      <c r="N17" s="3276"/>
      <c r="O17" s="3277"/>
      <c r="P17" s="3278">
        <v>365</v>
      </c>
      <c r="Q17" s="3252"/>
      <c r="R17" s="3299">
        <f>ROUND(M17*N17*O17*P17/10000,0)</f>
        <v>0</v>
      </c>
      <c r="S17" s="3232"/>
      <c r="T17" s="3232"/>
      <c r="U17" s="3232"/>
      <c r="V17" s="3241"/>
    </row>
    <row r="18" spans="1:22" s="3245" customFormat="1" ht="13.15" customHeight="1" thickBot="1">
      <c r="A18" s="3268" t="s">
        <v>2812</v>
      </c>
      <c r="B18" s="3269"/>
      <c r="C18" s="3269"/>
      <c r="D18" s="3306">
        <f>ROUND(D6*E18,0)</f>
        <v>0</v>
      </c>
      <c r="E18" s="3307"/>
      <c r="F18" s="3308" t="s">
        <v>2813</v>
      </c>
      <c r="G18" s="3265"/>
      <c r="H18" s="3240"/>
      <c r="I18" s="3241"/>
      <c r="J18" s="3755"/>
      <c r="K18" s="3757"/>
      <c r="L18" s="3275" t="s">
        <v>2814</v>
      </c>
      <c r="M18" s="3276"/>
      <c r="N18" s="3276"/>
      <c r="O18" s="3277"/>
      <c r="P18" s="3278">
        <v>365</v>
      </c>
      <c r="Q18" s="3252"/>
      <c r="R18" s="3299">
        <f>ROUND(M18*N18*O18*P18/10000,0)</f>
        <v>0</v>
      </c>
      <c r="S18" s="3232"/>
      <c r="T18" s="3232"/>
      <c r="U18" s="3232"/>
      <c r="V18" s="3241"/>
    </row>
    <row r="19" spans="1:22" s="3245" customFormat="1" ht="13.15" customHeight="1" thickBot="1">
      <c r="A19" s="3309" t="s">
        <v>2815</v>
      </c>
      <c r="B19" s="3263"/>
      <c r="C19" s="3263"/>
      <c r="D19" s="3263"/>
      <c r="E19" s="3263"/>
      <c r="F19" s="3264"/>
      <c r="G19" s="3284"/>
      <c r="H19" s="3240"/>
      <c r="I19" s="3241"/>
      <c r="J19" s="3755"/>
      <c r="K19" s="3758"/>
      <c r="L19" s="3295" t="s">
        <v>2793</v>
      </c>
      <c r="M19" s="3296"/>
      <c r="N19" s="3296">
        <f>SUM(N16:N18)</f>
        <v>0</v>
      </c>
      <c r="O19" s="3297"/>
      <c r="P19" s="3310" t="s">
        <v>2881</v>
      </c>
      <c r="Q19" s="3277"/>
      <c r="R19" s="3311">
        <f>ROUND(IF(P19="按比例",R14*Q19,SUM(R16:R18)),0)</f>
        <v>0</v>
      </c>
      <c r="S19" s="3232"/>
      <c r="T19" s="3232"/>
      <c r="U19" s="3232"/>
      <c r="V19" s="3241"/>
    </row>
    <row r="20" spans="1:22" s="3245" customFormat="1" ht="13.15" customHeight="1">
      <c r="A20" s="3268"/>
      <c r="B20" s="3269"/>
      <c r="C20" s="3269"/>
      <c r="D20" s="3269"/>
      <c r="E20" s="3269"/>
      <c r="F20" s="3312"/>
      <c r="G20" s="3284"/>
      <c r="H20" s="3240"/>
      <c r="I20" s="3241"/>
      <c r="J20" s="3755">
        <v>3</v>
      </c>
      <c r="K20" s="3756" t="s">
        <v>2816</v>
      </c>
      <c r="L20" s="3275" t="s">
        <v>2817</v>
      </c>
      <c r="M20" s="3276" t="s">
        <v>2818</v>
      </c>
      <c r="N20" s="3313" t="s">
        <v>2819</v>
      </c>
      <c r="O20" s="3277" t="s">
        <v>2820</v>
      </c>
      <c r="P20" s="3278" t="s">
        <v>2821</v>
      </c>
      <c r="Q20" s="3252" t="s">
        <v>2822</v>
      </c>
      <c r="R20" s="3299" t="s">
        <v>2764</v>
      </c>
      <c r="S20" s="3314"/>
      <c r="T20" s="3314"/>
      <c r="U20" s="3314"/>
      <c r="V20" s="3241"/>
    </row>
    <row r="21" spans="1:22" s="3245" customFormat="1" ht="13.15" customHeight="1">
      <c r="A21" s="3268"/>
      <c r="B21" s="3269"/>
      <c r="C21" s="3315" t="s">
        <v>2823</v>
      </c>
      <c r="D21" s="3316" t="s">
        <v>2824</v>
      </c>
      <c r="E21" s="3317" t="s">
        <v>2825</v>
      </c>
      <c r="F21" s="3312"/>
      <c r="G21" s="3284"/>
      <c r="H21" s="3240"/>
      <c r="I21" s="3241"/>
      <c r="J21" s="3755"/>
      <c r="K21" s="3757"/>
      <c r="L21" s="3275" t="s">
        <v>2826</v>
      </c>
      <c r="M21" s="3276"/>
      <c r="N21" s="3276"/>
      <c r="O21" s="3277"/>
      <c r="P21" s="3278">
        <v>365</v>
      </c>
      <c r="Q21" s="3252"/>
      <c r="R21" s="3318">
        <f>ROUND(M21*N21*O21*P21/10000,0)</f>
        <v>0</v>
      </c>
      <c r="S21" s="3314"/>
      <c r="T21" s="3314"/>
      <c r="U21" s="3314"/>
      <c r="V21" s="3241"/>
    </row>
    <row r="22" spans="1:22" s="3245" customFormat="1" ht="13.15" customHeight="1">
      <c r="A22" s="3268"/>
      <c r="B22" s="3269"/>
      <c r="C22" s="3319" t="s">
        <v>2827</v>
      </c>
      <c r="D22" s="3320" t="s">
        <v>2828</v>
      </c>
      <c r="E22" s="3321" t="s">
        <v>2829</v>
      </c>
      <c r="F22" s="3312"/>
      <c r="G22" s="3322"/>
      <c r="H22" s="3240"/>
      <c r="I22" s="3241"/>
      <c r="J22" s="3755"/>
      <c r="K22" s="3757"/>
      <c r="L22" s="3275" t="s">
        <v>2830</v>
      </c>
      <c r="M22" s="3276"/>
      <c r="N22" s="3276"/>
      <c r="O22" s="3277"/>
      <c r="P22" s="3278">
        <v>365</v>
      </c>
      <c r="Q22" s="3252"/>
      <c r="R22" s="3318">
        <f>ROUND(M22*N22*O22*P22/10000,0)</f>
        <v>0</v>
      </c>
      <c r="S22" s="3314"/>
      <c r="T22" s="3314"/>
      <c r="U22" s="3314"/>
      <c r="V22" s="3241"/>
    </row>
    <row r="23" spans="1:22" s="3245" customFormat="1" ht="13.15" customHeight="1">
      <c r="A23" s="3323">
        <v>1</v>
      </c>
      <c r="B23" s="3324" t="s">
        <v>2831</v>
      </c>
      <c r="C23" s="3325">
        <f>D6</f>
        <v>0</v>
      </c>
      <c r="D23" s="3326">
        <f>C23*(1+D24)</f>
        <v>0</v>
      </c>
      <c r="E23" s="3327">
        <f>D23*(1+E24)</f>
        <v>0</v>
      </c>
      <c r="F23" s="3328"/>
      <c r="G23" s="3329"/>
      <c r="H23" s="3240"/>
      <c r="I23" s="3241"/>
      <c r="J23" s="3755"/>
      <c r="K23" s="3757"/>
      <c r="L23" s="3275" t="s">
        <v>2832</v>
      </c>
      <c r="M23" s="3276"/>
      <c r="N23" s="3276"/>
      <c r="O23" s="3277"/>
      <c r="P23" s="3278">
        <v>365</v>
      </c>
      <c r="Q23" s="3252"/>
      <c r="R23" s="3318">
        <f>ROUND(M23*N23*O23*P23/10000,0)</f>
        <v>0</v>
      </c>
      <c r="S23" s="3232"/>
      <c r="T23" s="3232"/>
      <c r="U23" s="3232"/>
      <c r="V23" s="3241"/>
    </row>
    <row r="24" spans="1:22" s="3245" customFormat="1" ht="13.15" customHeight="1">
      <c r="A24" s="3330"/>
      <c r="B24" s="3331" t="s">
        <v>2833</v>
      </c>
      <c r="C24" s="3332"/>
      <c r="D24" s="3333"/>
      <c r="E24" s="3334"/>
      <c r="F24" s="3335"/>
      <c r="G24" s="3329"/>
      <c r="H24" s="3240"/>
      <c r="I24" s="3241"/>
      <c r="J24" s="3755"/>
      <c r="K24" s="3758"/>
      <c r="L24" s="3295" t="s">
        <v>2793</v>
      </c>
      <c r="M24" s="3296">
        <f>SUM(M21:M23)</f>
        <v>0</v>
      </c>
      <c r="N24" s="3296"/>
      <c r="O24" s="3297"/>
      <c r="P24" s="3310" t="s">
        <v>2881</v>
      </c>
      <c r="Q24" s="3277"/>
      <c r="R24" s="3311">
        <f>ROUND(IF(P24="按比例",R14*Q24,SUM(R21:R23)),0)</f>
        <v>0</v>
      </c>
      <c r="S24" s="3232"/>
      <c r="T24" s="3232"/>
      <c r="U24" s="3232"/>
      <c r="V24" s="3241"/>
    </row>
    <row r="25" spans="1:22" s="3342" customFormat="1" ht="13.15" customHeight="1">
      <c r="A25" s="3330"/>
      <c r="B25" s="3331"/>
      <c r="C25" s="3332"/>
      <c r="D25" s="3333"/>
      <c r="E25" s="3334"/>
      <c r="F25" s="3335"/>
      <c r="G25" s="3322"/>
      <c r="H25" s="3240"/>
      <c r="I25" s="3241"/>
      <c r="J25" s="3336">
        <v>4</v>
      </c>
      <c r="K25" s="3337" t="s">
        <v>2834</v>
      </c>
      <c r="L25" s="3338"/>
      <c r="M25" s="3338"/>
      <c r="N25" s="3338"/>
      <c r="O25" s="3338"/>
      <c r="P25" s="3339"/>
      <c r="Q25" s="3340"/>
      <c r="R25" s="3311">
        <f>ROUND(R14*Q25,0)</f>
        <v>0</v>
      </c>
      <c r="S25" s="3232"/>
      <c r="T25" s="3232"/>
      <c r="U25" s="3232"/>
      <c r="V25" s="3341"/>
    </row>
    <row r="26" spans="1:22" s="3342" customFormat="1" ht="13.15" customHeight="1">
      <c r="A26" s="3323">
        <v>2</v>
      </c>
      <c r="B26" s="3324" t="s">
        <v>2835</v>
      </c>
      <c r="C26" s="3325">
        <f>D7</f>
        <v>0</v>
      </c>
      <c r="D26" s="3326">
        <f>D23*D27</f>
        <v>0</v>
      </c>
      <c r="E26" s="3327">
        <f>E23*E27</f>
        <v>0</v>
      </c>
      <c r="F26" s="3328"/>
      <c r="G26" s="3329"/>
      <c r="H26" s="3240"/>
      <c r="I26" s="3241"/>
      <c r="J26" s="3759">
        <v>5</v>
      </c>
      <c r="K26" s="3343" t="s">
        <v>2836</v>
      </c>
      <c r="L26" s="3344"/>
      <c r="M26" s="3345"/>
      <c r="N26" s="3346" t="s">
        <v>2837</v>
      </c>
      <c r="O26" s="3346" t="s">
        <v>2838</v>
      </c>
      <c r="P26" s="3347" t="s">
        <v>2839</v>
      </c>
      <c r="Q26" s="3347" t="s">
        <v>2840</v>
      </c>
      <c r="R26" s="3250" t="s">
        <v>2841</v>
      </c>
      <c r="S26" s="3348"/>
      <c r="T26" s="3348"/>
      <c r="U26" s="3348"/>
      <c r="V26" s="3341"/>
    </row>
    <row r="27" spans="1:22" s="3245" customFormat="1" ht="13.15" customHeight="1">
      <c r="A27" s="3330"/>
      <c r="B27" s="3331" t="s">
        <v>2842</v>
      </c>
      <c r="C27" s="3349" t="e">
        <f>E7</f>
        <v>#DIV/0!</v>
      </c>
      <c r="D27" s="3333"/>
      <c r="E27" s="3334"/>
      <c r="F27" s="3335"/>
      <c r="G27" s="3329"/>
      <c r="H27" s="3350"/>
      <c r="I27" s="3341"/>
      <c r="J27" s="3760"/>
      <c r="K27" s="3351"/>
      <c r="L27" s="3352"/>
      <c r="M27" s="3353"/>
      <c r="N27" s="3354"/>
      <c r="O27" s="3354"/>
      <c r="P27" s="3354"/>
      <c r="Q27" s="3355"/>
      <c r="R27" s="3311">
        <f>ROUND(O27*N27*P27*(1-Q27)/10000,0)</f>
        <v>0</v>
      </c>
      <c r="S27" s="3232"/>
      <c r="T27" s="3232"/>
      <c r="U27" s="3232"/>
      <c r="V27" s="3241"/>
    </row>
    <row r="28" spans="1:22" s="3342" customFormat="1" ht="13.15" customHeight="1" thickBot="1">
      <c r="A28" s="3330"/>
      <c r="B28" s="3331"/>
      <c r="C28" s="3349"/>
      <c r="D28" s="3333"/>
      <c r="E28" s="3334" t="s">
        <v>2843</v>
      </c>
      <c r="F28" s="3335"/>
      <c r="G28" s="3322"/>
      <c r="H28" s="3350"/>
      <c r="I28" s="3341"/>
      <c r="J28" s="3356">
        <v>6</v>
      </c>
      <c r="K28" s="3357" t="s">
        <v>2844</v>
      </c>
      <c r="L28" s="3358" t="s">
        <v>2845</v>
      </c>
      <c r="M28" s="3359"/>
      <c r="N28" s="3358" t="s">
        <v>2846</v>
      </c>
      <c r="O28" s="3360"/>
      <c r="P28" s="3358" t="s">
        <v>2847</v>
      </c>
      <c r="Q28" s="3361">
        <v>1.4999999999999999E-2</v>
      </c>
      <c r="R28" s="3362"/>
      <c r="S28" s="3314"/>
      <c r="T28" s="3314"/>
      <c r="U28" s="3314"/>
      <c r="V28" s="3341"/>
    </row>
    <row r="29" spans="1:22" s="3342" customFormat="1" ht="13.15" customHeight="1">
      <c r="A29" s="3323">
        <v>3</v>
      </c>
      <c r="B29" s="3324" t="s">
        <v>2848</v>
      </c>
      <c r="C29" s="3325">
        <f>C23*C30</f>
        <v>0</v>
      </c>
      <c r="D29" s="3326">
        <f>D23*C30</f>
        <v>0</v>
      </c>
      <c r="E29" s="3327">
        <f>E23*C30</f>
        <v>0</v>
      </c>
      <c r="F29" s="3328"/>
      <c r="G29" s="3329"/>
      <c r="H29" s="3240"/>
      <c r="I29" s="3241"/>
      <c r="J29" s="3314"/>
      <c r="K29" s="3314"/>
      <c r="L29" s="3314"/>
      <c r="M29" s="3314"/>
      <c r="N29" s="3314"/>
      <c r="O29" s="3314"/>
      <c r="P29" s="3314"/>
      <c r="Q29" s="3314"/>
      <c r="R29" s="3314"/>
      <c r="S29" s="3314"/>
      <c r="T29" s="3314"/>
      <c r="U29" s="3314"/>
      <c r="V29" s="3341"/>
    </row>
    <row r="30" spans="1:22" s="3245" customFormat="1" ht="13.15" customHeight="1" thickBot="1">
      <c r="A30" s="3330"/>
      <c r="B30" s="3331" t="s">
        <v>2849</v>
      </c>
      <c r="C30" s="3349">
        <f>E18</f>
        <v>0</v>
      </c>
      <c r="D30" s="3363"/>
      <c r="E30" s="3294"/>
      <c r="F30" s="3335"/>
      <c r="G30" s="3329"/>
      <c r="H30" s="3350"/>
      <c r="I30" s="3341"/>
      <c r="J30" s="3314"/>
      <c r="K30" s="3314"/>
      <c r="L30" s="3314"/>
      <c r="M30" s="3314"/>
      <c r="N30" s="3314"/>
      <c r="O30" s="3314"/>
      <c r="P30" s="3314"/>
      <c r="Q30" s="3314"/>
      <c r="R30" s="3314"/>
      <c r="S30" s="3314"/>
      <c r="T30" s="3314"/>
      <c r="U30" s="3232"/>
      <c r="V30" s="3241"/>
    </row>
    <row r="31" spans="1:22" s="3342" customFormat="1" ht="13.15" customHeight="1">
      <c r="A31" s="3330"/>
      <c r="B31" s="3331"/>
      <c r="C31" s="3364"/>
      <c r="D31" s="3363"/>
      <c r="E31" s="3294"/>
      <c r="F31" s="3335"/>
      <c r="G31" s="3322"/>
      <c r="H31" s="3350"/>
      <c r="I31" s="3341"/>
      <c r="J31" s="3229" t="s">
        <v>2850</v>
      </c>
      <c r="K31" s="3230"/>
      <c r="L31" s="3230"/>
      <c r="M31" s="3230"/>
      <c r="N31" s="3230"/>
      <c r="O31" s="3230"/>
      <c r="P31" s="3230"/>
      <c r="Q31" s="3230"/>
      <c r="R31" s="3231"/>
      <c r="S31" s="3314"/>
      <c r="T31" s="3232"/>
      <c r="U31" s="3232"/>
      <c r="V31" s="3341"/>
    </row>
    <row r="32" spans="1:22" s="3342" customFormat="1" ht="13.15" customHeight="1">
      <c r="A32" s="3323">
        <v>4</v>
      </c>
      <c r="B32" s="3324" t="s">
        <v>2851</v>
      </c>
      <c r="C32" s="3325">
        <f>C23-C26-C29</f>
        <v>0</v>
      </c>
      <c r="D32" s="3326">
        <f>D23-D26-D29</f>
        <v>0</v>
      </c>
      <c r="E32" s="3327">
        <f>E23-E26-E29</f>
        <v>0</v>
      </c>
      <c r="F32" s="3328"/>
      <c r="G32" s="3322"/>
      <c r="H32" s="3240"/>
      <c r="I32" s="3241"/>
      <c r="J32" s="3761" t="s">
        <v>2852</v>
      </c>
      <c r="K32" s="3762"/>
      <c r="L32" s="3242" t="s">
        <v>2853</v>
      </c>
      <c r="M32" s="3242" t="s">
        <v>2742</v>
      </c>
      <c r="N32" s="3242" t="s">
        <v>2743</v>
      </c>
      <c r="O32" s="3242" t="s">
        <v>2744</v>
      </c>
      <c r="P32" s="3242" t="s">
        <v>2745</v>
      </c>
      <c r="Q32" s="3243" t="s">
        <v>2854</v>
      </c>
      <c r="R32" s="3365" t="s">
        <v>2855</v>
      </c>
      <c r="S32" s="3314"/>
      <c r="T32" s="3232"/>
      <c r="U32" s="3232"/>
      <c r="V32" s="3341"/>
    </row>
    <row r="33" spans="1:23" s="3245" customFormat="1" ht="13.15" customHeight="1">
      <c r="A33" s="3323"/>
      <c r="B33" s="3324"/>
      <c r="C33" s="3325"/>
      <c r="D33" s="3366"/>
      <c r="E33" s="3367"/>
      <c r="F33" s="3328"/>
      <c r="G33" s="3322"/>
      <c r="H33" s="3350"/>
      <c r="I33" s="3341"/>
      <c r="J33" s="3763" t="s">
        <v>2856</v>
      </c>
      <c r="K33" s="3764"/>
      <c r="L33" s="3248"/>
      <c r="M33" s="3248"/>
      <c r="N33" s="3248"/>
      <c r="O33" s="3248"/>
      <c r="P33" s="3248"/>
      <c r="Q33" s="3249"/>
      <c r="R33" s="3368">
        <f>SUM(L33:Q33)</f>
        <v>0</v>
      </c>
      <c r="S33" s="3314"/>
      <c r="T33" s="3232"/>
      <c r="U33" s="3232"/>
      <c r="V33" s="3241"/>
    </row>
    <row r="34" spans="1:23" s="3245" customFormat="1" ht="13.15" customHeight="1">
      <c r="A34" s="3323">
        <v>5</v>
      </c>
      <c r="B34" s="3324" t="s">
        <v>2857</v>
      </c>
      <c r="C34" s="3369"/>
      <c r="D34" s="3370"/>
      <c r="E34" s="3371"/>
      <c r="F34" s="3328"/>
      <c r="G34" s="3322"/>
      <c r="H34" s="3350"/>
      <c r="I34" s="3341"/>
      <c r="J34" s="3763" t="s">
        <v>2858</v>
      </c>
      <c r="K34" s="3764"/>
      <c r="L34" s="3253"/>
      <c r="M34" s="3253"/>
      <c r="N34" s="3253"/>
      <c r="O34" s="3253"/>
      <c r="P34" s="3253"/>
      <c r="Q34" s="3254"/>
      <c r="R34" s="3372">
        <f>SUM(L34:Q34)</f>
        <v>0</v>
      </c>
      <c r="S34" s="3314"/>
      <c r="T34" s="3232"/>
      <c r="U34" s="3232" t="e">
        <f>ROUND(R35*10000/365/R33,1)</f>
        <v>#DIV/0!</v>
      </c>
      <c r="V34" s="3241"/>
    </row>
    <row r="35" spans="1:23" s="3245" customFormat="1" ht="13.15" customHeight="1">
      <c r="A35" s="3323">
        <v>6</v>
      </c>
      <c r="B35" s="3324" t="s">
        <v>2859</v>
      </c>
      <c r="C35" s="3373"/>
      <c r="D35" s="3374"/>
      <c r="E35" s="3375"/>
      <c r="F35" s="3328"/>
      <c r="G35" s="3376"/>
      <c r="H35" s="3240"/>
      <c r="I35" s="3341"/>
      <c r="J35" s="3259" t="s">
        <v>2860</v>
      </c>
      <c r="K35" s="3260"/>
      <c r="L35" s="3260"/>
      <c r="M35" s="3261"/>
      <c r="N35" s="3261"/>
      <c r="O35" s="3261"/>
      <c r="P35" s="3261"/>
      <c r="Q35" s="3261"/>
      <c r="R35" s="3377">
        <f>R40+R41+R43</f>
        <v>0</v>
      </c>
      <c r="S35" s="3314"/>
      <c r="T35" s="3232" t="s">
        <v>2861</v>
      </c>
      <c r="U35" s="3232"/>
      <c r="V35" s="3241"/>
    </row>
    <row r="36" spans="1:23" s="3245" customFormat="1" ht="13.15" customHeight="1" thickBot="1">
      <c r="A36" s="3323">
        <v>7</v>
      </c>
      <c r="B36" s="3378" t="s">
        <v>2862</v>
      </c>
      <c r="C36" s="3379"/>
      <c r="D36" s="3380"/>
      <c r="E36" s="3381"/>
      <c r="F36" s="3382">
        <f>C36+D36+E36</f>
        <v>0</v>
      </c>
      <c r="G36" s="3322"/>
      <c r="H36" s="3240"/>
      <c r="I36" s="3241"/>
      <c r="J36" s="3755">
        <v>1</v>
      </c>
      <c r="K36" s="3756" t="s">
        <v>2863</v>
      </c>
      <c r="L36" s="3266"/>
      <c r="M36" s="3267"/>
      <c r="N36" s="3267"/>
      <c r="O36" s="3267"/>
      <c r="P36" s="3267"/>
      <c r="Q36" s="3267"/>
      <c r="R36" s="3250" t="s">
        <v>2764</v>
      </c>
      <c r="S36" s="3314"/>
      <c r="T36" s="3232" t="s">
        <v>2765</v>
      </c>
      <c r="U36" s="3232"/>
      <c r="V36" s="3241"/>
    </row>
    <row r="37" spans="1:23" s="3245" customFormat="1" ht="13.15" customHeight="1">
      <c r="A37" s="3323"/>
      <c r="B37" s="3324"/>
      <c r="C37" s="3324"/>
      <c r="D37" s="3324"/>
      <c r="E37" s="3324"/>
      <c r="F37" s="3328"/>
      <c r="G37" s="3322"/>
      <c r="H37" s="3240"/>
      <c r="I37" s="3241"/>
      <c r="J37" s="3755"/>
      <c r="K37" s="3757"/>
      <c r="L37" s="3275"/>
      <c r="M37" s="3276"/>
      <c r="N37" s="3252"/>
      <c r="O37" s="3277"/>
      <c r="P37" s="3277"/>
      <c r="Q37" s="3278"/>
      <c r="R37" s="3279"/>
      <c r="S37" s="3314"/>
      <c r="T37" s="3232" t="s">
        <v>2768</v>
      </c>
      <c r="U37" s="3232"/>
      <c r="V37" s="3241"/>
    </row>
    <row r="38" spans="1:23" s="3245" customFormat="1" ht="13.15" customHeight="1">
      <c r="A38" s="3323">
        <v>8</v>
      </c>
      <c r="B38" s="3324"/>
      <c r="C38" s="3281" t="e">
        <f>ROUND(C32*(1-((1+C35)/(1+C34))^C36)/(C34-C35),0)</f>
        <v>#DIV/0!</v>
      </c>
      <c r="D38" s="3281">
        <f>IF(D23=0,0,ROUND(D32*(1-((1+D35)/(1+D34))^D36)/(D34-D35),0))</f>
        <v>0</v>
      </c>
      <c r="E38" s="3281">
        <f>IF(E23=0,0,ROUND(E32*(1-((1+E35)/(1+E34))^E36)/(E34-E35),0))</f>
        <v>0</v>
      </c>
      <c r="F38" s="3328"/>
      <c r="G38" s="3322"/>
      <c r="H38" s="3240"/>
      <c r="I38" s="3241"/>
      <c r="J38" s="3755"/>
      <c r="K38" s="3757"/>
      <c r="L38" s="3275"/>
      <c r="M38" s="3276"/>
      <c r="N38" s="3252"/>
      <c r="O38" s="3277"/>
      <c r="P38" s="3277"/>
      <c r="Q38" s="3278"/>
      <c r="R38" s="3279"/>
      <c r="S38" s="3314"/>
      <c r="T38" s="3232" t="s">
        <v>2775</v>
      </c>
      <c r="U38" s="3232"/>
      <c r="V38" s="3241"/>
    </row>
    <row r="39" spans="1:23" s="3245" customFormat="1" ht="13.15" customHeight="1">
      <c r="A39" s="3323">
        <v>9</v>
      </c>
      <c r="B39" s="3324" t="s">
        <v>2864</v>
      </c>
      <c r="C39" s="3289" t="e">
        <f>C38</f>
        <v>#DIV/0!</v>
      </c>
      <c r="D39" s="3324">
        <f>D38/(1+D34)^C36</f>
        <v>0</v>
      </c>
      <c r="E39" s="3324">
        <f>E38/(1+E34)^(C36+D36)</f>
        <v>0</v>
      </c>
      <c r="F39" s="3328"/>
      <c r="G39" s="3383"/>
      <c r="H39" s="3240"/>
      <c r="I39" s="3241"/>
      <c r="J39" s="3755"/>
      <c r="K39" s="3757"/>
      <c r="L39" s="3275"/>
      <c r="M39" s="3276"/>
      <c r="N39" s="3252"/>
      <c r="O39" s="3277"/>
      <c r="P39" s="3277"/>
      <c r="Q39" s="3278"/>
      <c r="R39" s="3279"/>
      <c r="S39" s="3314"/>
      <c r="T39" s="3232"/>
      <c r="U39" s="3232"/>
      <c r="V39" s="3241"/>
    </row>
    <row r="40" spans="1:23" s="3245" customFormat="1" ht="13.15" customHeight="1">
      <c r="A40" s="3384">
        <v>10</v>
      </c>
      <c r="B40" s="3324" t="s">
        <v>2865</v>
      </c>
      <c r="C40" s="3385" t="e">
        <f>C39+D39+E39</f>
        <v>#DIV/0!</v>
      </c>
      <c r="D40" s="3386"/>
      <c r="E40" s="3386"/>
      <c r="F40" s="3387"/>
      <c r="G40" s="3322"/>
      <c r="H40" s="3240"/>
      <c r="I40" s="3241"/>
      <c r="J40" s="3755"/>
      <c r="K40" s="3758"/>
      <c r="L40" s="3295" t="s">
        <v>2866</v>
      </c>
      <c r="M40" s="3296"/>
      <c r="N40" s="3296"/>
      <c r="O40" s="3297"/>
      <c r="P40" s="3297"/>
      <c r="Q40" s="3298"/>
      <c r="R40" s="3244">
        <f>SUM(R37:R39)</f>
        <v>0</v>
      </c>
      <c r="S40" s="3314"/>
      <c r="T40" s="3232"/>
      <c r="U40" s="3232"/>
      <c r="V40" s="3241"/>
    </row>
    <row r="41" spans="1:23" s="3245" customFormat="1" ht="13.15" customHeight="1" thickBot="1">
      <c r="A41" s="3388">
        <v>11</v>
      </c>
      <c r="B41" s="3389" t="s">
        <v>2867</v>
      </c>
      <c r="C41" s="3389" t="e">
        <f>ROUND(C40*10000/B4,0)</f>
        <v>#DIV/0!</v>
      </c>
      <c r="D41" s="3390"/>
      <c r="E41" s="3390"/>
      <c r="F41" s="3391"/>
      <c r="G41" s="3392"/>
      <c r="H41" s="3240"/>
      <c r="I41" s="3241"/>
      <c r="J41" s="3336">
        <v>2</v>
      </c>
      <c r="K41" s="3337" t="s">
        <v>2868</v>
      </c>
      <c r="L41" s="3338"/>
      <c r="M41" s="3338"/>
      <c r="N41" s="3338"/>
      <c r="O41" s="3338"/>
      <c r="P41" s="3339"/>
      <c r="Q41" s="3340"/>
      <c r="R41" s="3311">
        <f>ROUND(R40*Q41,0)</f>
        <v>0</v>
      </c>
      <c r="S41" s="3314"/>
      <c r="T41" s="3232"/>
      <c r="U41" s="3348"/>
      <c r="V41" s="3241"/>
    </row>
    <row r="42" spans="1:23" s="3245" customFormat="1" ht="13.15" customHeight="1">
      <c r="G42" s="3392"/>
      <c r="H42" s="3240"/>
      <c r="I42" s="3241"/>
      <c r="J42" s="3759">
        <v>3</v>
      </c>
      <c r="K42" s="3343" t="s">
        <v>2869</v>
      </c>
      <c r="L42" s="3344"/>
      <c r="M42" s="3345"/>
      <c r="N42" s="3346" t="s">
        <v>2870</v>
      </c>
      <c r="O42" s="3346" t="s">
        <v>2871</v>
      </c>
      <c r="P42" s="3347" t="s">
        <v>2872</v>
      </c>
      <c r="Q42" s="3347" t="s">
        <v>2873</v>
      </c>
      <c r="R42" s="3250" t="s">
        <v>2874</v>
      </c>
      <c r="S42" s="3348"/>
      <c r="T42" s="3348"/>
      <c r="U42" s="3232"/>
      <c r="V42" s="3241"/>
    </row>
    <row r="43" spans="1:23" ht="13.15" customHeight="1">
      <c r="A43" s="3245"/>
      <c r="B43" s="3245"/>
      <c r="C43" s="3245"/>
      <c r="D43" s="3245"/>
      <c r="E43" s="3245"/>
      <c r="F43" s="3245"/>
      <c r="I43" s="3227"/>
      <c r="J43" s="3760"/>
      <c r="K43" s="3351"/>
      <c r="L43" s="3352"/>
      <c r="M43" s="3353"/>
      <c r="N43" s="3276"/>
      <c r="O43" s="3276"/>
      <c r="P43" s="3276"/>
      <c r="Q43" s="3340"/>
      <c r="R43" s="3311">
        <f>ROUND(O43*N43*P43*(1-Q43)/10000,0)</f>
        <v>0</v>
      </c>
      <c r="S43" s="3314"/>
      <c r="T43" s="3232"/>
      <c r="V43" s="3394"/>
      <c r="W43" s="3395"/>
    </row>
    <row r="44" spans="1:23" ht="13.15" customHeight="1" thickBot="1">
      <c r="J44" s="3356">
        <v>6</v>
      </c>
      <c r="K44" s="3357" t="s">
        <v>2875</v>
      </c>
      <c r="L44" s="3396" t="s">
        <v>2876</v>
      </c>
      <c r="M44" s="3359"/>
      <c r="N44" s="3396" t="s">
        <v>2877</v>
      </c>
      <c r="O44" s="3359"/>
      <c r="P44" s="3396" t="s">
        <v>2878</v>
      </c>
      <c r="Q44" s="3361">
        <v>1.4999999999999999E-2</v>
      </c>
      <c r="R44" s="3362"/>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4"/>
      <c r="D2" s="3174"/>
      <c r="E2" s="3174"/>
      <c r="F2" s="3174"/>
      <c r="G2" s="3174"/>
    </row>
    <row r="3" spans="1:25" s="1895" customFormat="1" ht="18" customHeight="1">
      <c r="A3" s="1285" t="s">
        <v>1485</v>
      </c>
      <c r="B3" s="418">
        <f ca="1">ROUND(B2*10000/'数据-汇总表'!E3,0)</f>
        <v>0</v>
      </c>
      <c r="C3" s="3174"/>
      <c r="D3" s="3174"/>
      <c r="E3" s="3174"/>
      <c r="F3" s="3174"/>
      <c r="G3" s="3174"/>
    </row>
    <row r="4" spans="1:25" s="1895" customFormat="1" ht="18" customHeight="1">
      <c r="A4" s="419" t="s">
        <v>462</v>
      </c>
      <c r="B4" s="420">
        <f ca="1">ROUND(B2*10000/'数据-汇总表'!D3,0)</f>
        <v>0</v>
      </c>
      <c r="C4" s="3127"/>
      <c r="D4" s="3174"/>
      <c r="E4" s="3174"/>
      <c r="F4" s="3174"/>
      <c r="G4" s="3174"/>
    </row>
    <row r="5" spans="1:25" s="1895" customFormat="1" ht="18" customHeight="1" thickBot="1">
      <c r="A5" s="422"/>
      <c r="B5" s="423">
        <f ca="1">ROUND(B2/('数据-汇总表'!D3/666.67),0)</f>
        <v>0</v>
      </c>
      <c r="C5" s="424" t="s">
        <v>463</v>
      </c>
      <c r="D5" s="3174"/>
      <c r="E5" s="3174"/>
      <c r="F5" s="3174"/>
      <c r="G5" s="3174"/>
    </row>
    <row r="6" spans="1:25" s="2017" customFormat="1" ht="13.5" customHeight="1">
      <c r="A6" s="717"/>
      <c r="B6" s="718" t="s">
        <v>586</v>
      </c>
      <c r="C6" s="719" t="s">
        <v>587</v>
      </c>
      <c r="D6" s="719" t="s">
        <v>588</v>
      </c>
      <c r="E6" s="720" t="s">
        <v>589</v>
      </c>
      <c r="F6" s="720" t="s">
        <v>590</v>
      </c>
      <c r="G6" s="3173" t="s">
        <v>2722</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7">
        <f t="shared" ref="C8:C9" si="0">ROUND(D8*E8/10000,0)</f>
        <v>0</v>
      </c>
      <c r="D8" s="3177">
        <v>0</v>
      </c>
      <c r="E8" s="3178">
        <v>0</v>
      </c>
      <c r="F8" s="723"/>
      <c r="G8" s="724"/>
    </row>
    <row r="9" spans="1:25" s="2017" customFormat="1" ht="13.5" customHeight="1">
      <c r="A9" s="2276" t="s">
        <v>2222</v>
      </c>
      <c r="B9" s="2279" t="s">
        <v>2224</v>
      </c>
      <c r="C9" s="3177">
        <f t="shared" si="0"/>
        <v>0</v>
      </c>
      <c r="D9" s="3177">
        <v>0</v>
      </c>
      <c r="E9" s="3178">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957</v>
      </c>
      <c r="D12" s="3177">
        <f>'数据-汇总表'!E5</f>
        <v>43511.83</v>
      </c>
      <c r="E12" s="3177">
        <f>'数据-取费表'!B27</f>
        <v>220</v>
      </c>
      <c r="F12" s="728"/>
      <c r="G12" s="731"/>
    </row>
    <row r="13" spans="1:25" s="2017" customFormat="1" ht="13.5" customHeight="1">
      <c r="A13" s="2282" t="s">
        <v>2228</v>
      </c>
      <c r="B13" s="729" t="s">
        <v>594</v>
      </c>
      <c r="C13" s="730">
        <f>ROUND(D13*E13/10000,0)</f>
        <v>177</v>
      </c>
      <c r="D13" s="3177">
        <f>'数据-汇总表'!E6</f>
        <v>8063.3099999999977</v>
      </c>
      <c r="E13" s="3177">
        <f>'数据-取费表'!B28</f>
        <v>220</v>
      </c>
      <c r="F13" s="728"/>
      <c r="G13" s="731"/>
    </row>
    <row r="14" spans="1:25" s="2017" customFormat="1" ht="13.5" customHeight="1">
      <c r="A14" s="2276" t="s">
        <v>2222</v>
      </c>
      <c r="B14" s="2281" t="s">
        <v>2225</v>
      </c>
      <c r="C14" s="3179">
        <f t="shared" ref="C14:C15" si="1">ROUND(D14*E14/10000,0)</f>
        <v>0</v>
      </c>
      <c r="D14" s="3177">
        <v>0</v>
      </c>
      <c r="E14" s="3178">
        <v>0</v>
      </c>
      <c r="F14" s="2280"/>
      <c r="G14" s="2283" t="s">
        <v>2230</v>
      </c>
    </row>
    <row r="15" spans="1:25" s="2017" customFormat="1" ht="13.5" customHeight="1">
      <c r="A15" s="2276" t="s">
        <v>2227</v>
      </c>
      <c r="B15" s="2281" t="s">
        <v>2226</v>
      </c>
      <c r="C15" s="3179">
        <f t="shared" si="1"/>
        <v>0</v>
      </c>
      <c r="D15" s="3177">
        <v>0</v>
      </c>
      <c r="E15" s="3178">
        <v>0</v>
      </c>
      <c r="F15" s="2280"/>
      <c r="G15" s="2283" t="s">
        <v>2231</v>
      </c>
    </row>
    <row r="16" spans="1:25" s="2018" customFormat="1" ht="48">
      <c r="A16" s="2276">
        <v>3</v>
      </c>
      <c r="B16" s="721" t="s">
        <v>597</v>
      </c>
      <c r="C16" s="3179">
        <f t="shared" ref="C16" si="2">ROUND(D16*E16/10000,0)</f>
        <v>0</v>
      </c>
      <c r="D16" s="3177">
        <v>0</v>
      </c>
      <c r="E16" s="3178">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6">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6">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0.875</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6" customFormat="1">
      <c r="A24" s="3175"/>
      <c r="D24" s="1837"/>
      <c r="E24" s="1837"/>
    </row>
    <row r="25" spans="1:25" s="3176" customFormat="1">
      <c r="A25" s="3175"/>
      <c r="D25" s="1837"/>
      <c r="E25" s="1837"/>
    </row>
    <row r="26" spans="1:25" s="3176" customFormat="1">
      <c r="A26" s="3175"/>
      <c r="D26" s="1837"/>
      <c r="E26" s="1837"/>
    </row>
    <row r="27" spans="1:25" s="3176" customFormat="1">
      <c r="A27" s="3175"/>
      <c r="D27" s="1837"/>
      <c r="E27" s="1837"/>
    </row>
    <row r="28" spans="1:25" s="3176" customFormat="1">
      <c r="A28" s="3175"/>
      <c r="D28" s="1837"/>
      <c r="E28" s="1837"/>
    </row>
    <row r="29" spans="1:25" s="3176" customFormat="1">
      <c r="A29" s="3175"/>
      <c r="D29" s="1837"/>
      <c r="E29" s="1837"/>
    </row>
    <row r="30" spans="1:25" s="3176" customFormat="1">
      <c r="A30" s="3175"/>
      <c r="D30" s="1837"/>
      <c r="E30" s="1837"/>
    </row>
    <row r="31" spans="1:25" s="3176" customFormat="1">
      <c r="A31" s="3175"/>
      <c r="D31" s="1837"/>
      <c r="E31" s="1837"/>
    </row>
    <row r="32" spans="1:25" s="3176" customFormat="1">
      <c r="A32" s="3175"/>
      <c r="D32" s="1837"/>
      <c r="E32" s="1837"/>
    </row>
    <row r="33" spans="1:5" s="3176" customFormat="1">
      <c r="A33" s="3175"/>
      <c r="D33" s="1837"/>
      <c r="E33" s="1837"/>
    </row>
    <row r="34" spans="1:5" s="3176" customFormat="1">
      <c r="A34" s="3175"/>
      <c r="D34" s="1837"/>
      <c r="E34" s="1837"/>
    </row>
    <row r="35" spans="1:5" s="3176" customFormat="1">
      <c r="A35" s="3175"/>
      <c r="D35" s="1837"/>
      <c r="E35" s="1837"/>
    </row>
    <row r="36" spans="1:5" s="3176" customFormat="1">
      <c r="A36" s="3175"/>
      <c r="D36" s="1837"/>
      <c r="E36" s="1837"/>
    </row>
    <row r="37" spans="1:5" s="3176" customFormat="1">
      <c r="A37" s="3175"/>
      <c r="D37" s="1837"/>
      <c r="E37" s="1837"/>
    </row>
    <row r="38" spans="1:5" s="3176" customFormat="1">
      <c r="A38" s="3175"/>
      <c r="D38" s="1837"/>
      <c r="E38" s="1837"/>
    </row>
    <row r="39" spans="1:5" s="3176" customFormat="1">
      <c r="A39" s="3175"/>
      <c r="D39" s="1837"/>
      <c r="E39" s="1837"/>
    </row>
    <row r="40" spans="1:5" s="3176" customFormat="1">
      <c r="A40" s="3175"/>
      <c r="D40" s="1837"/>
      <c r="E40" s="1837"/>
    </row>
    <row r="41" spans="1:5" s="3176" customFormat="1">
      <c r="A41" s="3175"/>
      <c r="D41" s="1837"/>
      <c r="E41" s="1837"/>
    </row>
    <row r="42" spans="1:5" s="3176" customFormat="1">
      <c r="A42" s="3175"/>
      <c r="D42" s="1837"/>
      <c r="E42" s="1837"/>
    </row>
    <row r="43" spans="1:5" s="3176" customFormat="1">
      <c r="A43" s="3175"/>
      <c r="D43" s="1837"/>
      <c r="E43" s="1837"/>
    </row>
    <row r="44" spans="1:5" s="3176" customFormat="1">
      <c r="A44" s="3175"/>
      <c r="D44" s="1837"/>
      <c r="E44" s="1837"/>
    </row>
    <row r="45" spans="1:5" s="3176" customFormat="1">
      <c r="A45" s="3175"/>
      <c r="D45" s="1837"/>
      <c r="E45" s="1837"/>
    </row>
    <row r="46" spans="1:5" s="3176" customFormat="1">
      <c r="A46" s="3175"/>
      <c r="D46" s="1837"/>
      <c r="E46" s="1837"/>
    </row>
    <row r="47" spans="1:5" s="3176" customFormat="1">
      <c r="A47" s="3175"/>
      <c r="D47" s="1837"/>
      <c r="E47" s="1837"/>
    </row>
    <row r="48" spans="1:5" s="3176" customFormat="1">
      <c r="A48" s="3175"/>
      <c r="D48" s="1837"/>
      <c r="E48" s="1837"/>
    </row>
    <row r="49" spans="1:5" s="3176" customFormat="1">
      <c r="A49" s="3175"/>
      <c r="D49" s="1837"/>
      <c r="E49" s="1837"/>
    </row>
    <row r="50" spans="1:5" s="3176" customFormat="1">
      <c r="A50" s="3175"/>
      <c r="D50" s="1837"/>
      <c r="E50" s="1837"/>
    </row>
    <row r="51" spans="1:5" s="3176" customFormat="1">
      <c r="A51" s="3175"/>
      <c r="D51" s="1837"/>
      <c r="E51" s="1837"/>
    </row>
    <row r="52" spans="1:5" s="3176" customFormat="1">
      <c r="A52" s="3175"/>
      <c r="D52" s="1837"/>
      <c r="E52" s="1837"/>
    </row>
    <row r="53" spans="1:5" s="3176" customFormat="1">
      <c r="A53" s="3175"/>
      <c r="D53" s="1837"/>
      <c r="E53" s="1837"/>
    </row>
    <row r="54" spans="1:5" s="3176" customFormat="1">
      <c r="A54" s="3175"/>
      <c r="D54" s="1837"/>
      <c r="E54" s="1837"/>
    </row>
    <row r="55" spans="1:5" s="3176" customFormat="1">
      <c r="A55" s="3175"/>
      <c r="D55" s="1837"/>
      <c r="E55" s="1837"/>
    </row>
    <row r="56" spans="1:5" s="3176" customFormat="1">
      <c r="A56" s="3175"/>
      <c r="D56" s="1837"/>
      <c r="E56" s="1837"/>
    </row>
    <row r="57" spans="1:5" s="3176" customFormat="1">
      <c r="A57" s="3175"/>
      <c r="D57" s="1837"/>
      <c r="E57" s="1837"/>
    </row>
    <row r="58" spans="1:5" s="3176" customFormat="1">
      <c r="A58" s="3175"/>
      <c r="D58" s="1837"/>
      <c r="E58" s="1837"/>
    </row>
    <row r="59" spans="1:5" s="3176" customFormat="1">
      <c r="A59" s="3175"/>
      <c r="D59" s="1837"/>
      <c r="E59" s="1837"/>
    </row>
    <row r="60" spans="1:5" s="3176" customFormat="1">
      <c r="A60" s="3175"/>
      <c r="D60" s="1837"/>
      <c r="E60" s="1837"/>
    </row>
    <row r="61" spans="1:5" s="3176" customFormat="1">
      <c r="A61" s="3175"/>
      <c r="D61" s="1837"/>
      <c r="E61" s="1837"/>
    </row>
    <row r="62" spans="1:5" s="3176" customFormat="1">
      <c r="A62" s="3175"/>
      <c r="D62" s="1837"/>
      <c r="E62" s="1837"/>
    </row>
    <row r="63" spans="1:5" s="3176" customFormat="1">
      <c r="A63" s="3175"/>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R67" sqref="R6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2388" t="s">
        <v>701</v>
      </c>
      <c r="C1" s="2389" t="s">
        <v>702</v>
      </c>
      <c r="D1" s="2390" t="s">
        <v>3217</v>
      </c>
      <c r="E1" s="1962"/>
      <c r="F1" s="2445" t="s">
        <v>3231</v>
      </c>
      <c r="G1" s="1486" t="s">
        <v>703</v>
      </c>
      <c r="H1" s="482"/>
      <c r="I1" s="482"/>
      <c r="J1" s="482"/>
      <c r="K1" s="483"/>
      <c r="L1" s="3116"/>
      <c r="M1" s="3117"/>
      <c r="N1" s="3117"/>
      <c r="O1" s="3117"/>
      <c r="P1" s="1454"/>
      <c r="Q1" s="1454"/>
      <c r="R1" s="1454"/>
      <c r="S1" s="1454"/>
      <c r="T1" s="1454"/>
      <c r="U1" s="1454"/>
      <c r="V1" s="1454"/>
      <c r="W1" s="1454"/>
      <c r="X1" s="1454"/>
      <c r="Y1" s="1454"/>
      <c r="Z1" s="1454"/>
      <c r="AA1" s="1454"/>
      <c r="AB1" s="1454"/>
      <c r="AC1" s="1455"/>
    </row>
    <row r="2" spans="1:29" s="1269" customFormat="1" ht="28.5" customHeight="1">
      <c r="A2" s="416" t="s">
        <v>461</v>
      </c>
      <c r="B2" s="2387">
        <f>ROUND(B3*D3/10000,0)</f>
        <v>92685</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69" customFormat="1" ht="28.5" customHeight="1" thickBot="1">
      <c r="A3" s="485" t="s">
        <v>502</v>
      </c>
      <c r="B3" s="822">
        <f>C49</f>
        <v>21301</v>
      </c>
      <c r="C3" s="823" t="s">
        <v>704</v>
      </c>
      <c r="D3" s="822">
        <f>SUMIF('数据-汇总表'!$C19:$C33,D1,'数据-汇总表'!$E19:$E33)</f>
        <v>43511.83</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68" t="s">
        <v>505</v>
      </c>
      <c r="D4" s="3669"/>
      <c r="E4" s="3690" t="s">
        <v>506</v>
      </c>
      <c r="F4" s="3691"/>
      <c r="G4" s="3668" t="s">
        <v>507</v>
      </c>
      <c r="H4" s="3669"/>
      <c r="I4" s="3668" t="s">
        <v>508</v>
      </c>
      <c r="J4" s="3669"/>
      <c r="K4" s="824" t="s">
        <v>509</v>
      </c>
      <c r="L4" s="1968"/>
      <c r="M4" s="1969"/>
      <c r="N4" s="1969"/>
      <c r="O4" s="1969"/>
      <c r="P4" s="3670" t="s">
        <v>510</v>
      </c>
      <c r="Q4" s="3671"/>
      <c r="R4" s="3654" t="s">
        <v>506</v>
      </c>
      <c r="S4" s="3655"/>
      <c r="T4" s="3654" t="s">
        <v>507</v>
      </c>
      <c r="U4" s="3655"/>
      <c r="V4" s="3676" t="s">
        <v>508</v>
      </c>
      <c r="W4" s="3676"/>
      <c r="X4" s="1456"/>
      <c r="Y4" s="3654" t="s">
        <v>510</v>
      </c>
      <c r="Z4" s="3655"/>
      <c r="AA4" s="3649" t="s">
        <v>506</v>
      </c>
      <c r="AB4" s="3649" t="s">
        <v>507</v>
      </c>
      <c r="AC4" s="3649" t="s">
        <v>508</v>
      </c>
    </row>
    <row r="5" spans="1:29" ht="15">
      <c r="A5" s="491"/>
      <c r="B5" s="492"/>
      <c r="C5" s="3679" t="str">
        <f>'不动产比较法-车位'!C5:D5</f>
        <v>A0102</v>
      </c>
      <c r="D5" s="3680"/>
      <c r="E5" s="3774" t="s">
        <v>4205</v>
      </c>
      <c r="F5" s="3693"/>
      <c r="G5" s="3775" t="s">
        <v>4204</v>
      </c>
      <c r="H5" s="3680"/>
      <c r="I5" s="3775" t="s">
        <v>4203</v>
      </c>
      <c r="J5" s="3680"/>
      <c r="K5" s="825"/>
      <c r="L5" s="1968"/>
      <c r="M5" s="1969"/>
      <c r="N5" s="1969"/>
      <c r="O5" s="1969"/>
      <c r="P5" s="3672"/>
      <c r="Q5" s="3673"/>
      <c r="R5" s="3656"/>
      <c r="S5" s="3657"/>
      <c r="T5" s="3656"/>
      <c r="U5" s="3657"/>
      <c r="V5" s="3676"/>
      <c r="W5" s="3676"/>
      <c r="X5" s="1456"/>
      <c r="Y5" s="3656"/>
      <c r="Z5" s="3657"/>
      <c r="AA5" s="3650"/>
      <c r="AB5" s="3650"/>
      <c r="AC5" s="3650"/>
    </row>
    <row r="6" spans="1:29" ht="15.75" thickBot="1">
      <c r="A6" s="493"/>
      <c r="B6" s="494"/>
      <c r="C6" s="3694" t="s">
        <v>2630</v>
      </c>
      <c r="D6" s="3678"/>
      <c r="E6" s="3776" t="s">
        <v>4206</v>
      </c>
      <c r="F6" s="3696"/>
      <c r="G6" s="3677" t="s">
        <v>4158</v>
      </c>
      <c r="H6" s="3678"/>
      <c r="I6" s="3677" t="s">
        <v>4158</v>
      </c>
      <c r="J6" s="3678"/>
      <c r="K6" s="825" t="s">
        <v>511</v>
      </c>
      <c r="L6" s="1968"/>
      <c r="M6" s="1969"/>
      <c r="N6" s="1969"/>
      <c r="O6" s="1969"/>
      <c r="P6" s="3674"/>
      <c r="Q6" s="3675"/>
      <c r="R6" s="3656"/>
      <c r="S6" s="3657"/>
      <c r="T6" s="3658"/>
      <c r="U6" s="3659"/>
      <c r="V6" s="3676"/>
      <c r="W6" s="3676"/>
      <c r="X6" s="1456"/>
      <c r="Y6" s="3658"/>
      <c r="Z6" s="3659"/>
      <c r="AA6" s="3651"/>
      <c r="AB6" s="3651"/>
      <c r="AC6" s="3651"/>
    </row>
    <row r="7" spans="1:29" s="1165" customFormat="1" ht="15.75" thickBot="1">
      <c r="A7" s="2550"/>
      <c r="B7" s="2557" t="s">
        <v>512</v>
      </c>
      <c r="C7" s="495">
        <f>'数据-取费表'!B2</f>
        <v>44735</v>
      </c>
      <c r="D7" s="496">
        <v>100</v>
      </c>
      <c r="E7" s="497">
        <v>44621</v>
      </c>
      <c r="F7" s="498">
        <f>SUMIF(58:58,YEAR(E7)&amp;"-"&amp;MONTH(E7),59:59)</f>
        <v>100</v>
      </c>
      <c r="G7" s="499">
        <v>44562</v>
      </c>
      <c r="H7" s="496">
        <f>SUMIF(58:58,YEAR(G7)&amp;"-"&amp;MONTH(G7),59:59)</f>
        <v>100</v>
      </c>
      <c r="I7" s="499">
        <v>44593</v>
      </c>
      <c r="J7" s="496">
        <f>SUMIF(58:58,YEAR(I7)&amp;"-"&amp;MONTH(I7),59:59)</f>
        <v>100</v>
      </c>
      <c r="K7" s="826"/>
      <c r="L7" s="1970"/>
      <c r="M7" s="1971"/>
      <c r="N7" s="1971"/>
      <c r="O7" s="1971"/>
      <c r="P7" s="3652" t="s">
        <v>513</v>
      </c>
      <c r="Q7" s="3661"/>
      <c r="R7" s="1457" t="s">
        <v>13</v>
      </c>
      <c r="S7" s="1458">
        <f t="shared" ref="S7:S15" si="0">F7</f>
        <v>100</v>
      </c>
      <c r="T7" s="1457" t="s">
        <v>13</v>
      </c>
      <c r="U7" s="1458">
        <f t="shared" ref="U7:U15" si="1">H7</f>
        <v>100</v>
      </c>
      <c r="V7" s="1457" t="s">
        <v>13</v>
      </c>
      <c r="W7" s="1458">
        <f t="shared" ref="W7:W15" si="2">J7</f>
        <v>100</v>
      </c>
      <c r="X7" s="1459"/>
      <c r="Y7" s="3652" t="s">
        <v>513</v>
      </c>
      <c r="Z7" s="3653"/>
      <c r="AA7" s="1460">
        <f>D7/F7</f>
        <v>1</v>
      </c>
      <c r="AB7" s="1460">
        <f>D7/H7</f>
        <v>1</v>
      </c>
      <c r="AC7" s="1460">
        <f>D7/J7</f>
        <v>1</v>
      </c>
    </row>
    <row r="8" spans="1:29" s="1165" customFormat="1" ht="15.75" thickBot="1">
      <c r="A8" s="2551"/>
      <c r="B8" s="2558" t="s">
        <v>514</v>
      </c>
      <c r="C8" s="501" t="s">
        <v>558</v>
      </c>
      <c r="D8" s="496">
        <v>100</v>
      </c>
      <c r="E8" s="827" t="s">
        <v>3234</v>
      </c>
      <c r="F8" s="498">
        <f>SUMIF(61:61,E8,62:62)-SUMIF(61:61,C8,62:62)+100</f>
        <v>100</v>
      </c>
      <c r="G8" s="827" t="s">
        <v>3234</v>
      </c>
      <c r="H8" s="496">
        <f>SUMIF(61:61,G8,62:62)-SUMIF(61:61,C8,62:62)+100</f>
        <v>100</v>
      </c>
      <c r="I8" s="827" t="s">
        <v>3234</v>
      </c>
      <c r="J8" s="496">
        <f>SUMIF(61:61,I8,62:62)-SUMIF(61:61,C8,62:62)+100</f>
        <v>100</v>
      </c>
      <c r="K8" s="826"/>
      <c r="L8" s="1970"/>
      <c r="M8" s="1971"/>
      <c r="N8" s="1971"/>
      <c r="O8" s="1971"/>
      <c r="P8" s="3652" t="s">
        <v>516</v>
      </c>
      <c r="Q8" s="3653"/>
      <c r="R8" s="1457" t="s">
        <v>13</v>
      </c>
      <c r="S8" s="1458">
        <f t="shared" si="0"/>
        <v>100</v>
      </c>
      <c r="T8" s="1457" t="s">
        <v>13</v>
      </c>
      <c r="U8" s="1458">
        <f t="shared" si="1"/>
        <v>100</v>
      </c>
      <c r="V8" s="1457" t="s">
        <v>13</v>
      </c>
      <c r="W8" s="1458">
        <f t="shared" si="2"/>
        <v>100</v>
      </c>
      <c r="X8" s="1459"/>
      <c r="Y8" s="3652" t="s">
        <v>516</v>
      </c>
      <c r="Z8" s="3653"/>
      <c r="AA8" s="1460">
        <f t="shared" ref="AA8:AA46" si="3">D8/F8</f>
        <v>1</v>
      </c>
      <c r="AB8" s="1460">
        <f t="shared" ref="AB8:AB46" si="4">D8/H8</f>
        <v>1</v>
      </c>
      <c r="AC8" s="1460">
        <f t="shared" ref="AC8:AC46" si="5">D8/J8</f>
        <v>1</v>
      </c>
    </row>
    <row r="9" spans="1:29" s="1165" customFormat="1" ht="15">
      <c r="A9" s="2552"/>
      <c r="B9" s="2559" t="s">
        <v>2473</v>
      </c>
      <c r="C9" s="3449" t="s">
        <v>3258</v>
      </c>
      <c r="D9" s="251">
        <v>100</v>
      </c>
      <c r="E9" s="829" t="s">
        <v>902</v>
      </c>
      <c r="F9" s="830">
        <f>SUMIF(63:63,E9,64:64)-SUMIF(63:63,C9,64:64)+100</f>
        <v>100</v>
      </c>
      <c r="G9" s="829" t="s">
        <v>902</v>
      </c>
      <c r="H9" s="251">
        <f>SUMIF(63:63,G9,64:64)-SUMIF(63:63,C9,64:64)+100</f>
        <v>100</v>
      </c>
      <c r="I9" s="829" t="s">
        <v>902</v>
      </c>
      <c r="J9" s="251">
        <f>SUMIF(63:63,I9,64:64)-SUMIF(63:63,C9,64:64)+100</f>
        <v>100</v>
      </c>
      <c r="K9" s="826"/>
      <c r="L9" s="1970"/>
      <c r="M9" s="1971"/>
      <c r="N9" s="1971"/>
      <c r="O9" s="1972"/>
      <c r="P9" s="3660" t="s">
        <v>518</v>
      </c>
      <c r="Q9" s="1096" t="str">
        <f t="shared" ref="Q9:Q15" si="6">B9</f>
        <v>用途</v>
      </c>
      <c r="R9" s="1457" t="s">
        <v>8</v>
      </c>
      <c r="S9" s="1458">
        <f t="shared" si="0"/>
        <v>100</v>
      </c>
      <c r="T9" s="1457" t="s">
        <v>8</v>
      </c>
      <c r="U9" s="1458">
        <f t="shared" si="1"/>
        <v>100</v>
      </c>
      <c r="V9" s="1457" t="s">
        <v>8</v>
      </c>
      <c r="W9" s="1458">
        <f t="shared" si="2"/>
        <v>100</v>
      </c>
      <c r="X9" s="1459"/>
      <c r="Y9" s="3608" t="s">
        <v>519</v>
      </c>
      <c r="Z9" s="1095" t="str">
        <f t="shared" ref="Z9:Z15" si="7">Q9</f>
        <v>用途</v>
      </c>
      <c r="AA9" s="1460">
        <f t="shared" si="3"/>
        <v>1</v>
      </c>
      <c r="AB9" s="1460">
        <f t="shared" si="4"/>
        <v>1</v>
      </c>
      <c r="AC9" s="1460">
        <f t="shared" si="5"/>
        <v>1</v>
      </c>
    </row>
    <row r="10" spans="1:29" s="1246" customFormat="1" ht="27">
      <c r="A10" s="2553"/>
      <c r="B10" s="2558" t="s">
        <v>2474</v>
      </c>
      <c r="C10" s="832" t="s">
        <v>3259</v>
      </c>
      <c r="D10" s="252">
        <v>100</v>
      </c>
      <c r="E10" s="833" t="s">
        <v>3260</v>
      </c>
      <c r="F10" s="834">
        <f>SUMIF(65:65,E10,66:66)-SUMIF(65:65,C10,66:66)+100</f>
        <v>101</v>
      </c>
      <c r="G10" s="833" t="s">
        <v>3260</v>
      </c>
      <c r="H10" s="252">
        <f>SUMIF(65:65,G10,66:66)-SUMIF(65:65,C10,66:66)+100</f>
        <v>101</v>
      </c>
      <c r="I10" s="833" t="s">
        <v>3260</v>
      </c>
      <c r="J10" s="252">
        <f>SUMIF(65:65,I10,66:66)-SUMIF(65:65,C10,66:66)+100</f>
        <v>101</v>
      </c>
      <c r="K10" s="835">
        <v>1</v>
      </c>
      <c r="L10" s="1973"/>
      <c r="M10" s="2012"/>
      <c r="N10" s="2012"/>
      <c r="O10" s="1974"/>
      <c r="P10" s="3660"/>
      <c r="Q10" s="1096" t="str">
        <f t="shared" si="6"/>
        <v>土地使用年限（年）</v>
      </c>
      <c r="R10" s="1457" t="s">
        <v>8</v>
      </c>
      <c r="S10" s="1458">
        <f t="shared" si="0"/>
        <v>101</v>
      </c>
      <c r="T10" s="1457" t="s">
        <v>8</v>
      </c>
      <c r="U10" s="1458">
        <f t="shared" si="1"/>
        <v>101</v>
      </c>
      <c r="V10" s="1457" t="s">
        <v>8</v>
      </c>
      <c r="W10" s="1458">
        <f t="shared" si="2"/>
        <v>101</v>
      </c>
      <c r="X10" s="1459"/>
      <c r="Y10" s="3608"/>
      <c r="Z10" s="1095" t="str">
        <f t="shared" si="7"/>
        <v>土地使用年限（年）</v>
      </c>
      <c r="AA10" s="1460">
        <f t="shared" si="3"/>
        <v>0.99009900990099009</v>
      </c>
      <c r="AB10" s="1460">
        <f t="shared" si="4"/>
        <v>0.99009900990099009</v>
      </c>
      <c r="AC10" s="1460">
        <f t="shared" si="5"/>
        <v>0.99009900990099009</v>
      </c>
    </row>
    <row r="11" spans="1:29" ht="15.75" thickBot="1">
      <c r="A11" s="2554"/>
      <c r="B11" s="2558" t="s">
        <v>2475</v>
      </c>
      <c r="C11" s="509">
        <f>'数据-汇总表'!I6</f>
        <v>0.45</v>
      </c>
      <c r="D11" s="252">
        <v>100</v>
      </c>
      <c r="E11" s="510">
        <v>1.4</v>
      </c>
      <c r="F11" s="834">
        <f>LOOKUP(E11,68:68,69:69)-LOOKUP(C11,68:68,69:69)+100</f>
        <v>95</v>
      </c>
      <c r="G11" s="509">
        <v>3.5</v>
      </c>
      <c r="H11" s="252">
        <f>LOOKUP(G11,68:68,69:69)-LOOKUP(C11,68:68,69:69)+100</f>
        <v>85</v>
      </c>
      <c r="I11" s="509">
        <v>1</v>
      </c>
      <c r="J11" s="252">
        <f>LOOKUP(I11,68:68,69:69)-LOOKUP(C11,68:68,69:69)+100</f>
        <v>95</v>
      </c>
      <c r="K11" s="835">
        <v>5</v>
      </c>
      <c r="L11" s="1975"/>
      <c r="M11" s="1969"/>
      <c r="N11" s="1969"/>
      <c r="O11" s="1976"/>
      <c r="P11" s="3660"/>
      <c r="Q11" s="1096" t="str">
        <f t="shared" si="6"/>
        <v>容积率</v>
      </c>
      <c r="R11" s="1457" t="s">
        <v>11</v>
      </c>
      <c r="S11" s="1458">
        <f t="shared" si="0"/>
        <v>95</v>
      </c>
      <c r="T11" s="1457" t="s">
        <v>11</v>
      </c>
      <c r="U11" s="1458">
        <f t="shared" si="1"/>
        <v>85</v>
      </c>
      <c r="V11" s="1457" t="s">
        <v>11</v>
      </c>
      <c r="W11" s="1458">
        <f t="shared" si="2"/>
        <v>95</v>
      </c>
      <c r="X11" s="1459"/>
      <c r="Y11" s="3608"/>
      <c r="Z11" s="1095" t="str">
        <f t="shared" si="7"/>
        <v>容积率</v>
      </c>
      <c r="AA11" s="1460">
        <f t="shared" si="3"/>
        <v>1.0526315789473684</v>
      </c>
      <c r="AB11" s="1460">
        <f t="shared" si="4"/>
        <v>1.1764705882352942</v>
      </c>
      <c r="AC11" s="1460">
        <f t="shared" si="5"/>
        <v>1.0526315789473684</v>
      </c>
    </row>
    <row r="12" spans="1:29" s="1165" customFormat="1" ht="15" hidden="1">
      <c r="A12" s="2555"/>
      <c r="B12" s="2561">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60"/>
      <c r="Q12" s="1096">
        <f t="shared" si="6"/>
        <v>111</v>
      </c>
      <c r="R12" s="1457" t="s">
        <v>11</v>
      </c>
      <c r="S12" s="1458">
        <f t="shared" si="0"/>
        <v>100</v>
      </c>
      <c r="T12" s="1457" t="s">
        <v>11</v>
      </c>
      <c r="U12" s="1458">
        <f t="shared" si="1"/>
        <v>100</v>
      </c>
      <c r="V12" s="1457" t="s">
        <v>11</v>
      </c>
      <c r="W12" s="1458">
        <f t="shared" si="2"/>
        <v>100</v>
      </c>
      <c r="X12" s="1459"/>
      <c r="Y12" s="3608"/>
      <c r="Z12" s="1095">
        <f t="shared" si="7"/>
        <v>111</v>
      </c>
      <c r="AA12" s="1460">
        <f>D12/F12</f>
        <v>1</v>
      </c>
      <c r="AB12" s="1460">
        <f>D12/H12</f>
        <v>1</v>
      </c>
      <c r="AC12" s="1460">
        <f>D12/J12</f>
        <v>1</v>
      </c>
    </row>
    <row r="13" spans="1:29" ht="15" hidden="1">
      <c r="A13" s="2555"/>
      <c r="B13" s="2561">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60"/>
      <c r="Q13" s="1096">
        <f t="shared" si="6"/>
        <v>111</v>
      </c>
      <c r="R13" s="1457" t="s">
        <v>11</v>
      </c>
      <c r="S13" s="1458">
        <f t="shared" si="0"/>
        <v>100</v>
      </c>
      <c r="T13" s="1457" t="s">
        <v>11</v>
      </c>
      <c r="U13" s="1458">
        <f t="shared" si="1"/>
        <v>100</v>
      </c>
      <c r="V13" s="1457" t="s">
        <v>11</v>
      </c>
      <c r="W13" s="1458">
        <f t="shared" si="2"/>
        <v>100</v>
      </c>
      <c r="X13" s="1459"/>
      <c r="Y13" s="3608"/>
      <c r="Z13" s="1095">
        <f t="shared" si="7"/>
        <v>111</v>
      </c>
      <c r="AA13" s="1460">
        <f t="shared" si="3"/>
        <v>1</v>
      </c>
      <c r="AB13" s="1460">
        <f t="shared" si="4"/>
        <v>1</v>
      </c>
      <c r="AC13" s="1460">
        <f t="shared" si="5"/>
        <v>1</v>
      </c>
    </row>
    <row r="14" spans="1:29" ht="15.75" hidden="1" thickBot="1">
      <c r="A14" s="2556"/>
      <c r="B14" s="2562">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60"/>
      <c r="Q14" s="1096">
        <f t="shared" si="6"/>
        <v>111</v>
      </c>
      <c r="R14" s="1457" t="s">
        <v>11</v>
      </c>
      <c r="S14" s="1458">
        <f t="shared" si="0"/>
        <v>100</v>
      </c>
      <c r="T14" s="1457" t="s">
        <v>11</v>
      </c>
      <c r="U14" s="1458">
        <f t="shared" si="1"/>
        <v>100</v>
      </c>
      <c r="V14" s="1457" t="s">
        <v>11</v>
      </c>
      <c r="W14" s="1458">
        <f t="shared" si="2"/>
        <v>100</v>
      </c>
      <c r="X14" s="1459"/>
      <c r="Y14" s="3608"/>
      <c r="Z14" s="1095">
        <f t="shared" si="7"/>
        <v>111</v>
      </c>
      <c r="AA14" s="1460">
        <f t="shared" si="3"/>
        <v>1</v>
      </c>
      <c r="AB14" s="1460">
        <f t="shared" si="4"/>
        <v>1</v>
      </c>
      <c r="AC14" s="1460">
        <f t="shared" si="5"/>
        <v>1</v>
      </c>
    </row>
    <row r="15" spans="1:29" ht="15">
      <c r="A15" s="2548" t="s">
        <v>2471</v>
      </c>
      <c r="B15" s="164" t="s">
        <v>295</v>
      </c>
      <c r="C15" s="838">
        <f>估价对象房地状况!C3</f>
        <v>0</v>
      </c>
      <c r="D15" s="525">
        <v>100</v>
      </c>
      <c r="E15" s="526"/>
      <c r="F15" s="527">
        <f>SUMIF(76:76,E16,77:77)-SUMIF(76:76,C16,77:77)+100</f>
        <v>103</v>
      </c>
      <c r="G15" s="528"/>
      <c r="H15" s="525">
        <f>SUMIF(76:76,G16,77:77)-SUMIF(76:76,C16,77:77)+100</f>
        <v>103</v>
      </c>
      <c r="I15" s="526"/>
      <c r="J15" s="525">
        <f>SUMIF(76:76,I16,77:77)-SUMIF(76:76,C16,77:77)+100</f>
        <v>100</v>
      </c>
      <c r="K15" s="839">
        <v>3</v>
      </c>
      <c r="L15" s="1977"/>
      <c r="M15" s="1969"/>
      <c r="N15" s="1969"/>
      <c r="O15" s="1976"/>
      <c r="P15" s="3662" t="s">
        <v>523</v>
      </c>
      <c r="Q15" s="1461" t="str">
        <f t="shared" si="6"/>
        <v>居住社区成熟度</v>
      </c>
      <c r="R15" s="1462" t="s">
        <v>11</v>
      </c>
      <c r="S15" s="1463">
        <f t="shared" si="0"/>
        <v>103</v>
      </c>
      <c r="T15" s="1462" t="s">
        <v>11</v>
      </c>
      <c r="U15" s="1463">
        <f t="shared" si="1"/>
        <v>103</v>
      </c>
      <c r="V15" s="1462" t="s">
        <v>11</v>
      </c>
      <c r="W15" s="1463">
        <f t="shared" si="2"/>
        <v>100</v>
      </c>
      <c r="X15" s="1456"/>
      <c r="Y15" s="3662" t="s">
        <v>523</v>
      </c>
      <c r="Z15" s="1464" t="str">
        <f t="shared" si="7"/>
        <v>居住社区成熟度</v>
      </c>
      <c r="AA15" s="1465">
        <f t="shared" si="3"/>
        <v>0.970873786407767</v>
      </c>
      <c r="AB15" s="1465">
        <f t="shared" si="4"/>
        <v>0.970873786407767</v>
      </c>
      <c r="AC15" s="1465">
        <f t="shared" si="5"/>
        <v>1</v>
      </c>
    </row>
    <row r="16" spans="1:29" ht="15">
      <c r="A16" s="508"/>
      <c r="B16" s="840"/>
      <c r="C16" s="552" t="s">
        <v>3237</v>
      </c>
      <c r="D16" s="531"/>
      <c r="E16" s="552" t="s">
        <v>3257</v>
      </c>
      <c r="F16" s="533"/>
      <c r="G16" s="552" t="s">
        <v>3257</v>
      </c>
      <c r="H16" s="535"/>
      <c r="I16" s="552" t="s">
        <v>3237</v>
      </c>
      <c r="J16" s="531"/>
      <c r="K16" s="841"/>
      <c r="L16" s="1977"/>
      <c r="M16" s="1969"/>
      <c r="N16" s="1969"/>
      <c r="O16" s="1976"/>
      <c r="P16" s="3663"/>
      <c r="Q16" s="1461"/>
      <c r="R16" s="1462"/>
      <c r="S16" s="1463"/>
      <c r="T16" s="1462"/>
      <c r="U16" s="1463"/>
      <c r="V16" s="1462"/>
      <c r="W16" s="1463"/>
      <c r="X16" s="1456"/>
      <c r="Y16" s="3663"/>
      <c r="Z16" s="1464"/>
      <c r="AA16" s="1465">
        <v>1</v>
      </c>
      <c r="AB16" s="1465">
        <v>1</v>
      </c>
      <c r="AC16" s="1465">
        <v>1</v>
      </c>
    </row>
    <row r="17" spans="1:29" ht="15">
      <c r="A17" s="508"/>
      <c r="B17" s="842" t="s">
        <v>296</v>
      </c>
      <c r="C17" s="843">
        <f>估价对象房地状况!C6</f>
        <v>0</v>
      </c>
      <c r="D17" s="535">
        <v>100</v>
      </c>
      <c r="E17" s="538"/>
      <c r="F17" s="539">
        <f>SUMIF(78:78,E18,79:79)-SUMIF(78:78,C18,79:79)+100</f>
        <v>100</v>
      </c>
      <c r="G17" s="540"/>
      <c r="H17" s="541">
        <f>SUMIF(78:78,G18,79:79)-SUMIF(78:78,C18,79:79)+100</f>
        <v>100</v>
      </c>
      <c r="I17" s="538"/>
      <c r="J17" s="541">
        <f>SUMIF(78:78,I18,79:79)-SUMIF(78:78,C18,79:79)+100</f>
        <v>100</v>
      </c>
      <c r="K17" s="839">
        <v>3</v>
      </c>
      <c r="L17" s="1977"/>
      <c r="M17" s="1969"/>
      <c r="N17" s="1969"/>
      <c r="O17" s="1976"/>
      <c r="P17" s="3663"/>
      <c r="Q17" s="1461" t="str">
        <f>B17</f>
        <v>交通便捷度</v>
      </c>
      <c r="R17" s="1462" t="s">
        <v>11</v>
      </c>
      <c r="S17" s="1463">
        <f>F17</f>
        <v>100</v>
      </c>
      <c r="T17" s="1462" t="s">
        <v>11</v>
      </c>
      <c r="U17" s="1463">
        <f>H17</f>
        <v>100</v>
      </c>
      <c r="V17" s="1462" t="s">
        <v>11</v>
      </c>
      <c r="W17" s="1463">
        <f>J17</f>
        <v>100</v>
      </c>
      <c r="X17" s="1456"/>
      <c r="Y17" s="3663"/>
      <c r="Z17" s="1464" t="str">
        <f>Q17</f>
        <v>交通便捷度</v>
      </c>
      <c r="AA17" s="1465">
        <f t="shared" si="3"/>
        <v>1</v>
      </c>
      <c r="AB17" s="1465">
        <f t="shared" si="4"/>
        <v>1</v>
      </c>
      <c r="AC17" s="1465">
        <f t="shared" si="5"/>
        <v>1</v>
      </c>
    </row>
    <row r="18" spans="1:29" ht="15">
      <c r="A18" s="508"/>
      <c r="B18" s="571"/>
      <c r="C18" s="844" t="s">
        <v>3237</v>
      </c>
      <c r="D18" s="535"/>
      <c r="E18" s="844" t="s">
        <v>3237</v>
      </c>
      <c r="F18" s="539"/>
      <c r="G18" s="844" t="s">
        <v>3237</v>
      </c>
      <c r="H18" s="531"/>
      <c r="I18" s="844" t="s">
        <v>3237</v>
      </c>
      <c r="J18" s="531"/>
      <c r="K18" s="841"/>
      <c r="L18" s="1977"/>
      <c r="M18" s="1969"/>
      <c r="N18" s="1969"/>
      <c r="O18" s="1976"/>
      <c r="P18" s="3663"/>
      <c r="Q18" s="1461"/>
      <c r="R18" s="1462"/>
      <c r="S18" s="1463"/>
      <c r="T18" s="1462"/>
      <c r="U18" s="1463"/>
      <c r="V18" s="1462"/>
      <c r="W18" s="1463"/>
      <c r="X18" s="1456"/>
      <c r="Y18" s="3663"/>
      <c r="Z18" s="1464"/>
      <c r="AA18" s="1465">
        <v>1</v>
      </c>
      <c r="AB18" s="1465">
        <v>1</v>
      </c>
      <c r="AC18" s="1465">
        <v>1</v>
      </c>
    </row>
    <row r="19" spans="1:29" ht="15">
      <c r="A19" s="508"/>
      <c r="B19" s="2365" t="s">
        <v>2264</v>
      </c>
      <c r="C19" s="843">
        <f>估价对象房地状况!C7</f>
        <v>0</v>
      </c>
      <c r="D19" s="541">
        <v>100</v>
      </c>
      <c r="E19" s="546"/>
      <c r="F19" s="547">
        <f>SUMIF(80:80,E20,81:81)-SUMIF(80:80,C20,81:81)+100</f>
        <v>100</v>
      </c>
      <c r="G19" s="548"/>
      <c r="H19" s="535">
        <f>SUMIF(80:80,G20,81:81)-SUMIF(80:80,C20,81:81)+100</f>
        <v>100</v>
      </c>
      <c r="I19" s="546"/>
      <c r="J19" s="535">
        <f>SUMIF(80:80,I20,81:81)-SUMIF(80:80,C20,81:81)+100</f>
        <v>100</v>
      </c>
      <c r="K19" s="839">
        <v>2</v>
      </c>
      <c r="L19" s="1977"/>
      <c r="M19" s="1969"/>
      <c r="N19" s="1969"/>
      <c r="O19" s="1976"/>
      <c r="P19" s="3663"/>
      <c r="Q19" s="1461" t="str">
        <f>B19</f>
        <v>公共配套设施</v>
      </c>
      <c r="R19" s="1462" t="s">
        <v>11</v>
      </c>
      <c r="S19" s="1463">
        <f>F19</f>
        <v>100</v>
      </c>
      <c r="T19" s="1462" t="s">
        <v>11</v>
      </c>
      <c r="U19" s="1463">
        <f>H19</f>
        <v>100</v>
      </c>
      <c r="V19" s="1462" t="s">
        <v>11</v>
      </c>
      <c r="W19" s="1463">
        <f>J19</f>
        <v>100</v>
      </c>
      <c r="X19" s="1456"/>
      <c r="Y19" s="3663"/>
      <c r="Z19" s="1464" t="str">
        <f>Q19</f>
        <v>公共配套设施</v>
      </c>
      <c r="AA19" s="1465">
        <f t="shared" si="3"/>
        <v>1</v>
      </c>
      <c r="AB19" s="1465">
        <f t="shared" si="4"/>
        <v>1</v>
      </c>
      <c r="AC19" s="1465">
        <f t="shared" si="5"/>
        <v>1</v>
      </c>
    </row>
    <row r="20" spans="1:29" ht="15">
      <c r="A20" s="508"/>
      <c r="B20" s="571"/>
      <c r="C20" s="552" t="s">
        <v>3237</v>
      </c>
      <c r="D20" s="531"/>
      <c r="E20" s="552" t="s">
        <v>3237</v>
      </c>
      <c r="F20" s="533"/>
      <c r="G20" s="552" t="s">
        <v>3237</v>
      </c>
      <c r="H20" s="531"/>
      <c r="I20" s="552" t="s">
        <v>3237</v>
      </c>
      <c r="J20" s="531"/>
      <c r="K20" s="841"/>
      <c r="L20" s="1977"/>
      <c r="M20" s="1969"/>
      <c r="N20" s="1969"/>
      <c r="O20" s="1976"/>
      <c r="P20" s="3663"/>
      <c r="Q20" s="1461"/>
      <c r="R20" s="1462"/>
      <c r="S20" s="1463"/>
      <c r="T20" s="1462"/>
      <c r="U20" s="1463"/>
      <c r="V20" s="1462"/>
      <c r="W20" s="1463"/>
      <c r="X20" s="1456"/>
      <c r="Y20" s="3663"/>
      <c r="Z20" s="1464"/>
      <c r="AA20" s="1465">
        <v>1</v>
      </c>
      <c r="AB20" s="1465">
        <v>1</v>
      </c>
      <c r="AC20" s="1465">
        <v>1</v>
      </c>
    </row>
    <row r="21" spans="1:29" ht="15">
      <c r="A21" s="508"/>
      <c r="B21" s="2358" t="s">
        <v>2276</v>
      </c>
      <c r="C21" s="843">
        <f>估价对象房地状况!C8</f>
        <v>0</v>
      </c>
      <c r="D21" s="541">
        <v>100</v>
      </c>
      <c r="E21" s="548"/>
      <c r="F21" s="547">
        <f>SUMIF(82:82,E22,83:83)-SUMIF(82:82,C22,83:83)+100</f>
        <v>100</v>
      </c>
      <c r="G21" s="548"/>
      <c r="H21" s="541">
        <f>SUMIF(82:82,G22,83:83)-SUMIF(82:82,C22,83:83)+100</f>
        <v>100</v>
      </c>
      <c r="I21" s="546"/>
      <c r="J21" s="541">
        <f>SUMIF(82:82,I22,83:83)-SUMIF(82:82,C22,83:83)+100</f>
        <v>100</v>
      </c>
      <c r="K21" s="839">
        <v>1</v>
      </c>
      <c r="L21" s="1977"/>
      <c r="M21" s="1969"/>
      <c r="N21" s="1969"/>
      <c r="O21" s="1976"/>
      <c r="P21" s="3663"/>
      <c r="Q21" s="2350" t="str">
        <f>B21</f>
        <v>基础设施水平</v>
      </c>
      <c r="R21" s="1462" t="s">
        <v>11</v>
      </c>
      <c r="S21" s="1463">
        <f>F21</f>
        <v>100</v>
      </c>
      <c r="T21" s="1462" t="s">
        <v>11</v>
      </c>
      <c r="U21" s="1463">
        <f>H21</f>
        <v>100</v>
      </c>
      <c r="V21" s="1462" t="s">
        <v>11</v>
      </c>
      <c r="W21" s="1463">
        <f>J21</f>
        <v>100</v>
      </c>
      <c r="X21" s="2352"/>
      <c r="Y21" s="3663"/>
      <c r="Z21" s="2351" t="str">
        <f>Q21</f>
        <v>基础设施水平</v>
      </c>
      <c r="AA21" s="1465">
        <f t="shared" ref="AA21" si="8">D21/F21</f>
        <v>1</v>
      </c>
      <c r="AB21" s="1465">
        <f t="shared" ref="AB21" si="9">D21/H21</f>
        <v>1</v>
      </c>
      <c r="AC21" s="1465">
        <f t="shared" ref="AC21" si="10">D21/J21</f>
        <v>1</v>
      </c>
    </row>
    <row r="22" spans="1:29" ht="15">
      <c r="A22" s="508"/>
      <c r="B22" s="892"/>
      <c r="C22" s="844" t="s">
        <v>3238</v>
      </c>
      <c r="D22" s="531"/>
      <c r="E22" s="844" t="s">
        <v>3238</v>
      </c>
      <c r="F22" s="533"/>
      <c r="G22" s="844" t="s">
        <v>3238</v>
      </c>
      <c r="H22" s="531"/>
      <c r="I22" s="844" t="s">
        <v>3238</v>
      </c>
      <c r="J22" s="531"/>
      <c r="K22" s="2364"/>
      <c r="L22" s="1977"/>
      <c r="M22" s="1969"/>
      <c r="N22" s="1969"/>
      <c r="O22" s="1976"/>
      <c r="P22" s="3663"/>
      <c r="Q22" s="2350"/>
      <c r="R22" s="1462"/>
      <c r="S22" s="1463"/>
      <c r="T22" s="1462"/>
      <c r="U22" s="1463"/>
      <c r="V22" s="1462"/>
      <c r="W22" s="1463"/>
      <c r="X22" s="2352"/>
      <c r="Y22" s="3663"/>
      <c r="Z22" s="2351"/>
      <c r="AA22" s="1465">
        <v>1</v>
      </c>
      <c r="AB22" s="1465">
        <v>1</v>
      </c>
      <c r="AC22" s="1465">
        <v>1</v>
      </c>
    </row>
    <row r="23" spans="1:29" ht="15">
      <c r="A23" s="508"/>
      <c r="B23" s="842" t="s">
        <v>297</v>
      </c>
      <c r="C23" s="843">
        <f>估价对象房地状况!C9</f>
        <v>0</v>
      </c>
      <c r="D23" s="535">
        <v>100</v>
      </c>
      <c r="E23" s="538"/>
      <c r="F23" s="539">
        <f>SUMIF(84:84,E24,85:85)-SUMIF(84:84,C24,85:85)+100</f>
        <v>100</v>
      </c>
      <c r="G23" s="540"/>
      <c r="H23" s="535">
        <f>SUMIF(84:84,G24,85:85)-SUMIF(84:84,C24,85:85)+100</f>
        <v>100</v>
      </c>
      <c r="I23" s="538"/>
      <c r="J23" s="535">
        <f>SUMIF(84:84,I24,85:85)-SUMIF(84:84,C24,85:85)+100</f>
        <v>100</v>
      </c>
      <c r="K23" s="839">
        <v>2</v>
      </c>
      <c r="L23" s="1977"/>
      <c r="M23" s="1969"/>
      <c r="N23" s="1969"/>
      <c r="O23" s="1976"/>
      <c r="P23" s="3663"/>
      <c r="Q23" s="1461" t="str">
        <f>B23</f>
        <v>自然及人文环境</v>
      </c>
      <c r="R23" s="1462" t="s">
        <v>11</v>
      </c>
      <c r="S23" s="1463">
        <f>F23</f>
        <v>100</v>
      </c>
      <c r="T23" s="1462" t="s">
        <v>11</v>
      </c>
      <c r="U23" s="1463">
        <f>H23</f>
        <v>100</v>
      </c>
      <c r="V23" s="1462" t="s">
        <v>11</v>
      </c>
      <c r="W23" s="1463">
        <f>J23</f>
        <v>100</v>
      </c>
      <c r="X23" s="1456"/>
      <c r="Y23" s="3663"/>
      <c r="Z23" s="1464" t="str">
        <f>Q23</f>
        <v>自然及人文环境</v>
      </c>
      <c r="AA23" s="1465">
        <f t="shared" si="3"/>
        <v>1</v>
      </c>
      <c r="AB23" s="1465">
        <f t="shared" si="4"/>
        <v>1</v>
      </c>
      <c r="AC23" s="1465">
        <f t="shared" si="5"/>
        <v>1</v>
      </c>
    </row>
    <row r="24" spans="1:29" ht="15.75" thickBot="1">
      <c r="A24" s="508"/>
      <c r="B24" s="571"/>
      <c r="C24" s="552" t="s">
        <v>3237</v>
      </c>
      <c r="D24" s="531"/>
      <c r="E24" s="552" t="s">
        <v>3237</v>
      </c>
      <c r="F24" s="533"/>
      <c r="G24" s="552" t="s">
        <v>3237</v>
      </c>
      <c r="H24" s="531"/>
      <c r="I24" s="552" t="s">
        <v>3237</v>
      </c>
      <c r="J24" s="531"/>
      <c r="K24" s="841"/>
      <c r="L24" s="1977"/>
      <c r="M24" s="1969"/>
      <c r="N24" s="1969"/>
      <c r="O24" s="1976"/>
      <c r="P24" s="3663"/>
      <c r="Q24" s="1461"/>
      <c r="R24" s="1462"/>
      <c r="S24" s="1463"/>
      <c r="T24" s="1462"/>
      <c r="U24" s="1463"/>
      <c r="V24" s="1462"/>
      <c r="W24" s="1463"/>
      <c r="X24" s="1456"/>
      <c r="Y24" s="3663"/>
      <c r="Z24" s="1464"/>
      <c r="AA24" s="1465">
        <v>1</v>
      </c>
      <c r="AB24" s="1465">
        <v>1</v>
      </c>
      <c r="AC24" s="1465">
        <v>1</v>
      </c>
    </row>
    <row r="25" spans="1:29" ht="15" hidden="1">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63"/>
      <c r="Q25" s="1461" t="str">
        <f t="shared" ref="Q25:Q46" si="11">B25</f>
        <v>楼层-1</v>
      </c>
      <c r="R25" s="1462" t="s">
        <v>11</v>
      </c>
      <c r="S25" s="1463">
        <f>F25</f>
        <v>100</v>
      </c>
      <c r="T25" s="1462" t="s">
        <v>11</v>
      </c>
      <c r="U25" s="1463">
        <f>H25</f>
        <v>100</v>
      </c>
      <c r="V25" s="1462" t="s">
        <v>11</v>
      </c>
      <c r="W25" s="1463">
        <f>J25</f>
        <v>100</v>
      </c>
      <c r="X25" s="1456"/>
      <c r="Y25" s="3663"/>
      <c r="Z25" s="1464" t="str">
        <f>Q25</f>
        <v>楼层-1</v>
      </c>
      <c r="AA25" s="1465">
        <f t="shared" si="3"/>
        <v>1</v>
      </c>
      <c r="AB25" s="1465">
        <f t="shared" si="4"/>
        <v>1</v>
      </c>
      <c r="AC25" s="1465">
        <f t="shared" si="5"/>
        <v>1</v>
      </c>
    </row>
    <row r="26" spans="1:29" ht="15" hidden="1">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63"/>
      <c r="Q26" s="1461" t="str">
        <f t="shared" si="11"/>
        <v>朝向</v>
      </c>
      <c r="R26" s="1462" t="s">
        <v>11</v>
      </c>
      <c r="S26" s="1463">
        <f>F26</f>
        <v>100</v>
      </c>
      <c r="T26" s="1462" t="s">
        <v>11</v>
      </c>
      <c r="U26" s="1463">
        <f>H26</f>
        <v>100</v>
      </c>
      <c r="V26" s="1462" t="s">
        <v>11</v>
      </c>
      <c r="W26" s="1463">
        <f>J26</f>
        <v>100</v>
      </c>
      <c r="X26" s="1456"/>
      <c r="Y26" s="3663"/>
      <c r="Z26" s="1464" t="str">
        <f>Q26</f>
        <v>朝向</v>
      </c>
      <c r="AA26" s="1465">
        <f t="shared" si="3"/>
        <v>1</v>
      </c>
      <c r="AB26" s="1465">
        <f t="shared" si="4"/>
        <v>1</v>
      </c>
      <c r="AC26" s="1465">
        <f t="shared" si="5"/>
        <v>1</v>
      </c>
    </row>
    <row r="27" spans="1:29" s="1165" customFormat="1" ht="15" hidden="1">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63"/>
      <c r="Q27" s="1096" t="str">
        <f t="shared" si="11"/>
        <v>道路级别</v>
      </c>
      <c r="R27" s="1457" t="s">
        <v>11</v>
      </c>
      <c r="S27" s="1458">
        <f>F27</f>
        <v>100</v>
      </c>
      <c r="T27" s="1457" t="s">
        <v>11</v>
      </c>
      <c r="U27" s="1458">
        <f>H27</f>
        <v>100</v>
      </c>
      <c r="V27" s="1457" t="s">
        <v>11</v>
      </c>
      <c r="W27" s="1458">
        <f>J27</f>
        <v>100</v>
      </c>
      <c r="X27" s="1459"/>
      <c r="Y27" s="3663"/>
      <c r="Z27" s="1095" t="str">
        <f>Q27</f>
        <v>道路级别</v>
      </c>
      <c r="AA27" s="1465">
        <f>D27/F27</f>
        <v>1</v>
      </c>
      <c r="AB27" s="1465">
        <f>D27/H27</f>
        <v>1</v>
      </c>
      <c r="AC27" s="1465">
        <f>D27/J27</f>
        <v>1</v>
      </c>
    </row>
    <row r="28" spans="1:29" ht="1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63"/>
      <c r="Q28" s="1461">
        <f t="shared" si="11"/>
        <v>111</v>
      </c>
      <c r="R28" s="1462" t="s">
        <v>11</v>
      </c>
      <c r="S28" s="1463">
        <f t="shared" ref="S28:S46" si="12">F28</f>
        <v>100</v>
      </c>
      <c r="T28" s="1462" t="s">
        <v>11</v>
      </c>
      <c r="U28" s="1463">
        <f t="shared" ref="U28:U46" si="13">H28</f>
        <v>100</v>
      </c>
      <c r="V28" s="1462" t="s">
        <v>11</v>
      </c>
      <c r="W28" s="1463">
        <f t="shared" ref="W28:W46" si="14">J28</f>
        <v>100</v>
      </c>
      <c r="X28" s="1456"/>
      <c r="Y28" s="3663"/>
      <c r="Z28" s="1464">
        <f t="shared" ref="Z28:Z46" si="15">Q28</f>
        <v>111</v>
      </c>
      <c r="AA28" s="1465">
        <f t="shared" si="3"/>
        <v>1</v>
      </c>
      <c r="AB28" s="1465">
        <f t="shared" si="4"/>
        <v>1</v>
      </c>
      <c r="AC28" s="1465">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63"/>
      <c r="Q29" s="1461">
        <f t="shared" si="11"/>
        <v>111</v>
      </c>
      <c r="R29" s="1462" t="s">
        <v>11</v>
      </c>
      <c r="S29" s="1463">
        <f t="shared" si="12"/>
        <v>100</v>
      </c>
      <c r="T29" s="1462" t="s">
        <v>11</v>
      </c>
      <c r="U29" s="1463">
        <f t="shared" si="13"/>
        <v>100</v>
      </c>
      <c r="V29" s="1462" t="s">
        <v>11</v>
      </c>
      <c r="W29" s="1463">
        <f t="shared" si="14"/>
        <v>100</v>
      </c>
      <c r="X29" s="1456"/>
      <c r="Y29" s="3663"/>
      <c r="Z29" s="1464">
        <f t="shared" si="15"/>
        <v>111</v>
      </c>
      <c r="AA29" s="1465">
        <f t="shared" si="3"/>
        <v>1</v>
      </c>
      <c r="AB29" s="1465">
        <f t="shared" si="4"/>
        <v>1</v>
      </c>
      <c r="AC29" s="1465">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63"/>
      <c r="Q30" s="1461">
        <f t="shared" si="11"/>
        <v>111</v>
      </c>
      <c r="R30" s="1462" t="s">
        <v>11</v>
      </c>
      <c r="S30" s="1463">
        <f t="shared" si="12"/>
        <v>100</v>
      </c>
      <c r="T30" s="1462" t="s">
        <v>11</v>
      </c>
      <c r="U30" s="1463">
        <f t="shared" si="13"/>
        <v>100</v>
      </c>
      <c r="V30" s="1462" t="s">
        <v>11</v>
      </c>
      <c r="W30" s="1463">
        <f t="shared" si="14"/>
        <v>100</v>
      </c>
      <c r="X30" s="1456"/>
      <c r="Y30" s="3663"/>
      <c r="Z30" s="1464">
        <f t="shared" si="15"/>
        <v>111</v>
      </c>
      <c r="AA30" s="1465">
        <f t="shared" si="3"/>
        <v>1</v>
      </c>
      <c r="AB30" s="1465">
        <f t="shared" si="4"/>
        <v>1</v>
      </c>
      <c r="AC30" s="1465">
        <f t="shared" si="5"/>
        <v>1</v>
      </c>
    </row>
    <row r="31" spans="1:29" ht="15.75"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63"/>
      <c r="Q31" s="1461">
        <f t="shared" si="11"/>
        <v>111</v>
      </c>
      <c r="R31" s="1462" t="s">
        <v>11</v>
      </c>
      <c r="S31" s="1463">
        <f t="shared" si="12"/>
        <v>100</v>
      </c>
      <c r="T31" s="1462" t="s">
        <v>11</v>
      </c>
      <c r="U31" s="1463">
        <f t="shared" si="13"/>
        <v>100</v>
      </c>
      <c r="V31" s="1462" t="s">
        <v>11</v>
      </c>
      <c r="W31" s="1463">
        <f t="shared" si="14"/>
        <v>100</v>
      </c>
      <c r="X31" s="1456"/>
      <c r="Y31" s="3663"/>
      <c r="Z31" s="1464">
        <f t="shared" si="15"/>
        <v>111</v>
      </c>
      <c r="AA31" s="1465">
        <f t="shared" si="3"/>
        <v>1</v>
      </c>
      <c r="AB31" s="1465">
        <f t="shared" si="4"/>
        <v>1</v>
      </c>
      <c r="AC31" s="1465">
        <f t="shared" si="5"/>
        <v>1</v>
      </c>
    </row>
    <row r="32" spans="1:29" ht="15">
      <c r="A32" s="2545" t="s">
        <v>2472</v>
      </c>
      <c r="B32" s="170" t="s">
        <v>707</v>
      </c>
      <c r="C32" s="849" t="s">
        <v>3217</v>
      </c>
      <c r="D32" s="573">
        <v>100</v>
      </c>
      <c r="E32" s="849" t="s">
        <v>4201</v>
      </c>
      <c r="F32" s="551">
        <f>SUMIF(100:100,E32,101:101)-SUMIF(100:100,C32,101:101)+100</f>
        <v>93</v>
      </c>
      <c r="G32" s="849" t="s">
        <v>4201</v>
      </c>
      <c r="H32" s="573">
        <f>SUMIF(100:100,G32,101:101)-SUMIF(100:100,C32,101:101)+100</f>
        <v>93</v>
      </c>
      <c r="I32" s="849" t="s">
        <v>3217</v>
      </c>
      <c r="J32" s="516">
        <f>SUMIF(100:100,I32,101:101)-SUMIF(100:100,C32,101:101)+100</f>
        <v>100</v>
      </c>
      <c r="K32" s="835">
        <v>7</v>
      </c>
      <c r="L32" s="1977"/>
      <c r="M32" s="1969"/>
      <c r="N32" s="1969"/>
      <c r="O32" s="1976"/>
      <c r="P32" s="3664" t="s">
        <v>533</v>
      </c>
      <c r="Q32" s="1461" t="str">
        <f t="shared" si="11"/>
        <v>建筑类型</v>
      </c>
      <c r="R32" s="1462" t="s">
        <v>11</v>
      </c>
      <c r="S32" s="1463">
        <f t="shared" si="12"/>
        <v>93</v>
      </c>
      <c r="T32" s="1462" t="s">
        <v>11</v>
      </c>
      <c r="U32" s="1463">
        <f t="shared" si="13"/>
        <v>93</v>
      </c>
      <c r="V32" s="1462" t="s">
        <v>11</v>
      </c>
      <c r="W32" s="1463">
        <f t="shared" si="14"/>
        <v>100</v>
      </c>
      <c r="X32" s="1456"/>
      <c r="Y32" s="3665" t="s">
        <v>533</v>
      </c>
      <c r="Z32" s="1464" t="str">
        <f t="shared" si="15"/>
        <v>建筑类型</v>
      </c>
      <c r="AA32" s="1465">
        <f t="shared" si="3"/>
        <v>1.075268817204301</v>
      </c>
      <c r="AB32" s="1465">
        <f t="shared" si="4"/>
        <v>1.075268817204301</v>
      </c>
      <c r="AC32" s="1465">
        <f t="shared" si="5"/>
        <v>1</v>
      </c>
    </row>
    <row r="33" spans="1:29" s="1247" customFormat="1" ht="15">
      <c r="A33" s="579"/>
      <c r="B33" s="503" t="s">
        <v>708</v>
      </c>
      <c r="C33" s="850">
        <f>'数据-汇总表'!E3</f>
        <v>51575.14</v>
      </c>
      <c r="D33" s="252">
        <v>100</v>
      </c>
      <c r="E33" s="510">
        <v>14814.6</v>
      </c>
      <c r="F33" s="834">
        <f>LOOKUP(E33,103:103,104:104)-LOOKUP(C33,103:103,104:104)+100</f>
        <v>100</v>
      </c>
      <c r="G33" s="509">
        <v>79081.7</v>
      </c>
      <c r="H33" s="252">
        <f>LOOKUP(G33,103:103,104:104)-LOOKUP(C33,103:103,104:104)+100</f>
        <v>100</v>
      </c>
      <c r="I33" s="510">
        <v>25455.439999999999</v>
      </c>
      <c r="J33" s="252">
        <f>LOOKUP(I33,103:103,104:104)-LOOKUP(C33,103:103,104:104)+100</f>
        <v>100</v>
      </c>
      <c r="K33" s="836"/>
      <c r="L33" s="1975"/>
      <c r="M33" s="2005"/>
      <c r="N33" s="2005"/>
      <c r="O33" s="1978"/>
      <c r="P33" s="3665"/>
      <c r="Q33" s="1490" t="str">
        <f t="shared" si="11"/>
        <v>项目建筑规模</v>
      </c>
      <c r="R33" s="1466" t="s">
        <v>11</v>
      </c>
      <c r="S33" s="1467">
        <f t="shared" si="12"/>
        <v>100</v>
      </c>
      <c r="T33" s="1466" t="s">
        <v>11</v>
      </c>
      <c r="U33" s="1467">
        <f t="shared" si="13"/>
        <v>100</v>
      </c>
      <c r="V33" s="1466" t="s">
        <v>11</v>
      </c>
      <c r="W33" s="1467">
        <f t="shared" si="14"/>
        <v>100</v>
      </c>
      <c r="X33" s="1468"/>
      <c r="Y33" s="3665"/>
      <c r="Z33" s="1469" t="str">
        <f t="shared" si="15"/>
        <v>项目建筑规模</v>
      </c>
      <c r="AA33" s="1465">
        <f t="shared" si="3"/>
        <v>1</v>
      </c>
      <c r="AB33" s="1465">
        <f t="shared" si="4"/>
        <v>1</v>
      </c>
      <c r="AC33" s="1465">
        <f t="shared" si="5"/>
        <v>1</v>
      </c>
    </row>
    <row r="34" spans="1:29" ht="15">
      <c r="A34" s="570"/>
      <c r="B34" s="503" t="s">
        <v>709</v>
      </c>
      <c r="C34" s="851" t="s">
        <v>3249</v>
      </c>
      <c r="D34" s="516">
        <v>100</v>
      </c>
      <c r="E34" s="851" t="s">
        <v>3249</v>
      </c>
      <c r="F34" s="551">
        <f>SUMIF(105:105,E34,106:106)-SUMIF(105:105,C34,106:106)+100</f>
        <v>100</v>
      </c>
      <c r="G34" s="851" t="s">
        <v>3249</v>
      </c>
      <c r="H34" s="516">
        <f>SUMIF(105:105,G34,106:106)-SUMIF(105:105,C34,106:106)+100</f>
        <v>100</v>
      </c>
      <c r="I34" s="851" t="s">
        <v>3249</v>
      </c>
      <c r="J34" s="516">
        <f>SUMIF(105:105,I34,106:106)-SUMIF(105:105,C34,106:106)+100</f>
        <v>100</v>
      </c>
      <c r="K34" s="835">
        <v>1</v>
      </c>
      <c r="L34" s="1977"/>
      <c r="M34" s="1969"/>
      <c r="N34" s="1969"/>
      <c r="O34" s="1976"/>
      <c r="P34" s="3665"/>
      <c r="Q34" s="1461" t="str">
        <f t="shared" si="11"/>
        <v>建筑结构</v>
      </c>
      <c r="R34" s="1462" t="s">
        <v>11</v>
      </c>
      <c r="S34" s="1463">
        <f t="shared" si="12"/>
        <v>100</v>
      </c>
      <c r="T34" s="1462" t="s">
        <v>11</v>
      </c>
      <c r="U34" s="1463">
        <f t="shared" si="13"/>
        <v>100</v>
      </c>
      <c r="V34" s="1462" t="s">
        <v>11</v>
      </c>
      <c r="W34" s="1463">
        <f t="shared" si="14"/>
        <v>100</v>
      </c>
      <c r="X34" s="1456"/>
      <c r="Y34" s="3665"/>
      <c r="Z34" s="1464" t="str">
        <f t="shared" si="15"/>
        <v>建筑结构</v>
      </c>
      <c r="AA34" s="1465">
        <f t="shared" si="3"/>
        <v>1</v>
      </c>
      <c r="AB34" s="1465">
        <f t="shared" si="4"/>
        <v>1</v>
      </c>
      <c r="AC34" s="1465">
        <f t="shared" si="5"/>
        <v>1</v>
      </c>
    </row>
    <row r="35" spans="1:29" ht="15">
      <c r="A35" s="570"/>
      <c r="B35" s="503" t="s">
        <v>710</v>
      </c>
      <c r="C35" s="575" t="s">
        <v>3251</v>
      </c>
      <c r="D35" s="516">
        <v>100</v>
      </c>
      <c r="E35" s="575" t="s">
        <v>3251</v>
      </c>
      <c r="F35" s="551">
        <f>SUMIF(107:107,E35,108:108)-SUMIF(107:107,C35,108:108)+100</f>
        <v>100</v>
      </c>
      <c r="G35" s="575" t="s">
        <v>3251</v>
      </c>
      <c r="H35" s="516">
        <f>SUMIF(107:107,G35,108:108)-SUMIF(107:107,C35,108:108)+100</f>
        <v>100</v>
      </c>
      <c r="I35" s="575" t="s">
        <v>3251</v>
      </c>
      <c r="J35" s="516">
        <f>SUMIF(107:107,I35,108:108)-SUMIF(107:107,C35,108:108)+100</f>
        <v>100</v>
      </c>
      <c r="K35" s="835">
        <v>1</v>
      </c>
      <c r="L35" s="1977"/>
      <c r="M35" s="1969"/>
      <c r="N35" s="1969"/>
      <c r="O35" s="1976"/>
      <c r="P35" s="3665"/>
      <c r="Q35" s="1461" t="str">
        <f t="shared" si="11"/>
        <v>建筑品质</v>
      </c>
      <c r="R35" s="1462" t="s">
        <v>11</v>
      </c>
      <c r="S35" s="1463">
        <f t="shared" si="12"/>
        <v>100</v>
      </c>
      <c r="T35" s="1462" t="s">
        <v>11</v>
      </c>
      <c r="U35" s="1463">
        <f t="shared" si="13"/>
        <v>100</v>
      </c>
      <c r="V35" s="1462" t="s">
        <v>11</v>
      </c>
      <c r="W35" s="1463">
        <f t="shared" si="14"/>
        <v>100</v>
      </c>
      <c r="X35" s="1456"/>
      <c r="Y35" s="3665"/>
      <c r="Z35" s="1464" t="str">
        <f t="shared" si="15"/>
        <v>建筑品质</v>
      </c>
      <c r="AA35" s="1465">
        <f t="shared" si="3"/>
        <v>1</v>
      </c>
      <c r="AB35" s="1465">
        <f t="shared" si="4"/>
        <v>1</v>
      </c>
      <c r="AC35" s="1465">
        <f t="shared" si="5"/>
        <v>1</v>
      </c>
    </row>
    <row r="36" spans="1:29" ht="15">
      <c r="A36" s="570"/>
      <c r="B36" s="503" t="s">
        <v>711</v>
      </c>
      <c r="C36" s="575" t="s">
        <v>3243</v>
      </c>
      <c r="D36" s="516">
        <v>100</v>
      </c>
      <c r="E36" s="575" t="s">
        <v>3243</v>
      </c>
      <c r="F36" s="551">
        <f>SUMIF(109:109,E36,110:110)-SUMIF(109:109,C36,110:110)+100</f>
        <v>100</v>
      </c>
      <c r="G36" s="575" t="s">
        <v>3243</v>
      </c>
      <c r="H36" s="516">
        <f>SUMIF(109:109,G36,110:110)-SUMIF(109:109,C36,110:110)+100</f>
        <v>100</v>
      </c>
      <c r="I36" s="575" t="s">
        <v>3243</v>
      </c>
      <c r="J36" s="516">
        <f>SUMIF(109:109,I36,110:110)-SUMIF(109:109,C36,110:110)+100</f>
        <v>100</v>
      </c>
      <c r="K36" s="835">
        <v>1</v>
      </c>
      <c r="L36" s="1977"/>
      <c r="M36" s="1969"/>
      <c r="N36" s="1969"/>
      <c r="O36" s="1976"/>
      <c r="P36" s="3665"/>
      <c r="Q36" s="1461" t="str">
        <f t="shared" si="11"/>
        <v>公共部分装修</v>
      </c>
      <c r="R36" s="1462" t="s">
        <v>11</v>
      </c>
      <c r="S36" s="1463">
        <f t="shared" si="12"/>
        <v>100</v>
      </c>
      <c r="T36" s="1462" t="s">
        <v>11</v>
      </c>
      <c r="U36" s="1463">
        <f t="shared" si="13"/>
        <v>100</v>
      </c>
      <c r="V36" s="1462" t="s">
        <v>11</v>
      </c>
      <c r="W36" s="1463">
        <f t="shared" si="14"/>
        <v>100</v>
      </c>
      <c r="X36" s="1456"/>
      <c r="Y36" s="3665"/>
      <c r="Z36" s="1464" t="str">
        <f t="shared" si="15"/>
        <v>公共部分装修</v>
      </c>
      <c r="AA36" s="1465">
        <f t="shared" si="3"/>
        <v>1</v>
      </c>
      <c r="AB36" s="1465">
        <f t="shared" si="4"/>
        <v>1</v>
      </c>
      <c r="AC36" s="1465">
        <f t="shared" si="5"/>
        <v>1</v>
      </c>
    </row>
    <row r="37" spans="1:29" s="1165" customFormat="1" ht="15">
      <c r="A37" s="576"/>
      <c r="B37" s="503" t="s">
        <v>712</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v>1</v>
      </c>
      <c r="L37" s="1970"/>
      <c r="M37" s="1971"/>
      <c r="N37" s="1971"/>
      <c r="O37" s="1972"/>
      <c r="P37" s="3665"/>
      <c r="Q37" s="1096" t="str">
        <f t="shared" si="11"/>
        <v>成新度</v>
      </c>
      <c r="R37" s="1457" t="s">
        <v>11</v>
      </c>
      <c r="S37" s="1458">
        <f t="shared" si="12"/>
        <v>100</v>
      </c>
      <c r="T37" s="1457" t="s">
        <v>11</v>
      </c>
      <c r="U37" s="1458">
        <f t="shared" si="13"/>
        <v>100</v>
      </c>
      <c r="V37" s="1457" t="s">
        <v>11</v>
      </c>
      <c r="W37" s="1458">
        <f t="shared" si="14"/>
        <v>100</v>
      </c>
      <c r="X37" s="1459"/>
      <c r="Y37" s="3665"/>
      <c r="Z37" s="1095" t="str">
        <f t="shared" si="15"/>
        <v>成新度</v>
      </c>
      <c r="AA37" s="1460">
        <f t="shared" si="3"/>
        <v>1</v>
      </c>
      <c r="AB37" s="1460">
        <f t="shared" si="4"/>
        <v>1</v>
      </c>
      <c r="AC37" s="1460">
        <f t="shared" si="5"/>
        <v>1</v>
      </c>
    </row>
    <row r="38" spans="1:29" ht="15">
      <c r="A38" s="570"/>
      <c r="B38" s="503" t="s">
        <v>713</v>
      </c>
      <c r="C38" s="575" t="s">
        <v>3253</v>
      </c>
      <c r="D38" s="516">
        <v>100</v>
      </c>
      <c r="E38" s="575" t="s">
        <v>3253</v>
      </c>
      <c r="F38" s="551">
        <f>SUMIF(114:114,E38,115:115)-SUMIF(114:114,C38,115:115)+100</f>
        <v>100</v>
      </c>
      <c r="G38" s="575" t="s">
        <v>3253</v>
      </c>
      <c r="H38" s="516">
        <f>SUMIF(114:114,G38,115:115)-SUMIF(114:114,C38,115:115)+100</f>
        <v>100</v>
      </c>
      <c r="I38" s="575" t="s">
        <v>3253</v>
      </c>
      <c r="J38" s="516">
        <f>SUMIF(114:114,I38,115:115)-SUMIF(114:114,C38,115:115)+100</f>
        <v>100</v>
      </c>
      <c r="K38" s="835">
        <v>1</v>
      </c>
      <c r="L38" s="1977"/>
      <c r="M38" s="1969"/>
      <c r="N38" s="1969"/>
      <c r="O38" s="1976"/>
      <c r="P38" s="3665" t="s">
        <v>533</v>
      </c>
      <c r="Q38" s="1461" t="str">
        <f t="shared" si="11"/>
        <v>物业管理</v>
      </c>
      <c r="R38" s="1462" t="s">
        <v>11</v>
      </c>
      <c r="S38" s="1463">
        <f t="shared" si="12"/>
        <v>100</v>
      </c>
      <c r="T38" s="1462" t="s">
        <v>11</v>
      </c>
      <c r="U38" s="1463">
        <f t="shared" si="13"/>
        <v>100</v>
      </c>
      <c r="V38" s="1462" t="s">
        <v>11</v>
      </c>
      <c r="W38" s="1463">
        <f t="shared" si="14"/>
        <v>100</v>
      </c>
      <c r="X38" s="1456"/>
      <c r="Y38" s="3665" t="s">
        <v>533</v>
      </c>
      <c r="Z38" s="1464" t="str">
        <f t="shared" si="15"/>
        <v>物业管理</v>
      </c>
      <c r="AA38" s="1465">
        <f t="shared" si="3"/>
        <v>1</v>
      </c>
      <c r="AB38" s="1465">
        <f t="shared" si="4"/>
        <v>1</v>
      </c>
      <c r="AC38" s="1465">
        <f t="shared" si="5"/>
        <v>1</v>
      </c>
    </row>
    <row r="39" spans="1:29" ht="15" hidden="1">
      <c r="A39" s="570"/>
      <c r="B39" s="1763" t="s">
        <v>2282</v>
      </c>
      <c r="C39" s="575"/>
      <c r="D39" s="516">
        <v>100</v>
      </c>
      <c r="E39" s="575"/>
      <c r="F39" s="551">
        <f>SUMIF(116:116,E39,117:117)-SUMIF(116:116,C39,117:117)+100</f>
        <v>100</v>
      </c>
      <c r="G39" s="575"/>
      <c r="H39" s="516">
        <f>SUMIF(116:116,G39,117:117)-SUMIF(116:116,C39,117:117)+100</f>
        <v>100</v>
      </c>
      <c r="I39" s="575"/>
      <c r="J39" s="516">
        <f>SUMIF(116:116,I39,117:117)-SUMIF(116:116,C39,117:117)+100</f>
        <v>100</v>
      </c>
      <c r="K39" s="835"/>
      <c r="L39" s="1977"/>
      <c r="M39" s="1969"/>
      <c r="N39" s="1969"/>
      <c r="O39" s="1976"/>
      <c r="P39" s="3665"/>
      <c r="Q39" s="1461" t="str">
        <f t="shared" si="11"/>
        <v>市政基础设施</v>
      </c>
      <c r="R39" s="1462" t="s">
        <v>11</v>
      </c>
      <c r="S39" s="1463">
        <f t="shared" si="12"/>
        <v>100</v>
      </c>
      <c r="T39" s="1462" t="s">
        <v>11</v>
      </c>
      <c r="U39" s="1463">
        <f t="shared" si="13"/>
        <v>100</v>
      </c>
      <c r="V39" s="1462" t="s">
        <v>11</v>
      </c>
      <c r="W39" s="1463">
        <f t="shared" si="14"/>
        <v>100</v>
      </c>
      <c r="X39" s="1456"/>
      <c r="Y39" s="3665"/>
      <c r="Z39" s="1464" t="str">
        <f t="shared" si="15"/>
        <v>市政基础设施</v>
      </c>
      <c r="AA39" s="1465">
        <f t="shared" si="3"/>
        <v>1</v>
      </c>
      <c r="AB39" s="1465">
        <f t="shared" si="4"/>
        <v>1</v>
      </c>
      <c r="AC39" s="1465">
        <f t="shared" si="5"/>
        <v>1</v>
      </c>
    </row>
    <row r="40" spans="1:29" ht="15">
      <c r="A40" s="570"/>
      <c r="B40" s="503" t="s">
        <v>714</v>
      </c>
      <c r="C40" s="575" t="s">
        <v>3255</v>
      </c>
      <c r="D40" s="516">
        <v>100</v>
      </c>
      <c r="E40" s="575" t="s">
        <v>3255</v>
      </c>
      <c r="F40" s="551">
        <f>SUMIF(118:118,E40,119:119)-SUMIF(118:118,C40,119:119)+100</f>
        <v>100</v>
      </c>
      <c r="G40" s="575" t="s">
        <v>3255</v>
      </c>
      <c r="H40" s="516">
        <f>SUMIF(118:118,G40,119:119)-SUMIF(118:118,C40,119:119)+100</f>
        <v>100</v>
      </c>
      <c r="I40" s="575" t="s">
        <v>3255</v>
      </c>
      <c r="J40" s="516">
        <f>SUMIF(118:118,I40,119:119)-SUMIF(118:118,C40,119:119)+100</f>
        <v>100</v>
      </c>
      <c r="K40" s="835">
        <v>1</v>
      </c>
      <c r="L40" s="1977"/>
      <c r="M40" s="1969"/>
      <c r="N40" s="1969"/>
      <c r="O40" s="1976"/>
      <c r="P40" s="3665"/>
      <c r="Q40" s="1461" t="str">
        <f t="shared" si="11"/>
        <v>房型</v>
      </c>
      <c r="R40" s="1462" t="s">
        <v>11</v>
      </c>
      <c r="S40" s="1463">
        <f t="shared" si="12"/>
        <v>100</v>
      </c>
      <c r="T40" s="1462" t="s">
        <v>11</v>
      </c>
      <c r="U40" s="1463">
        <f t="shared" si="13"/>
        <v>100</v>
      </c>
      <c r="V40" s="1462" t="s">
        <v>11</v>
      </c>
      <c r="W40" s="1463">
        <f t="shared" si="14"/>
        <v>100</v>
      </c>
      <c r="X40" s="1456"/>
      <c r="Y40" s="3665"/>
      <c r="Z40" s="1464" t="str">
        <f t="shared" si="15"/>
        <v>房型</v>
      </c>
      <c r="AA40" s="1465">
        <f t="shared" si="3"/>
        <v>1</v>
      </c>
      <c r="AB40" s="1465">
        <f t="shared" si="4"/>
        <v>1</v>
      </c>
      <c r="AC40" s="1465">
        <f t="shared" si="5"/>
        <v>1</v>
      </c>
    </row>
    <row r="41" spans="1:29" s="1247" customFormat="1" ht="28.5" hidden="1">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65"/>
      <c r="Q41" s="1490" t="str">
        <f t="shared" si="11"/>
        <v>单套/主力户型建筑面积</v>
      </c>
      <c r="R41" s="1466" t="s">
        <v>11</v>
      </c>
      <c r="S41" s="1467">
        <f t="shared" si="12"/>
        <v>100</v>
      </c>
      <c r="T41" s="1466" t="s">
        <v>11</v>
      </c>
      <c r="U41" s="1467">
        <f t="shared" si="13"/>
        <v>100</v>
      </c>
      <c r="V41" s="1466" t="s">
        <v>11</v>
      </c>
      <c r="W41" s="1467">
        <f t="shared" si="14"/>
        <v>100</v>
      </c>
      <c r="X41" s="1468"/>
      <c r="Y41" s="3665"/>
      <c r="Z41" s="1469" t="str">
        <f t="shared" si="15"/>
        <v>单套/主力户型建筑面积</v>
      </c>
      <c r="AA41" s="1465">
        <f t="shared" si="3"/>
        <v>1</v>
      </c>
      <c r="AB41" s="1465">
        <f t="shared" si="4"/>
        <v>1</v>
      </c>
      <c r="AC41" s="1465">
        <f t="shared" si="5"/>
        <v>1</v>
      </c>
    </row>
    <row r="42" spans="1:29" ht="15">
      <c r="A42" s="570"/>
      <c r="B42" s="503" t="s">
        <v>716</v>
      </c>
      <c r="C42" s="575" t="s">
        <v>3243</v>
      </c>
      <c r="D42" s="516">
        <v>100</v>
      </c>
      <c r="E42" s="845" t="s">
        <v>3247</v>
      </c>
      <c r="F42" s="551">
        <f>SUMIF(122:122,E42,123:123)-SUMIF(122:122,C42,123:123)+100</f>
        <v>94</v>
      </c>
      <c r="G42" s="575" t="s">
        <v>3243</v>
      </c>
      <c r="H42" s="516">
        <f>SUMIF(122:122,G42,123:123)-SUMIF(122:122,C42,123:123)+100</f>
        <v>100</v>
      </c>
      <c r="I42" s="845" t="s">
        <v>3243</v>
      </c>
      <c r="J42" s="516">
        <f>SUMIF(122:122,I42,123:123)-SUMIF(122:122,C42,123:123)+100</f>
        <v>100</v>
      </c>
      <c r="K42" s="835">
        <v>2</v>
      </c>
      <c r="L42" s="1977"/>
      <c r="M42" s="1969"/>
      <c r="N42" s="1969"/>
      <c r="O42" s="1976"/>
      <c r="P42" s="3665"/>
      <c r="Q42" s="1461" t="str">
        <f t="shared" si="11"/>
        <v>内部装修</v>
      </c>
      <c r="R42" s="1462" t="s">
        <v>11</v>
      </c>
      <c r="S42" s="1463">
        <f t="shared" si="12"/>
        <v>94</v>
      </c>
      <c r="T42" s="1462" t="s">
        <v>11</v>
      </c>
      <c r="U42" s="1463">
        <f t="shared" si="13"/>
        <v>100</v>
      </c>
      <c r="V42" s="1462" t="s">
        <v>11</v>
      </c>
      <c r="W42" s="1463">
        <f t="shared" si="14"/>
        <v>100</v>
      </c>
      <c r="X42" s="1456"/>
      <c r="Y42" s="3665"/>
      <c r="Z42" s="1464" t="str">
        <f t="shared" si="15"/>
        <v>内部装修</v>
      </c>
      <c r="AA42" s="1465">
        <f t="shared" si="3"/>
        <v>1.0638297872340425</v>
      </c>
      <c r="AB42" s="1465">
        <f t="shared" si="4"/>
        <v>1</v>
      </c>
      <c r="AC42" s="1465">
        <f t="shared" si="5"/>
        <v>1</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7"/>
      <c r="M43" s="1969"/>
      <c r="N43" s="1969"/>
      <c r="O43" s="1976"/>
      <c r="P43" s="3665"/>
      <c r="Q43" s="1461" t="str">
        <f t="shared" si="11"/>
        <v>内部装修维护情况</v>
      </c>
      <c r="R43" s="1462" t="s">
        <v>11</v>
      </c>
      <c r="S43" s="1463">
        <f t="shared" si="12"/>
        <v>100</v>
      </c>
      <c r="T43" s="1462" t="s">
        <v>11</v>
      </c>
      <c r="U43" s="1463">
        <f t="shared" si="13"/>
        <v>100</v>
      </c>
      <c r="V43" s="1462" t="s">
        <v>11</v>
      </c>
      <c r="W43" s="1463">
        <f t="shared" si="14"/>
        <v>100</v>
      </c>
      <c r="X43" s="1456"/>
      <c r="Y43" s="3665"/>
      <c r="Z43" s="1464" t="str">
        <f t="shared" si="15"/>
        <v>内部装修维护情况</v>
      </c>
      <c r="AA43" s="1465">
        <f t="shared" si="3"/>
        <v>1</v>
      </c>
      <c r="AB43" s="1465">
        <f t="shared" si="4"/>
        <v>1</v>
      </c>
      <c r="AC43" s="1465">
        <f t="shared" si="5"/>
        <v>1</v>
      </c>
    </row>
    <row r="44" spans="1:29" s="1165" customFormat="1" ht="15">
      <c r="A44" s="576"/>
      <c r="B44" s="3462" t="s">
        <v>4213</v>
      </c>
      <c r="C44" s="3463" t="s">
        <v>4214</v>
      </c>
      <c r="D44" s="252">
        <v>100</v>
      </c>
      <c r="E44" s="3463" t="s">
        <v>4215</v>
      </c>
      <c r="F44" s="834">
        <f>SUMIF(126:126,E44,127:127)-SUMIF(126:126,C44,127:127)+100</f>
        <v>90</v>
      </c>
      <c r="G44" s="3463" t="s">
        <v>4215</v>
      </c>
      <c r="H44" s="252">
        <f>SUMIF(126:126,G44,127:127)-SUMIF(126:126,C44,127:127)+100</f>
        <v>90</v>
      </c>
      <c r="I44" s="3463" t="s">
        <v>4216</v>
      </c>
      <c r="J44" s="252">
        <f>SUMIF(126:126,I44,127:127)-SUMIF(126:126,C44,127:127)+100</f>
        <v>90</v>
      </c>
      <c r="K44" s="836"/>
      <c r="L44" s="1970"/>
      <c r="M44" s="1971"/>
      <c r="N44" s="1971"/>
      <c r="O44" s="1972"/>
      <c r="P44" s="3665"/>
      <c r="Q44" s="1096" t="str">
        <f t="shared" si="11"/>
        <v>是否临海</v>
      </c>
      <c r="R44" s="1457" t="s">
        <v>11</v>
      </c>
      <c r="S44" s="1458">
        <f t="shared" si="12"/>
        <v>90</v>
      </c>
      <c r="T44" s="1457" t="s">
        <v>11</v>
      </c>
      <c r="U44" s="1458">
        <f t="shared" si="13"/>
        <v>90</v>
      </c>
      <c r="V44" s="1457" t="s">
        <v>11</v>
      </c>
      <c r="W44" s="1458">
        <f t="shared" si="14"/>
        <v>90</v>
      </c>
      <c r="X44" s="1459"/>
      <c r="Y44" s="3665"/>
      <c r="Z44" s="1095" t="str">
        <f t="shared" si="15"/>
        <v>是否临海</v>
      </c>
      <c r="AA44" s="1460">
        <f t="shared" si="3"/>
        <v>1.1111111111111112</v>
      </c>
      <c r="AB44" s="1460">
        <f t="shared" si="4"/>
        <v>1.1111111111111112</v>
      </c>
      <c r="AC44" s="1460">
        <f t="shared" si="5"/>
        <v>1.1111111111111112</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65"/>
      <c r="Q45" s="1461">
        <f t="shared" si="11"/>
        <v>111</v>
      </c>
      <c r="R45" s="1462" t="s">
        <v>11</v>
      </c>
      <c r="S45" s="1463">
        <f t="shared" si="12"/>
        <v>100</v>
      </c>
      <c r="T45" s="1462" t="s">
        <v>11</v>
      </c>
      <c r="U45" s="1463">
        <f t="shared" si="13"/>
        <v>100</v>
      </c>
      <c r="V45" s="1462" t="s">
        <v>11</v>
      </c>
      <c r="W45" s="1463">
        <f t="shared" si="14"/>
        <v>100</v>
      </c>
      <c r="X45" s="1456"/>
      <c r="Y45" s="3665"/>
      <c r="Z45" s="1464">
        <f t="shared" si="15"/>
        <v>111</v>
      </c>
      <c r="AA45" s="1465">
        <f t="shared" si="3"/>
        <v>1</v>
      </c>
      <c r="AB45" s="1465">
        <f t="shared" si="4"/>
        <v>1</v>
      </c>
      <c r="AC45" s="1465">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779"/>
      <c r="Q46" s="1461">
        <f t="shared" si="11"/>
        <v>111</v>
      </c>
      <c r="R46" s="1462" t="s">
        <v>10</v>
      </c>
      <c r="S46" s="1463">
        <f t="shared" si="12"/>
        <v>100</v>
      </c>
      <c r="T46" s="1462" t="s">
        <v>10</v>
      </c>
      <c r="U46" s="1463">
        <f t="shared" si="13"/>
        <v>100</v>
      </c>
      <c r="V46" s="1462" t="s">
        <v>10</v>
      </c>
      <c r="W46" s="1463">
        <f t="shared" si="14"/>
        <v>100</v>
      </c>
      <c r="X46" s="1456"/>
      <c r="Y46" s="3779"/>
      <c r="Z46" s="1464">
        <f t="shared" si="15"/>
        <v>111</v>
      </c>
      <c r="AA46" s="1465">
        <f t="shared" si="3"/>
        <v>1</v>
      </c>
      <c r="AB46" s="1465">
        <f t="shared" si="4"/>
        <v>1</v>
      </c>
      <c r="AC46" s="1465">
        <f t="shared" si="5"/>
        <v>1</v>
      </c>
    </row>
    <row r="47" spans="1:29" ht="15">
      <c r="A47" s="583" t="s">
        <v>718</v>
      </c>
      <c r="B47" s="857"/>
      <c r="C47" s="2391" t="s">
        <v>9</v>
      </c>
      <c r="D47" s="2392"/>
      <c r="E47" s="2393">
        <v>16000</v>
      </c>
      <c r="F47" s="2394"/>
      <c r="G47" s="2395">
        <v>17250</v>
      </c>
      <c r="H47" s="2396"/>
      <c r="I47" s="2393">
        <v>17288</v>
      </c>
      <c r="J47" s="2396"/>
      <c r="K47" s="1491"/>
      <c r="L47" s="1979"/>
      <c r="M47" s="1980"/>
      <c r="N47" s="1969"/>
      <c r="O47" s="1980"/>
      <c r="P47" s="3660" t="str">
        <f>A47</f>
        <v>成交单价（元/平方米）</v>
      </c>
      <c r="Q47" s="3660"/>
      <c r="R47" s="3778">
        <f>E47</f>
        <v>16000</v>
      </c>
      <c r="S47" s="3778"/>
      <c r="T47" s="3778">
        <f>G47</f>
        <v>17250</v>
      </c>
      <c r="U47" s="3778"/>
      <c r="V47" s="3778">
        <f>I47</f>
        <v>17288</v>
      </c>
      <c r="W47" s="3778"/>
      <c r="X47" s="1451"/>
      <c r="Y47" s="1470"/>
      <c r="Z47" s="1451"/>
      <c r="AA47" s="1451"/>
      <c r="AB47" s="1451"/>
      <c r="AC47" s="1451"/>
    </row>
    <row r="48" spans="1:29" ht="15.75" thickBot="1">
      <c r="A48" s="591" t="s">
        <v>2477</v>
      </c>
      <c r="B48" s="858"/>
      <c r="C48" s="2397">
        <f>R49</f>
        <v>21301</v>
      </c>
      <c r="D48" s="2920" t="s">
        <v>2697</v>
      </c>
      <c r="E48" s="2398">
        <f>R48</f>
        <v>20577</v>
      </c>
      <c r="F48" s="2921"/>
      <c r="G48" s="2397">
        <f>T48</f>
        <v>23307</v>
      </c>
      <c r="H48" s="2921"/>
      <c r="I48" s="2398">
        <f>V48</f>
        <v>20020</v>
      </c>
      <c r="J48" s="2921"/>
      <c r="K48" s="2929">
        <f>F48+H48+J48</f>
        <v>0</v>
      </c>
      <c r="L48" s="1979"/>
      <c r="M48" s="1980"/>
      <c r="N48" s="1980"/>
      <c r="O48" s="1980"/>
      <c r="P48" s="3660" t="str">
        <f>A48</f>
        <v>比较价格（元/平方米）</v>
      </c>
      <c r="Q48" s="3660"/>
      <c r="R48" s="3778">
        <f>IF(F1="售价",ROUND(PRODUCT(R47,AA7:AA46),0),ROUND(PRODUCT(R47,AA7:AA46),1))</f>
        <v>20577</v>
      </c>
      <c r="S48" s="3778"/>
      <c r="T48" s="3778">
        <f>IF(F1="售价",ROUND(PRODUCT(T47,AB7:AB46),0),ROUND(PRODUCT(T47,AB7:AB46),1))</f>
        <v>23307</v>
      </c>
      <c r="U48" s="3778"/>
      <c r="V48" s="3778">
        <f>IF(F1="售价",ROUND(PRODUCT(V47,AC7:AC46),0),ROUND(PRODUCT(V47,AC7:AC46),1))</f>
        <v>20020</v>
      </c>
      <c r="W48" s="3778"/>
      <c r="X48" s="1451"/>
      <c r="Y48" s="1451"/>
      <c r="Z48" s="1451"/>
      <c r="AA48" s="1451"/>
      <c r="AB48" s="1451"/>
      <c r="AC48" s="1451"/>
    </row>
    <row r="49" spans="1:29" ht="15.75" thickBot="1">
      <c r="A49" s="595" t="s">
        <v>2632</v>
      </c>
      <c r="B49" s="596"/>
      <c r="C49" s="2399">
        <f>R49</f>
        <v>21301</v>
      </c>
      <c r="D49" s="2399"/>
      <c r="E49" s="2399"/>
      <c r="F49" s="2399"/>
      <c r="G49" s="2399"/>
      <c r="H49" s="2399"/>
      <c r="I49" s="2399"/>
      <c r="J49" s="2399"/>
      <c r="K49" s="1492"/>
      <c r="L49" s="1979"/>
      <c r="M49" s="1980"/>
      <c r="N49" s="1980"/>
      <c r="O49" s="1980"/>
      <c r="P49" s="3666" t="str">
        <f>A49</f>
        <v>估价对象XX用房的比较价格（楼面单价，元/平方米）</v>
      </c>
      <c r="Q49" s="3667"/>
      <c r="R49" s="3777">
        <f>IF(F1="售价",ROUND(IF(D48="简单平均",AVERAGE(R48:V48),R48*F48+T48*H48+V48*J48),0),ROUND(IF(D48="简单平均",AVERAGE(R48:V48),R48*F48+T48*H48+V48*J48),1))</f>
        <v>21301</v>
      </c>
      <c r="S49" s="3777"/>
      <c r="T49" s="3777"/>
      <c r="U49" s="3777"/>
      <c r="V49" s="3777"/>
      <c r="W49" s="3777"/>
      <c r="X49" s="1451"/>
      <c r="Y49" s="1451"/>
      <c r="Z49" s="1451"/>
      <c r="AA49" s="1451"/>
      <c r="AB49" s="1451"/>
      <c r="AC49" s="1451"/>
    </row>
    <row r="50" spans="1:29">
      <c r="A50" s="3120"/>
      <c r="B50" s="3120"/>
      <c r="C50" s="3120"/>
      <c r="D50" s="3120"/>
      <c r="E50" s="3120"/>
      <c r="F50" s="3120"/>
      <c r="G50" s="3122"/>
      <c r="H50" s="3120"/>
      <c r="I50" s="3120"/>
      <c r="J50" s="3120"/>
      <c r="K50" s="3123"/>
      <c r="L50" s="1984"/>
      <c r="M50" s="1980"/>
      <c r="N50" s="1980"/>
      <c r="O50" s="1980"/>
      <c r="P50" s="1980"/>
      <c r="Q50" s="1980"/>
      <c r="R50" s="1980"/>
      <c r="S50" s="1980"/>
      <c r="T50" s="1980"/>
      <c r="U50" s="1980"/>
      <c r="V50" s="1980"/>
      <c r="W50" s="1980"/>
      <c r="X50" s="1980"/>
      <c r="Y50" s="1980"/>
      <c r="Z50" s="1980"/>
      <c r="AA50" s="1980"/>
      <c r="AB50" s="1980"/>
      <c r="AC50" s="1980"/>
    </row>
    <row r="51" spans="1:29">
      <c r="A51" s="3120"/>
      <c r="B51" s="3120"/>
      <c r="C51" s="3120"/>
      <c r="D51" s="3120"/>
      <c r="E51" s="3120"/>
      <c r="F51" s="3120"/>
      <c r="G51" s="3120"/>
      <c r="H51" s="3120"/>
      <c r="I51" s="3120"/>
      <c r="J51" s="3120"/>
      <c r="K51" s="3123"/>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0"/>
      <c r="B52" s="3120"/>
      <c r="C52" s="598" t="s">
        <v>540</v>
      </c>
      <c r="D52" s="599"/>
      <c r="E52" s="600">
        <f>IF(E47&lt;E48,E48/E47-1,E47/E48-1)</f>
        <v>0.28606250000000011</v>
      </c>
      <c r="F52" s="601" t="str">
        <f>IF(OR(E52&gt;=0.3,E52&lt;=-0.3),"超过30%","")</f>
        <v/>
      </c>
      <c r="G52" s="600">
        <f>IF(G47&lt;G48,G48/G47-1,G47/G48-1)</f>
        <v>0.35113043478260875</v>
      </c>
      <c r="H52" s="601" t="str">
        <f>IF(OR(G52&gt;=0.3,G52&lt;=-0.3),"超过30%","")</f>
        <v>超过30%</v>
      </c>
      <c r="I52" s="600">
        <f>IF(I47&lt;I48,I48/I47-1,I47/I48-1)</f>
        <v>0.15802869042110124</v>
      </c>
      <c r="J52" s="601" t="str">
        <f>IF(OR(I52&gt;=0.3,I52&lt;=-0.3),"超过30%","")</f>
        <v/>
      </c>
      <c r="K52" s="3123"/>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0"/>
      <c r="B53" s="3120"/>
      <c r="C53" s="598" t="s">
        <v>541</v>
      </c>
      <c r="D53" s="602"/>
      <c r="E53" s="600">
        <f>IF(E48&lt;G48,G48/E48-1,E48/G48-1)</f>
        <v>0.13267240122466828</v>
      </c>
      <c r="F53" s="601" t="str">
        <f>IF(OR(E53&gt;=0.2,E53&lt;=-0.2),"超过20%","")</f>
        <v/>
      </c>
      <c r="G53" s="600">
        <f>IF(G48&lt;I48,I48/G48-1,G48/I48-1)</f>
        <v>0.16418581418581413</v>
      </c>
      <c r="H53" s="601" t="str">
        <f>IF(OR(G53&gt;=0.2,G53&lt;=-0.2),"超过20%","")</f>
        <v/>
      </c>
      <c r="I53" s="600">
        <f>IF(I48&lt;E48,E48/I48-1,I48/E48-1)</f>
        <v>2.7822177822177885E-2</v>
      </c>
      <c r="J53" s="601" t="str">
        <f>IF(OR(I53&gt;=0.2,I53&lt;=-0.2),"超过20%","")</f>
        <v/>
      </c>
      <c r="K53" s="3123"/>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1"/>
      <c r="B54" s="3121"/>
      <c r="C54" s="598" t="s">
        <v>542</v>
      </c>
      <c r="D54" s="602"/>
      <c r="E54" s="600">
        <f>IF(E47&lt;G47,G47/E47-1,E47/G47-1)</f>
        <v>7.8125E-2</v>
      </c>
      <c r="F54" s="601" t="str">
        <f>IF(OR(E54&gt;=0.3,E54&lt;=-0.3),"超过30%","")</f>
        <v/>
      </c>
      <c r="G54" s="600">
        <f>IF(G47&lt;I47,I47/G47-1,G47/I47-1)</f>
        <v>2.2028985507245302E-3</v>
      </c>
      <c r="H54" s="601" t="str">
        <f>IF(OR(G54&gt;=0.3,G54&lt;=-0.3),"超过30%","")</f>
        <v/>
      </c>
      <c r="I54" s="600">
        <f>IF(I47&lt;E47,E47/I47-1,I47/E47-1)</f>
        <v>8.0500000000000016E-2</v>
      </c>
      <c r="J54" s="601" t="str">
        <f>IF(OR(I54&gt;=0.3,I54&lt;=-0.3),"超过30%","")</f>
        <v/>
      </c>
      <c r="K54" s="3124"/>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2" t="str">
        <f>YEAR(C7)&amp;"-"&amp;MONTH(C7)</f>
        <v>2022-6</v>
      </c>
      <c r="D58" s="2442">
        <f>EDATE(C58,-1)</f>
        <v>44682</v>
      </c>
      <c r="E58" s="2442">
        <f t="shared" ref="E58:O58" si="16">EDATE(D58,-1)</f>
        <v>44652</v>
      </c>
      <c r="F58" s="2442">
        <f t="shared" si="16"/>
        <v>44621</v>
      </c>
      <c r="G58" s="2442">
        <f t="shared" si="16"/>
        <v>44593</v>
      </c>
      <c r="H58" s="2442">
        <f t="shared" si="16"/>
        <v>44562</v>
      </c>
      <c r="I58" s="2442">
        <f t="shared" si="16"/>
        <v>44531</v>
      </c>
      <c r="J58" s="2442">
        <f t="shared" si="16"/>
        <v>44501</v>
      </c>
      <c r="K58" s="2442">
        <f t="shared" si="16"/>
        <v>44470</v>
      </c>
      <c r="L58" s="2442">
        <f t="shared" si="16"/>
        <v>44440</v>
      </c>
      <c r="M58" s="2442">
        <f t="shared" si="16"/>
        <v>44409</v>
      </c>
      <c r="N58" s="2442">
        <f t="shared" si="16"/>
        <v>44378</v>
      </c>
      <c r="O58" s="2442">
        <f t="shared" si="16"/>
        <v>44348</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v>100</v>
      </c>
      <c r="E59" s="624">
        <v>100</v>
      </c>
      <c r="F59" s="624">
        <v>100</v>
      </c>
      <c r="G59" s="624">
        <v>100</v>
      </c>
      <c r="H59" s="624">
        <v>100</v>
      </c>
      <c r="I59" s="624">
        <v>100</v>
      </c>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t="str">
        <f>C9</f>
        <v>住宅</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v>
      </c>
      <c r="H67" s="656" t="str">
        <f t="shared" si="18"/>
        <v>（含）-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95</v>
      </c>
      <c r="E69" s="653">
        <f t="shared" si="19"/>
        <v>90</v>
      </c>
      <c r="F69" s="653">
        <f t="shared" si="19"/>
        <v>85</v>
      </c>
      <c r="G69" s="653">
        <f t="shared" si="19"/>
        <v>80</v>
      </c>
      <c r="H69" s="653">
        <f t="shared" si="19"/>
        <v>75</v>
      </c>
      <c r="I69" s="653">
        <f t="shared" si="19"/>
        <v>70</v>
      </c>
      <c r="J69" s="653">
        <f t="shared" si="19"/>
        <v>65</v>
      </c>
      <c r="K69" s="653">
        <f t="shared" si="19"/>
        <v>60</v>
      </c>
      <c r="L69" s="653">
        <f t="shared" si="19"/>
        <v>55</v>
      </c>
      <c r="M69" s="654">
        <f t="shared" si="19"/>
        <v>50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97</v>
      </c>
      <c r="E77" s="653">
        <f>D77-$K15</f>
        <v>94</v>
      </c>
      <c r="F77" s="653">
        <f>E77-$K15</f>
        <v>91</v>
      </c>
      <c r="G77" s="653">
        <f>F77-$K15</f>
        <v>88</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97</v>
      </c>
      <c r="E79" s="653">
        <f>D79-$K17</f>
        <v>94</v>
      </c>
      <c r="F79" s="653">
        <f>E79-$K17</f>
        <v>91</v>
      </c>
      <c r="G79" s="653">
        <f>F79-$K17</f>
        <v>88</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98</v>
      </c>
      <c r="E81" s="653">
        <f>D81-$K19</f>
        <v>96</v>
      </c>
      <c r="F81" s="653">
        <f>E81-$K19</f>
        <v>94</v>
      </c>
      <c r="G81" s="653">
        <f>F81-$K19</f>
        <v>92</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99</v>
      </c>
      <c r="E83" s="653">
        <f>D83-$K21</f>
        <v>98</v>
      </c>
      <c r="F83" s="653">
        <f>E83-$K21</f>
        <v>97</v>
      </c>
      <c r="G83" s="653">
        <f>F83-$K21</f>
        <v>96</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98</v>
      </c>
      <c r="E85" s="653">
        <f>D85-$K23</f>
        <v>96</v>
      </c>
      <c r="F85" s="653">
        <f>E85-$K23</f>
        <v>94</v>
      </c>
      <c r="G85" s="653">
        <f>F85-$K23</f>
        <v>92</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1764" t="s">
        <v>2049</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
        <v>728</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3452" t="s">
        <v>4199</v>
      </c>
      <c r="D100" s="3452" t="s">
        <v>4200</v>
      </c>
      <c r="E100" s="3452" t="s">
        <v>4202</v>
      </c>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93</v>
      </c>
      <c r="E101" s="653">
        <f t="shared" si="22"/>
        <v>86</v>
      </c>
      <c r="F101" s="653">
        <f t="shared" si="22"/>
        <v>79</v>
      </c>
      <c r="G101" s="653">
        <f t="shared" si="22"/>
        <v>72</v>
      </c>
      <c r="H101" s="653">
        <f t="shared" si="22"/>
        <v>65</v>
      </c>
      <c r="I101" s="653">
        <f t="shared" si="22"/>
        <v>58</v>
      </c>
      <c r="J101" s="653">
        <f t="shared" si="22"/>
        <v>51</v>
      </c>
      <c r="K101" s="653">
        <f t="shared" si="22"/>
        <v>44</v>
      </c>
      <c r="L101" s="653">
        <f t="shared" si="22"/>
        <v>37</v>
      </c>
      <c r="M101" s="653">
        <f t="shared" si="22"/>
        <v>30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0(含)-100000</v>
      </c>
      <c r="D102" s="682" t="str">
        <f t="shared" ref="D102:L102" si="23">D103&amp;"(含)"&amp;"-"&amp;E103</f>
        <v>100000(含)-200000</v>
      </c>
      <c r="E102" s="682" t="str">
        <f t="shared" si="23"/>
        <v>200000(含)-300000</v>
      </c>
      <c r="F102" s="682" t="str">
        <f t="shared" si="23"/>
        <v>300000(含)-400000</v>
      </c>
      <c r="G102" s="682" t="str">
        <f t="shared" si="23"/>
        <v>400000(含)-500000</v>
      </c>
      <c r="H102" s="682" t="str">
        <f t="shared" si="23"/>
        <v>500000(含)-600000</v>
      </c>
      <c r="I102" s="682" t="str">
        <f t="shared" si="23"/>
        <v>600000(含)-700000</v>
      </c>
      <c r="J102" s="682" t="str">
        <f t="shared" si="23"/>
        <v>700000(含)-800000</v>
      </c>
      <c r="K102" s="682" t="str">
        <f t="shared" si="23"/>
        <v>800000(含)-900000</v>
      </c>
      <c r="L102" s="682" t="str">
        <f t="shared" si="23"/>
        <v>900000(含)-1000000</v>
      </c>
      <c r="M102" s="682" t="str">
        <f>M103&amp;"(含)"&amp;"-"&amp;P103</f>
        <v>1000000(含)-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v>0</v>
      </c>
      <c r="D103" s="704">
        <f>C103+100000</f>
        <v>100000</v>
      </c>
      <c r="E103" s="704">
        <f t="shared" ref="E103:M103" si="24">D103+100000</f>
        <v>200000</v>
      </c>
      <c r="F103" s="704">
        <f t="shared" si="24"/>
        <v>300000</v>
      </c>
      <c r="G103" s="704">
        <f t="shared" si="24"/>
        <v>400000</v>
      </c>
      <c r="H103" s="704">
        <f t="shared" si="24"/>
        <v>500000</v>
      </c>
      <c r="I103" s="704">
        <f t="shared" si="24"/>
        <v>600000</v>
      </c>
      <c r="J103" s="704">
        <f t="shared" si="24"/>
        <v>700000</v>
      </c>
      <c r="K103" s="704">
        <f t="shared" si="24"/>
        <v>800000</v>
      </c>
      <c r="L103" s="704">
        <f t="shared" si="24"/>
        <v>900000</v>
      </c>
      <c r="M103" s="704">
        <f t="shared" si="24"/>
        <v>1000000</v>
      </c>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v>100</v>
      </c>
      <c r="D104" s="645">
        <f>C104+0.5</f>
        <v>100.5</v>
      </c>
      <c r="E104" s="645">
        <f t="shared" ref="E104:M104" si="25">D104+0.5</f>
        <v>101</v>
      </c>
      <c r="F104" s="645">
        <f t="shared" si="25"/>
        <v>101.5</v>
      </c>
      <c r="G104" s="645">
        <f t="shared" si="25"/>
        <v>102</v>
      </c>
      <c r="H104" s="645">
        <f t="shared" si="25"/>
        <v>102.5</v>
      </c>
      <c r="I104" s="645">
        <f t="shared" si="25"/>
        <v>103</v>
      </c>
      <c r="J104" s="645">
        <f t="shared" si="25"/>
        <v>103.5</v>
      </c>
      <c r="K104" s="645">
        <f t="shared" si="25"/>
        <v>104</v>
      </c>
      <c r="L104" s="645">
        <f t="shared" si="25"/>
        <v>104.5</v>
      </c>
      <c r="M104" s="645">
        <f t="shared" si="25"/>
        <v>105</v>
      </c>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3450" t="s">
        <v>3250</v>
      </c>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6">C106-$K34</f>
        <v>99</v>
      </c>
      <c r="E106" s="653">
        <f t="shared" si="26"/>
        <v>98</v>
      </c>
      <c r="F106" s="653">
        <f t="shared" si="26"/>
        <v>97</v>
      </c>
      <c r="G106" s="653">
        <f t="shared" si="26"/>
        <v>96</v>
      </c>
      <c r="H106" s="653">
        <f t="shared" si="26"/>
        <v>95</v>
      </c>
      <c r="I106" s="653">
        <f t="shared" si="26"/>
        <v>94</v>
      </c>
      <c r="J106" s="653">
        <f t="shared" si="26"/>
        <v>93</v>
      </c>
      <c r="K106" s="653">
        <f t="shared" si="26"/>
        <v>92</v>
      </c>
      <c r="L106" s="653">
        <f t="shared" si="26"/>
        <v>91</v>
      </c>
      <c r="M106" s="653">
        <f t="shared" si="26"/>
        <v>90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3451" t="s">
        <v>3252</v>
      </c>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7">C108-$K35</f>
        <v>99</v>
      </c>
      <c r="E108" s="653">
        <f t="shared" si="27"/>
        <v>98</v>
      </c>
      <c r="F108" s="653">
        <f t="shared" si="27"/>
        <v>97</v>
      </c>
      <c r="G108" s="653">
        <f t="shared" si="27"/>
        <v>96</v>
      </c>
      <c r="H108" s="653">
        <f t="shared" si="27"/>
        <v>95</v>
      </c>
      <c r="I108" s="653">
        <f t="shared" si="27"/>
        <v>94</v>
      </c>
      <c r="J108" s="653">
        <f t="shared" si="27"/>
        <v>93</v>
      </c>
      <c r="K108" s="653">
        <f t="shared" si="27"/>
        <v>92</v>
      </c>
      <c r="L108" s="653">
        <f t="shared" si="27"/>
        <v>91</v>
      </c>
      <c r="M108" s="653">
        <f t="shared" si="27"/>
        <v>90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3450" t="s">
        <v>3244</v>
      </c>
      <c r="D109" s="3450" t="s">
        <v>3245</v>
      </c>
      <c r="E109" s="3450" t="s">
        <v>3246</v>
      </c>
      <c r="F109" s="3451" t="s">
        <v>3248</v>
      </c>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8">C110-$K36</f>
        <v>99</v>
      </c>
      <c r="E110" s="653">
        <f t="shared" si="28"/>
        <v>98</v>
      </c>
      <c r="F110" s="653">
        <f t="shared" si="28"/>
        <v>97</v>
      </c>
      <c r="G110" s="653">
        <f t="shared" si="28"/>
        <v>96</v>
      </c>
      <c r="H110" s="653">
        <f t="shared" si="28"/>
        <v>95</v>
      </c>
      <c r="I110" s="653">
        <f t="shared" si="28"/>
        <v>94</v>
      </c>
      <c r="J110" s="653">
        <f t="shared" si="28"/>
        <v>93</v>
      </c>
      <c r="K110" s="653">
        <f t="shared" si="28"/>
        <v>92</v>
      </c>
      <c r="L110" s="653">
        <f t="shared" si="28"/>
        <v>91</v>
      </c>
      <c r="M110" s="653">
        <f t="shared" si="28"/>
        <v>90</v>
      </c>
      <c r="N110" s="2000"/>
      <c r="O110" s="2000"/>
      <c r="P110" s="1999"/>
      <c r="Q110" s="1992"/>
      <c r="R110" s="1980"/>
      <c r="S110" s="1980"/>
      <c r="T110" s="1980"/>
      <c r="U110" s="1980"/>
      <c r="V110" s="1980"/>
      <c r="W110" s="1980"/>
      <c r="X110" s="1980"/>
      <c r="Y110" s="1980"/>
      <c r="Z110" s="1980"/>
      <c r="AA110" s="1980"/>
      <c r="AB110" s="1980"/>
      <c r="AC110" s="1980"/>
    </row>
    <row r="111" spans="1:29" s="1247"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7" customFormat="1">
      <c r="A112" s="702"/>
      <c r="B112" s="655"/>
      <c r="C112" s="864">
        <v>0.5</v>
      </c>
      <c r="D112" s="864">
        <v>0.6</v>
      </c>
      <c r="E112" s="864">
        <v>0.7</v>
      </c>
      <c r="F112" s="864">
        <v>0.8</v>
      </c>
      <c r="G112" s="864">
        <v>0.9</v>
      </c>
      <c r="H112" s="864">
        <v>1.0001</v>
      </c>
      <c r="I112" s="864"/>
      <c r="J112" s="865"/>
      <c r="K112" s="865"/>
      <c r="L112" s="866"/>
      <c r="M112" s="867"/>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3450" t="s">
        <v>3254</v>
      </c>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9">C115-$K38</f>
        <v>99</v>
      </c>
      <c r="E115" s="653">
        <f t="shared" si="29"/>
        <v>98</v>
      </c>
      <c r="F115" s="653">
        <f t="shared" si="29"/>
        <v>97</v>
      </c>
      <c r="G115" s="653">
        <f t="shared" si="29"/>
        <v>96</v>
      </c>
      <c r="H115" s="653">
        <f t="shared" si="29"/>
        <v>95</v>
      </c>
      <c r="I115" s="653">
        <f t="shared" si="29"/>
        <v>94</v>
      </c>
      <c r="J115" s="653">
        <f t="shared" si="29"/>
        <v>93</v>
      </c>
      <c r="K115" s="653">
        <f t="shared" si="29"/>
        <v>92</v>
      </c>
      <c r="L115" s="653">
        <f t="shared" si="29"/>
        <v>91</v>
      </c>
      <c r="M115" s="653">
        <f t="shared" si="29"/>
        <v>90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3451" t="s">
        <v>3256</v>
      </c>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30">C119-$K40</f>
        <v>99</v>
      </c>
      <c r="E119" s="653">
        <f t="shared" si="30"/>
        <v>98</v>
      </c>
      <c r="F119" s="653">
        <f t="shared" si="30"/>
        <v>97</v>
      </c>
      <c r="G119" s="653">
        <f t="shared" si="30"/>
        <v>96</v>
      </c>
      <c r="H119" s="653">
        <f t="shared" si="30"/>
        <v>95</v>
      </c>
      <c r="I119" s="653">
        <f t="shared" si="30"/>
        <v>94</v>
      </c>
      <c r="J119" s="653">
        <f t="shared" si="30"/>
        <v>93</v>
      </c>
      <c r="K119" s="653">
        <f t="shared" si="30"/>
        <v>92</v>
      </c>
      <c r="L119" s="653">
        <f t="shared" si="30"/>
        <v>91</v>
      </c>
      <c r="M119" s="653">
        <f t="shared" si="30"/>
        <v>90</v>
      </c>
      <c r="N119" s="2000"/>
      <c r="O119" s="2000"/>
      <c r="P119" s="1999"/>
      <c r="Q119" s="1992"/>
      <c r="R119" s="1980"/>
      <c r="S119" s="1980"/>
      <c r="T119" s="1980"/>
      <c r="U119" s="1980"/>
      <c r="V119" s="1980"/>
      <c r="W119" s="1980"/>
      <c r="X119" s="1980"/>
      <c r="Y119" s="1980"/>
      <c r="Z119" s="1980"/>
      <c r="AA119" s="1980"/>
      <c r="AB119" s="1980"/>
      <c r="AC119" s="1980"/>
    </row>
    <row r="120" spans="1:29" s="1247" customFormat="1" ht="28.5" thickTop="1">
      <c r="A120" s="702"/>
      <c r="B120" s="647" t="s">
        <v>715</v>
      </c>
      <c r="C120" s="662"/>
      <c r="D120" s="662"/>
      <c r="E120" s="662"/>
      <c r="F120" s="662"/>
      <c r="G120" s="662"/>
      <c r="H120" s="662"/>
      <c r="I120" s="662"/>
      <c r="J120" s="662"/>
      <c r="K120" s="662"/>
      <c r="L120" s="860"/>
      <c r="M120" s="861"/>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3450" t="s">
        <v>3244</v>
      </c>
      <c r="D122" s="3450" t="s">
        <v>3245</v>
      </c>
      <c r="E122" s="3450" t="s">
        <v>3246</v>
      </c>
      <c r="F122" s="3451" t="s">
        <v>3248</v>
      </c>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31">C123-$K42</f>
        <v>98</v>
      </c>
      <c r="E123" s="653">
        <f t="shared" si="31"/>
        <v>96</v>
      </c>
      <c r="F123" s="653">
        <f t="shared" si="31"/>
        <v>94</v>
      </c>
      <c r="G123" s="653">
        <f t="shared" si="31"/>
        <v>92</v>
      </c>
      <c r="H123" s="653">
        <f t="shared" si="31"/>
        <v>90</v>
      </c>
      <c r="I123" s="653">
        <f t="shared" si="31"/>
        <v>88</v>
      </c>
      <c r="J123" s="653">
        <f t="shared" si="31"/>
        <v>86</v>
      </c>
      <c r="K123" s="653">
        <f t="shared" si="31"/>
        <v>84</v>
      </c>
      <c r="L123" s="653">
        <f t="shared" si="31"/>
        <v>82</v>
      </c>
      <c r="M123" s="653">
        <f t="shared" si="31"/>
        <v>80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t="str">
        <f>B44</f>
        <v>是否临海</v>
      </c>
      <c r="C126" s="3450" t="s">
        <v>4217</v>
      </c>
      <c r="D126" s="3450" t="s">
        <v>4218</v>
      </c>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v>100</v>
      </c>
      <c r="D127" s="645">
        <v>90</v>
      </c>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L14" sqref="L9:Z1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739</v>
      </c>
      <c r="C1" s="480" t="s">
        <v>702</v>
      </c>
      <c r="D1" s="2178"/>
      <c r="E1" s="482"/>
      <c r="F1" s="2445"/>
      <c r="G1" s="1486" t="s">
        <v>703</v>
      </c>
      <c r="H1" s="482"/>
      <c r="I1" s="482"/>
      <c r="J1" s="482"/>
      <c r="K1" s="483"/>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68" t="s">
        <v>505</v>
      </c>
      <c r="D4" s="3669"/>
      <c r="E4" s="3690" t="s">
        <v>506</v>
      </c>
      <c r="F4" s="3691"/>
      <c r="G4" s="3668" t="s">
        <v>507</v>
      </c>
      <c r="H4" s="3669"/>
      <c r="I4" s="3668" t="s">
        <v>508</v>
      </c>
      <c r="J4" s="3669"/>
      <c r="K4" s="490" t="s">
        <v>509</v>
      </c>
      <c r="L4" s="1968"/>
      <c r="M4" s="1969"/>
      <c r="N4" s="1969"/>
      <c r="O4" s="1969"/>
      <c r="P4" s="3670" t="s">
        <v>510</v>
      </c>
      <c r="Q4" s="3671"/>
      <c r="R4" s="3654" t="s">
        <v>506</v>
      </c>
      <c r="S4" s="3655"/>
      <c r="T4" s="3654" t="s">
        <v>507</v>
      </c>
      <c r="U4" s="3655"/>
      <c r="V4" s="3676" t="s">
        <v>508</v>
      </c>
      <c r="W4" s="3676"/>
      <c r="X4" s="1456"/>
      <c r="Y4" s="3654" t="s">
        <v>510</v>
      </c>
      <c r="Z4" s="3655"/>
      <c r="AA4" s="3649" t="s">
        <v>506</v>
      </c>
      <c r="AB4" s="3676" t="s">
        <v>507</v>
      </c>
      <c r="AC4" s="3649" t="s">
        <v>508</v>
      </c>
    </row>
    <row r="5" spans="1:29" ht="15">
      <c r="A5" s="491"/>
      <c r="B5" s="492"/>
      <c r="C5" s="3679" t="s">
        <v>2626</v>
      </c>
      <c r="D5" s="3680"/>
      <c r="E5" s="3692" t="s">
        <v>2627</v>
      </c>
      <c r="F5" s="3693"/>
      <c r="G5" s="3679" t="s">
        <v>2628</v>
      </c>
      <c r="H5" s="3680"/>
      <c r="I5" s="3679" t="s">
        <v>2629</v>
      </c>
      <c r="J5" s="3680"/>
      <c r="K5" s="490"/>
      <c r="L5" s="1968"/>
      <c r="M5" s="1969"/>
      <c r="N5" s="1969"/>
      <c r="O5" s="1969"/>
      <c r="P5" s="3672"/>
      <c r="Q5" s="3673"/>
      <c r="R5" s="3656"/>
      <c r="S5" s="3657"/>
      <c r="T5" s="3656"/>
      <c r="U5" s="3657"/>
      <c r="V5" s="3676"/>
      <c r="W5" s="3676"/>
      <c r="X5" s="1456"/>
      <c r="Y5" s="3656"/>
      <c r="Z5" s="3657"/>
      <c r="AA5" s="3650"/>
      <c r="AB5" s="3676"/>
      <c r="AC5" s="3650"/>
    </row>
    <row r="6" spans="1:29" ht="15.75" thickBot="1">
      <c r="A6" s="493"/>
      <c r="B6" s="494"/>
      <c r="C6" s="3694" t="s">
        <v>2630</v>
      </c>
      <c r="D6" s="3678"/>
      <c r="E6" s="3695" t="s">
        <v>2630</v>
      </c>
      <c r="F6" s="3696"/>
      <c r="G6" s="3694" t="s">
        <v>2630</v>
      </c>
      <c r="H6" s="3678"/>
      <c r="I6" s="3694" t="s">
        <v>2630</v>
      </c>
      <c r="J6" s="3678"/>
      <c r="K6" s="490" t="s">
        <v>511</v>
      </c>
      <c r="L6" s="1968"/>
      <c r="M6" s="1969"/>
      <c r="N6" s="1969"/>
      <c r="O6" s="1969"/>
      <c r="P6" s="3674"/>
      <c r="Q6" s="3675"/>
      <c r="R6" s="3656"/>
      <c r="S6" s="3657"/>
      <c r="T6" s="3658"/>
      <c r="U6" s="3659"/>
      <c r="V6" s="3676"/>
      <c r="W6" s="3676"/>
      <c r="X6" s="1456"/>
      <c r="Y6" s="3658"/>
      <c r="Z6" s="3659"/>
      <c r="AA6" s="3651"/>
      <c r="AB6" s="3676"/>
      <c r="AC6" s="3651"/>
    </row>
    <row r="7" spans="1:29" s="1165" customFormat="1" ht="15.75" thickBot="1">
      <c r="A7" s="2550"/>
      <c r="B7" s="2557" t="s">
        <v>512</v>
      </c>
      <c r="C7" s="495">
        <f>'数据-取费表'!B2</f>
        <v>44735</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52" t="s">
        <v>513</v>
      </c>
      <c r="Q7" s="3661"/>
      <c r="R7" s="1457" t="s">
        <v>8</v>
      </c>
      <c r="S7" s="1458">
        <f t="shared" ref="S7:S15" si="0">F7</f>
        <v>0</v>
      </c>
      <c r="T7" s="1457" t="s">
        <v>8</v>
      </c>
      <c r="U7" s="1458">
        <f t="shared" ref="U7:U15" si="1">H7</f>
        <v>0</v>
      </c>
      <c r="V7" s="1457" t="s">
        <v>8</v>
      </c>
      <c r="W7" s="1458">
        <f t="shared" ref="W7:W15" si="2">J7</f>
        <v>0</v>
      </c>
      <c r="X7" s="1459"/>
      <c r="Y7" s="3652" t="s">
        <v>513</v>
      </c>
      <c r="Z7" s="3653"/>
      <c r="AA7" s="1460" t="e">
        <f>D7/F7</f>
        <v>#DIV/0!</v>
      </c>
      <c r="AB7" s="1460" t="e">
        <f>D7/H7</f>
        <v>#DIV/0!</v>
      </c>
      <c r="AC7" s="1460" t="e">
        <f>D7/J7</f>
        <v>#DIV/0!</v>
      </c>
    </row>
    <row r="8" spans="1:29" s="1165" customFormat="1" ht="15.75" thickBot="1">
      <c r="A8" s="2551"/>
      <c r="B8" s="2558"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52" t="s">
        <v>516</v>
      </c>
      <c r="Q8" s="3653"/>
      <c r="R8" s="1457" t="s">
        <v>8</v>
      </c>
      <c r="S8" s="1458">
        <f t="shared" si="0"/>
        <v>0</v>
      </c>
      <c r="T8" s="1457" t="s">
        <v>8</v>
      </c>
      <c r="U8" s="1458">
        <f t="shared" si="1"/>
        <v>0</v>
      </c>
      <c r="V8" s="1457" t="s">
        <v>8</v>
      </c>
      <c r="W8" s="1458">
        <f t="shared" si="2"/>
        <v>0</v>
      </c>
      <c r="X8" s="1459"/>
      <c r="Y8" s="3652" t="s">
        <v>516</v>
      </c>
      <c r="Z8" s="3653"/>
      <c r="AA8" s="1460" t="e">
        <f t="shared" ref="AA8:AA46" si="3">D8/F8</f>
        <v>#DIV/0!</v>
      </c>
      <c r="AB8" s="1460" t="e">
        <f t="shared" ref="AB8:AB46" si="4">D8/H8</f>
        <v>#DIV/0!</v>
      </c>
      <c r="AC8" s="1460" t="e">
        <f t="shared" ref="AC8:AC46" si="5">D8/J8</f>
        <v>#DIV/0!</v>
      </c>
    </row>
    <row r="9" spans="1:29" s="1165" customFormat="1" ht="15">
      <c r="A9" s="2552"/>
      <c r="B9" s="2559"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60" t="s">
        <v>518</v>
      </c>
      <c r="Q9" s="1096" t="str">
        <f t="shared" ref="Q9:Q15" si="6">B9</f>
        <v>用途</v>
      </c>
      <c r="R9" s="1457" t="s">
        <v>8</v>
      </c>
      <c r="S9" s="1458">
        <f t="shared" si="0"/>
        <v>100</v>
      </c>
      <c r="T9" s="1457" t="s">
        <v>8</v>
      </c>
      <c r="U9" s="1458">
        <f t="shared" si="1"/>
        <v>100</v>
      </c>
      <c r="V9" s="1457" t="s">
        <v>8</v>
      </c>
      <c r="W9" s="1458">
        <f t="shared" si="2"/>
        <v>100</v>
      </c>
      <c r="X9" s="1459"/>
      <c r="Y9" s="360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60"/>
      <c r="Q10" s="1096" t="str">
        <f t="shared" si="6"/>
        <v>土地使用年限（年）</v>
      </c>
      <c r="R10" s="1457" t="s">
        <v>8</v>
      </c>
      <c r="S10" s="1458">
        <f t="shared" si="0"/>
        <v>100</v>
      </c>
      <c r="T10" s="1457" t="s">
        <v>8</v>
      </c>
      <c r="U10" s="1458">
        <f t="shared" si="1"/>
        <v>100</v>
      </c>
      <c r="V10" s="1457" t="s">
        <v>8</v>
      </c>
      <c r="W10" s="1458">
        <f t="shared" si="2"/>
        <v>100</v>
      </c>
      <c r="X10" s="1459"/>
      <c r="Y10" s="360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60"/>
      <c r="Q11" s="1096" t="str">
        <f t="shared" si="6"/>
        <v>容积率</v>
      </c>
      <c r="R11" s="1457" t="s">
        <v>8</v>
      </c>
      <c r="S11" s="1458" t="e">
        <f t="shared" si="0"/>
        <v>#N/A</v>
      </c>
      <c r="T11" s="1457" t="s">
        <v>8</v>
      </c>
      <c r="U11" s="1458" t="e">
        <f t="shared" si="1"/>
        <v>#N/A</v>
      </c>
      <c r="V11" s="1457" t="s">
        <v>8</v>
      </c>
      <c r="W11" s="1458" t="e">
        <f t="shared" si="2"/>
        <v>#N/A</v>
      </c>
      <c r="X11" s="1459"/>
      <c r="Y11" s="360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SUMIF(70:70,E12,71:71)-SUMIF(70:70,C12,71:71)+100</f>
        <v>100</v>
      </c>
      <c r="G12" s="882"/>
      <c r="H12" s="252">
        <f>SUMIF(70:70,G12,71:71)-SUMIF(70:70,C12,71:71)+100</f>
        <v>100</v>
      </c>
      <c r="I12" s="515"/>
      <c r="J12" s="252">
        <f>SUMIF(70:70,I12,71:71)-SUMIF(70:70,C12,71:71)+100</f>
        <v>100</v>
      </c>
      <c r="K12" s="557"/>
      <c r="L12" s="1970"/>
      <c r="M12" s="1971"/>
      <c r="N12" s="1971"/>
      <c r="O12" s="1972"/>
      <c r="P12" s="3660"/>
      <c r="Q12" s="1096">
        <f t="shared" si="6"/>
        <v>111</v>
      </c>
      <c r="R12" s="1457" t="s">
        <v>8</v>
      </c>
      <c r="S12" s="1458">
        <f t="shared" si="0"/>
        <v>100</v>
      </c>
      <c r="T12" s="1457" t="s">
        <v>8</v>
      </c>
      <c r="U12" s="1458">
        <f t="shared" si="1"/>
        <v>100</v>
      </c>
      <c r="V12" s="1457" t="s">
        <v>8</v>
      </c>
      <c r="W12" s="1458">
        <f t="shared" si="2"/>
        <v>100</v>
      </c>
      <c r="X12" s="1459"/>
      <c r="Y12" s="3608"/>
      <c r="Z12" s="1095">
        <f t="shared" si="7"/>
        <v>111</v>
      </c>
      <c r="AA12" s="1460">
        <f>D12/F12</f>
        <v>1</v>
      </c>
      <c r="AB12" s="1460">
        <f>D12/H12</f>
        <v>1</v>
      </c>
      <c r="AC12" s="1460">
        <f>D12/J12</f>
        <v>1</v>
      </c>
    </row>
    <row r="13" spans="1:29" ht="15">
      <c r="A13" s="2555"/>
      <c r="B13" s="2561">
        <v>111</v>
      </c>
      <c r="C13" s="515"/>
      <c r="D13" s="516">
        <v>100</v>
      </c>
      <c r="E13" s="515"/>
      <c r="F13" s="252">
        <f>SUMIF(72:72,E13,73:73)-SUMIF(72:72,C13,73:73)+100</f>
        <v>100</v>
      </c>
      <c r="G13" s="882"/>
      <c r="H13" s="516">
        <f>SUMIF(72:72,G13,73:73)-SUMIF(72:72,C13,73:73)+100</f>
        <v>100</v>
      </c>
      <c r="I13" s="515"/>
      <c r="J13" s="516">
        <f>SUMIF(72:72,I13,73:73)-SUMIF(72:72,C13,73:73)+100</f>
        <v>100</v>
      </c>
      <c r="K13" s="557"/>
      <c r="L13" s="1977"/>
      <c r="M13" s="1969"/>
      <c r="N13" s="1969"/>
      <c r="O13" s="1976"/>
      <c r="P13" s="3660"/>
      <c r="Q13" s="1096">
        <f t="shared" si="6"/>
        <v>111</v>
      </c>
      <c r="R13" s="1457" t="s">
        <v>8</v>
      </c>
      <c r="S13" s="1458">
        <f t="shared" si="0"/>
        <v>100</v>
      </c>
      <c r="T13" s="1457" t="s">
        <v>8</v>
      </c>
      <c r="U13" s="1458">
        <f t="shared" si="1"/>
        <v>100</v>
      </c>
      <c r="V13" s="1457" t="s">
        <v>8</v>
      </c>
      <c r="W13" s="1458">
        <f t="shared" si="2"/>
        <v>100</v>
      </c>
      <c r="X13" s="1459"/>
      <c r="Y13" s="3608"/>
      <c r="Z13" s="1095">
        <f t="shared" si="7"/>
        <v>111</v>
      </c>
      <c r="AA13" s="1460">
        <f t="shared" si="3"/>
        <v>1</v>
      </c>
      <c r="AB13" s="1460">
        <f t="shared" si="4"/>
        <v>1</v>
      </c>
      <c r="AC13" s="1460">
        <f t="shared" si="5"/>
        <v>1</v>
      </c>
    </row>
    <row r="14" spans="1:29" ht="15.75" thickBot="1">
      <c r="A14" s="2556"/>
      <c r="B14" s="2562">
        <v>111</v>
      </c>
      <c r="C14" s="521"/>
      <c r="D14" s="522">
        <v>100</v>
      </c>
      <c r="E14" s="521"/>
      <c r="F14" s="522">
        <f>SUMIF(74:74,E14,75:75)-SUMIF(74:74,C14,75:75)+100</f>
        <v>100</v>
      </c>
      <c r="G14" s="882"/>
      <c r="H14" s="522">
        <f>SUMIF(74:74,G14,75:75)-SUMIF(74:74,C14,75:75)+100</f>
        <v>100</v>
      </c>
      <c r="I14" s="515"/>
      <c r="J14" s="522">
        <f>SUMIF(74:74,I14,75:75)-SUMIF(74:74,C14,75:75)+100</f>
        <v>100</v>
      </c>
      <c r="K14" s="557"/>
      <c r="L14" s="1977"/>
      <c r="M14" s="1969"/>
      <c r="N14" s="1969"/>
      <c r="O14" s="1976"/>
      <c r="P14" s="3660"/>
      <c r="Q14" s="1096">
        <f t="shared" si="6"/>
        <v>111</v>
      </c>
      <c r="R14" s="1457" t="s">
        <v>8</v>
      </c>
      <c r="S14" s="1458">
        <f t="shared" si="0"/>
        <v>100</v>
      </c>
      <c r="T14" s="1457" t="s">
        <v>8</v>
      </c>
      <c r="U14" s="1458">
        <f t="shared" si="1"/>
        <v>100</v>
      </c>
      <c r="V14" s="1457" t="s">
        <v>8</v>
      </c>
      <c r="W14" s="1458">
        <f t="shared" si="2"/>
        <v>100</v>
      </c>
      <c r="X14" s="1459"/>
      <c r="Y14" s="3608"/>
      <c r="Z14" s="1095">
        <f t="shared" si="7"/>
        <v>111</v>
      </c>
      <c r="AA14" s="1460">
        <f t="shared" si="3"/>
        <v>1</v>
      </c>
      <c r="AB14" s="1460">
        <f t="shared" si="4"/>
        <v>1</v>
      </c>
      <c r="AC14" s="1460">
        <f t="shared" si="5"/>
        <v>1</v>
      </c>
    </row>
    <row r="15" spans="1:29" ht="15">
      <c r="A15" s="2548" t="s">
        <v>2471</v>
      </c>
      <c r="B15" s="164" t="s">
        <v>524</v>
      </c>
      <c r="C15" s="838">
        <f>估价对象房地状况!C4</f>
        <v>0</v>
      </c>
      <c r="D15" s="525">
        <v>100</v>
      </c>
      <c r="E15" s="526"/>
      <c r="F15" s="527">
        <f>SUMIF(76:76,E16,77:77)-SUMIF(76:76,C16,77:77)+100</f>
        <v>100</v>
      </c>
      <c r="G15" s="528"/>
      <c r="H15" s="525">
        <f>SUMIF(76:76,G16,77:77)-SUMIF(76:76,C16,77:77)+100</f>
        <v>100</v>
      </c>
      <c r="I15" s="526"/>
      <c r="J15" s="525">
        <f>SUMIF(76:76,I16,77:77)-SUMIF(76:76,C16,77:77)+100</f>
        <v>100</v>
      </c>
      <c r="K15" s="868"/>
      <c r="L15" s="1977"/>
      <c r="M15" s="1969"/>
      <c r="N15" s="1969"/>
      <c r="O15" s="1976"/>
      <c r="P15" s="3662" t="s">
        <v>523</v>
      </c>
      <c r="Q15" s="1461" t="str">
        <f t="shared" si="6"/>
        <v>商业繁华度</v>
      </c>
      <c r="R15" s="1462" t="s">
        <v>8</v>
      </c>
      <c r="S15" s="1463">
        <f t="shared" si="0"/>
        <v>100</v>
      </c>
      <c r="T15" s="1462" t="s">
        <v>8</v>
      </c>
      <c r="U15" s="1463">
        <f t="shared" si="1"/>
        <v>100</v>
      </c>
      <c r="V15" s="1462" t="s">
        <v>8</v>
      </c>
      <c r="W15" s="1463">
        <f t="shared" si="2"/>
        <v>100</v>
      </c>
      <c r="X15" s="1456"/>
      <c r="Y15" s="3662"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63"/>
      <c r="Q16" s="1461"/>
      <c r="R16" s="1462"/>
      <c r="S16" s="1463"/>
      <c r="T16" s="1462"/>
      <c r="U16" s="1463"/>
      <c r="V16" s="1462"/>
      <c r="W16" s="1463"/>
      <c r="X16" s="1456"/>
      <c r="Y16" s="3663"/>
      <c r="Z16" s="1464"/>
      <c r="AA16" s="1465">
        <v>1</v>
      </c>
      <c r="AB16" s="1465">
        <v>1</v>
      </c>
      <c r="AC16" s="1465">
        <v>1</v>
      </c>
    </row>
    <row r="17" spans="1:29" ht="15">
      <c r="A17" s="508"/>
      <c r="B17" s="842" t="s">
        <v>296</v>
      </c>
      <c r="C17" s="843">
        <f>估价对象房地状况!C6</f>
        <v>0</v>
      </c>
      <c r="D17" s="535">
        <v>100</v>
      </c>
      <c r="E17" s="538"/>
      <c r="F17" s="539">
        <f>SUMIF(78:78,E18,79:79)-SUMIF(78:78,C18,79:79)+100</f>
        <v>100</v>
      </c>
      <c r="G17" s="540"/>
      <c r="H17" s="541">
        <f>SUMIF(78:78,G18,79:79)-SUMIF(78:78,C18,79:79)+100</f>
        <v>100</v>
      </c>
      <c r="I17" s="538"/>
      <c r="J17" s="541">
        <f>SUMIF(78:78,I18,79:79)-SUMIF(78:78,C18,79:79)+100</f>
        <v>100</v>
      </c>
      <c r="K17" s="868"/>
      <c r="L17" s="1977"/>
      <c r="M17" s="1969"/>
      <c r="N17" s="1969"/>
      <c r="O17" s="1976"/>
      <c r="P17" s="3663"/>
      <c r="Q17" s="1461" t="str">
        <f>B17</f>
        <v>交通便捷度</v>
      </c>
      <c r="R17" s="1462" t="s">
        <v>8</v>
      </c>
      <c r="S17" s="1463">
        <f>F17</f>
        <v>100</v>
      </c>
      <c r="T17" s="1462" t="s">
        <v>8</v>
      </c>
      <c r="U17" s="1463">
        <f>H17</f>
        <v>100</v>
      </c>
      <c r="V17" s="1462" t="s">
        <v>8</v>
      </c>
      <c r="W17" s="1463">
        <f>J17</f>
        <v>100</v>
      </c>
      <c r="X17" s="1456"/>
      <c r="Y17" s="3663"/>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63"/>
      <c r="Q18" s="1461"/>
      <c r="R18" s="1462"/>
      <c r="S18" s="1463"/>
      <c r="T18" s="1462"/>
      <c r="U18" s="1463"/>
      <c r="V18" s="1462"/>
      <c r="W18" s="1463"/>
      <c r="X18" s="1456"/>
      <c r="Y18" s="3663"/>
      <c r="Z18" s="1464"/>
      <c r="AA18" s="1465">
        <v>1</v>
      </c>
      <c r="AB18" s="1465">
        <v>1</v>
      </c>
      <c r="AC18" s="1465">
        <v>1</v>
      </c>
    </row>
    <row r="19" spans="1:29" ht="15">
      <c r="A19" s="508"/>
      <c r="B19" s="2365" t="s">
        <v>2264</v>
      </c>
      <c r="C19" s="843">
        <f>估价对象房地状况!C7</f>
        <v>0</v>
      </c>
      <c r="D19" s="541">
        <v>100</v>
      </c>
      <c r="E19" s="546"/>
      <c r="F19" s="547">
        <f>SUMIF(80:80,E20,81:81)-SUMIF(80:80,C20,81:81)+100</f>
        <v>100</v>
      </c>
      <c r="G19" s="548"/>
      <c r="H19" s="535">
        <f>SUMIF(80:80,G20,81:81)-SUMIF(80:80,C20,81:81)+100</f>
        <v>100</v>
      </c>
      <c r="I19" s="546"/>
      <c r="J19" s="535">
        <f>SUMIF(80:80,I20,81:81)-SUMIF(80:80,C20,81:81)+100</f>
        <v>100</v>
      </c>
      <c r="K19" s="868"/>
      <c r="L19" s="1977"/>
      <c r="M19" s="1969"/>
      <c r="N19" s="1969"/>
      <c r="O19" s="1976"/>
      <c r="P19" s="3663"/>
      <c r="Q19" s="1461" t="str">
        <f>B19</f>
        <v>公共配套设施</v>
      </c>
      <c r="R19" s="1462" t="s">
        <v>8</v>
      </c>
      <c r="S19" s="1463">
        <f>F19</f>
        <v>100</v>
      </c>
      <c r="T19" s="1462" t="s">
        <v>8</v>
      </c>
      <c r="U19" s="1463">
        <f>H19</f>
        <v>100</v>
      </c>
      <c r="V19" s="1462" t="s">
        <v>8</v>
      </c>
      <c r="W19" s="1463">
        <f>J19</f>
        <v>100</v>
      </c>
      <c r="X19" s="1456"/>
      <c r="Y19" s="3663"/>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7"/>
      <c r="M20" s="1969"/>
      <c r="N20" s="1969"/>
      <c r="O20" s="1976"/>
      <c r="P20" s="3663"/>
      <c r="Q20" s="1461"/>
      <c r="R20" s="1462"/>
      <c r="S20" s="1463"/>
      <c r="T20" s="1462"/>
      <c r="U20" s="1463"/>
      <c r="V20" s="1462"/>
      <c r="W20" s="1463"/>
      <c r="X20" s="1456"/>
      <c r="Y20" s="3663"/>
      <c r="Z20" s="1464"/>
      <c r="AA20" s="1465">
        <v>1</v>
      </c>
      <c r="AB20" s="1465">
        <v>1</v>
      </c>
      <c r="AC20" s="1465">
        <v>1</v>
      </c>
    </row>
    <row r="21" spans="1:29" ht="15">
      <c r="A21" s="508"/>
      <c r="B21" s="2358" t="s">
        <v>2276</v>
      </c>
      <c r="C21" s="843">
        <f>估价对象房地状况!C8</f>
        <v>0</v>
      </c>
      <c r="D21" s="541">
        <v>100</v>
      </c>
      <c r="E21" s="548"/>
      <c r="F21" s="547">
        <f>SUMIF(82:82,E22,83:83)-SUMIF(82:82,C22,83:83)+100</f>
        <v>100</v>
      </c>
      <c r="G21" s="548"/>
      <c r="H21" s="541">
        <f>SUMIF(82:82,G22,83:83)-SUMIF(82:82,C22,83:83)+100</f>
        <v>100</v>
      </c>
      <c r="I21" s="546"/>
      <c r="J21" s="541">
        <f>SUMIF(82:82,I22,83:83)-SUMIF(82:82,C22,83:83)+100</f>
        <v>100</v>
      </c>
      <c r="K21" s="868"/>
      <c r="L21" s="1977"/>
      <c r="M21" s="1969"/>
      <c r="N21" s="1969"/>
      <c r="O21" s="1976"/>
      <c r="P21" s="3663"/>
      <c r="Q21" s="2350" t="str">
        <f>B21</f>
        <v>基础设施水平</v>
      </c>
      <c r="R21" s="1462" t="s">
        <v>8</v>
      </c>
      <c r="S21" s="1463">
        <f>F21</f>
        <v>100</v>
      </c>
      <c r="T21" s="1462" t="s">
        <v>8</v>
      </c>
      <c r="U21" s="1463">
        <f>H21</f>
        <v>100</v>
      </c>
      <c r="V21" s="1462" t="s">
        <v>8</v>
      </c>
      <c r="W21" s="1463">
        <f>J21</f>
        <v>100</v>
      </c>
      <c r="X21" s="2352"/>
      <c r="Y21" s="3663"/>
      <c r="Z21" s="2351" t="str">
        <f>Q21</f>
        <v>基础设施水平</v>
      </c>
      <c r="AA21" s="1465">
        <f t="shared" ref="AA21" si="8">D21/F21</f>
        <v>1</v>
      </c>
      <c r="AB21" s="1465">
        <f t="shared" ref="AB21" si="9">D21/H21</f>
        <v>1</v>
      </c>
      <c r="AC21" s="1465">
        <f t="shared" ref="AC21" si="10">D21/J21</f>
        <v>1</v>
      </c>
    </row>
    <row r="22" spans="1:29" ht="15">
      <c r="A22" s="508"/>
      <c r="B22" s="892"/>
      <c r="C22" s="844"/>
      <c r="D22" s="531"/>
      <c r="E22" s="552"/>
      <c r="F22" s="533"/>
      <c r="G22" s="552"/>
      <c r="H22" s="531"/>
      <c r="I22" s="552"/>
      <c r="J22" s="531"/>
      <c r="K22" s="2367"/>
      <c r="L22" s="1977"/>
      <c r="M22" s="1969"/>
      <c r="N22" s="1969"/>
      <c r="O22" s="1976"/>
      <c r="P22" s="3663"/>
      <c r="Q22" s="2350"/>
      <c r="R22" s="1462"/>
      <c r="S22" s="1463"/>
      <c r="T22" s="1462"/>
      <c r="U22" s="1463"/>
      <c r="V22" s="1462"/>
      <c r="W22" s="1463"/>
      <c r="X22" s="2352"/>
      <c r="Y22" s="3663"/>
      <c r="Z22" s="2351"/>
      <c r="AA22" s="1465">
        <v>1</v>
      </c>
      <c r="AB22" s="1465">
        <v>1</v>
      </c>
      <c r="AC22" s="1465">
        <v>1</v>
      </c>
    </row>
    <row r="23" spans="1:29" ht="15">
      <c r="A23" s="508"/>
      <c r="B23" s="842" t="s">
        <v>297</v>
      </c>
      <c r="C23" s="870">
        <f>估价对象房地状况!C9</f>
        <v>0</v>
      </c>
      <c r="D23" s="535">
        <v>100</v>
      </c>
      <c r="E23" s="538"/>
      <c r="F23" s="539">
        <f>SUMIF(84:84,E24,85:85)-SUMIF(84:84,C24,85:85)+100</f>
        <v>100</v>
      </c>
      <c r="G23" s="540"/>
      <c r="H23" s="535">
        <f>SUMIF(84:84,G24,85:85)-SUMIF(84:84,C24,85:85)+100</f>
        <v>100</v>
      </c>
      <c r="I23" s="538"/>
      <c r="J23" s="535">
        <f>SUMIF(84:84,I24,85:85)-SUMIF(84:84,C24,85:85)+100</f>
        <v>100</v>
      </c>
      <c r="K23" s="868"/>
      <c r="L23" s="1977"/>
      <c r="M23" s="1969"/>
      <c r="N23" s="1969"/>
      <c r="O23" s="1976"/>
      <c r="P23" s="3663"/>
      <c r="Q23" s="1461" t="str">
        <f>B23</f>
        <v>自然及人文环境</v>
      </c>
      <c r="R23" s="1462" t="s">
        <v>8</v>
      </c>
      <c r="S23" s="1463">
        <f>F23</f>
        <v>100</v>
      </c>
      <c r="T23" s="1462" t="s">
        <v>8</v>
      </c>
      <c r="U23" s="1463">
        <f>H23</f>
        <v>100</v>
      </c>
      <c r="V23" s="1462" t="s">
        <v>8</v>
      </c>
      <c r="W23" s="1463">
        <f>J23</f>
        <v>100</v>
      </c>
      <c r="X23" s="1456"/>
      <c r="Y23" s="3663"/>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7"/>
      <c r="M24" s="1969"/>
      <c r="N24" s="1969"/>
      <c r="O24" s="1976"/>
      <c r="P24" s="3663"/>
      <c r="Q24" s="1461"/>
      <c r="R24" s="1462"/>
      <c r="S24" s="1463"/>
      <c r="T24" s="1462"/>
      <c r="U24" s="1463"/>
      <c r="V24" s="1462"/>
      <c r="W24" s="1463"/>
      <c r="X24" s="1456"/>
      <c r="Y24" s="3663"/>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63"/>
      <c r="Q25" s="1461" t="str">
        <f t="shared" ref="Q25:Q46" si="11">B25</f>
        <v>临街状况</v>
      </c>
      <c r="R25" s="1462" t="s">
        <v>8</v>
      </c>
      <c r="S25" s="1463">
        <f>F25</f>
        <v>100</v>
      </c>
      <c r="T25" s="1462" t="s">
        <v>8</v>
      </c>
      <c r="U25" s="1463">
        <f>H25</f>
        <v>100</v>
      </c>
      <c r="V25" s="1462" t="s">
        <v>8</v>
      </c>
      <c r="W25" s="1463">
        <f>J25</f>
        <v>100</v>
      </c>
      <c r="X25" s="1456"/>
      <c r="Y25" s="3663"/>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63"/>
      <c r="Q26" s="1461" t="str">
        <f t="shared" si="11"/>
        <v>平面位置/可视性</v>
      </c>
      <c r="R26" s="1462" t="s">
        <v>8</v>
      </c>
      <c r="S26" s="1463">
        <f>F26</f>
        <v>100</v>
      </c>
      <c r="T26" s="1462" t="s">
        <v>8</v>
      </c>
      <c r="U26" s="1463">
        <f>H26</f>
        <v>100</v>
      </c>
      <c r="V26" s="1462" t="s">
        <v>8</v>
      </c>
      <c r="W26" s="1463">
        <f>J26</f>
        <v>100</v>
      </c>
      <c r="X26" s="1456"/>
      <c r="Y26" s="3663"/>
      <c r="Z26" s="1464" t="str">
        <f>Q26</f>
        <v>平面位置/可视性</v>
      </c>
      <c r="AA26" s="1465">
        <f t="shared" si="3"/>
        <v>1</v>
      </c>
      <c r="AB26" s="1465">
        <f t="shared" si="4"/>
        <v>1</v>
      </c>
      <c r="AC26" s="1465">
        <f t="shared" si="5"/>
        <v>1</v>
      </c>
    </row>
    <row r="27" spans="1:29" s="1165" customFormat="1" ht="1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70"/>
      <c r="M27" s="1971"/>
      <c r="N27" s="1971"/>
      <c r="O27" s="1972"/>
      <c r="P27" s="3663"/>
      <c r="Q27" s="1096" t="str">
        <f t="shared" si="11"/>
        <v>人流量</v>
      </c>
      <c r="R27" s="1457" t="s">
        <v>8</v>
      </c>
      <c r="S27" s="1458">
        <f>F27</f>
        <v>100</v>
      </c>
      <c r="T27" s="1457" t="s">
        <v>8</v>
      </c>
      <c r="U27" s="1458">
        <f>H27</f>
        <v>100</v>
      </c>
      <c r="V27" s="1457" t="s">
        <v>8</v>
      </c>
      <c r="W27" s="1458">
        <f>J27</f>
        <v>100</v>
      </c>
      <c r="X27" s="1459"/>
      <c r="Y27" s="3663"/>
      <c r="Z27" s="1095"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63"/>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63"/>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63"/>
      <c r="Q29" s="1461">
        <f t="shared" si="11"/>
        <v>111</v>
      </c>
      <c r="R29" s="1462" t="s">
        <v>8</v>
      </c>
      <c r="S29" s="1463">
        <f t="shared" si="12"/>
        <v>100</v>
      </c>
      <c r="T29" s="1462" t="s">
        <v>8</v>
      </c>
      <c r="U29" s="1463">
        <f t="shared" si="13"/>
        <v>100</v>
      </c>
      <c r="V29" s="1462" t="s">
        <v>8</v>
      </c>
      <c r="W29" s="1463">
        <f t="shared" si="14"/>
        <v>100</v>
      </c>
      <c r="X29" s="1456"/>
      <c r="Y29" s="3663"/>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63"/>
      <c r="Q30" s="1461">
        <f t="shared" si="11"/>
        <v>111</v>
      </c>
      <c r="R30" s="1462" t="s">
        <v>8</v>
      </c>
      <c r="S30" s="1463">
        <f t="shared" si="12"/>
        <v>100</v>
      </c>
      <c r="T30" s="1462" t="s">
        <v>8</v>
      </c>
      <c r="U30" s="1463">
        <f t="shared" si="13"/>
        <v>100</v>
      </c>
      <c r="V30" s="1462" t="s">
        <v>8</v>
      </c>
      <c r="W30" s="1463">
        <f t="shared" si="14"/>
        <v>100</v>
      </c>
      <c r="X30" s="1456"/>
      <c r="Y30" s="3663"/>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63"/>
      <c r="Q31" s="1461">
        <f t="shared" si="11"/>
        <v>111</v>
      </c>
      <c r="R31" s="1462" t="s">
        <v>8</v>
      </c>
      <c r="S31" s="1463">
        <f t="shared" si="12"/>
        <v>100</v>
      </c>
      <c r="T31" s="1462" t="s">
        <v>8</v>
      </c>
      <c r="U31" s="1463">
        <f t="shared" si="13"/>
        <v>100</v>
      </c>
      <c r="V31" s="1462" t="s">
        <v>8</v>
      </c>
      <c r="W31" s="1463">
        <f t="shared" si="14"/>
        <v>100</v>
      </c>
      <c r="X31" s="1456"/>
      <c r="Y31" s="3663"/>
      <c r="Z31" s="1464">
        <f t="shared" si="15"/>
        <v>111</v>
      </c>
      <c r="AA31" s="1465">
        <f t="shared" si="3"/>
        <v>1</v>
      </c>
      <c r="AB31" s="1465">
        <f t="shared" si="4"/>
        <v>1</v>
      </c>
      <c r="AC31" s="1465">
        <f t="shared" si="5"/>
        <v>1</v>
      </c>
    </row>
    <row r="32" spans="1:29" ht="15">
      <c r="A32" s="2545"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64" t="s">
        <v>533</v>
      </c>
      <c r="Q32" s="1461" t="str">
        <f t="shared" si="11"/>
        <v>商业类型</v>
      </c>
      <c r="R32" s="1462" t="s">
        <v>8</v>
      </c>
      <c r="S32" s="1463">
        <f t="shared" si="12"/>
        <v>100</v>
      </c>
      <c r="T32" s="1462" t="s">
        <v>8</v>
      </c>
      <c r="U32" s="1463">
        <f t="shared" si="13"/>
        <v>100</v>
      </c>
      <c r="V32" s="1462" t="s">
        <v>8</v>
      </c>
      <c r="W32" s="1463">
        <f t="shared" si="14"/>
        <v>100</v>
      </c>
      <c r="X32" s="1456"/>
      <c r="Y32" s="3665" t="s">
        <v>533</v>
      </c>
      <c r="Z32" s="1464" t="str">
        <f t="shared" si="15"/>
        <v>商业类型</v>
      </c>
      <c r="AA32" s="1465">
        <f t="shared" si="3"/>
        <v>1</v>
      </c>
      <c r="AB32" s="1465">
        <f t="shared" si="4"/>
        <v>1</v>
      </c>
      <c r="AC32" s="1465">
        <f t="shared" si="5"/>
        <v>1</v>
      </c>
    </row>
    <row r="33" spans="1:29" s="1247" customFormat="1" ht="15">
      <c r="A33" s="579"/>
      <c r="B33" s="503" t="s">
        <v>708</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65"/>
      <c r="Q33" s="1490" t="str">
        <f t="shared" si="11"/>
        <v>项目建筑规模</v>
      </c>
      <c r="R33" s="1466" t="s">
        <v>8</v>
      </c>
      <c r="S33" s="1467" t="e">
        <f t="shared" si="12"/>
        <v>#N/A</v>
      </c>
      <c r="T33" s="1466" t="s">
        <v>8</v>
      </c>
      <c r="U33" s="1467" t="e">
        <f t="shared" si="13"/>
        <v>#N/A</v>
      </c>
      <c r="V33" s="1466" t="s">
        <v>8</v>
      </c>
      <c r="W33" s="1467" t="e">
        <f t="shared" si="14"/>
        <v>#N/A</v>
      </c>
      <c r="X33" s="1468"/>
      <c r="Y33" s="3665"/>
      <c r="Z33" s="1469" t="str">
        <f t="shared" si="15"/>
        <v>项目建筑规模</v>
      </c>
      <c r="AA33" s="1465" t="e">
        <f t="shared" si="3"/>
        <v>#N/A</v>
      </c>
      <c r="AB33" s="1465" t="e">
        <f t="shared" si="4"/>
        <v>#N/A</v>
      </c>
      <c r="AC33" s="1465" t="e">
        <f t="shared" si="5"/>
        <v>#N/A</v>
      </c>
    </row>
    <row r="34" spans="1:29" ht="15">
      <c r="A34" s="570"/>
      <c r="B34" s="503" t="s">
        <v>709</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7"/>
      <c r="M34" s="1969"/>
      <c r="N34" s="1969"/>
      <c r="O34" s="1976"/>
      <c r="P34" s="3665"/>
      <c r="Q34" s="1461" t="str">
        <f t="shared" si="11"/>
        <v>建筑结构</v>
      </c>
      <c r="R34" s="1462" t="s">
        <v>8</v>
      </c>
      <c r="S34" s="1463">
        <f t="shared" si="12"/>
        <v>100</v>
      </c>
      <c r="T34" s="1462" t="s">
        <v>8</v>
      </c>
      <c r="U34" s="1463">
        <f t="shared" si="13"/>
        <v>100</v>
      </c>
      <c r="V34" s="1462" t="s">
        <v>8</v>
      </c>
      <c r="W34" s="1463">
        <f t="shared" si="14"/>
        <v>100</v>
      </c>
      <c r="X34" s="1456"/>
      <c r="Y34" s="3665"/>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65"/>
      <c r="Q35" s="1461" t="str">
        <f t="shared" si="11"/>
        <v>公共部分装修</v>
      </c>
      <c r="R35" s="1462" t="s">
        <v>8</v>
      </c>
      <c r="S35" s="1463">
        <f t="shared" si="12"/>
        <v>100</v>
      </c>
      <c r="T35" s="1462" t="s">
        <v>8</v>
      </c>
      <c r="U35" s="1463">
        <f t="shared" si="13"/>
        <v>100</v>
      </c>
      <c r="V35" s="1462" t="s">
        <v>8</v>
      </c>
      <c r="W35" s="1463">
        <f t="shared" si="14"/>
        <v>100</v>
      </c>
      <c r="X35" s="1456"/>
      <c r="Y35" s="3665"/>
      <c r="Z35" s="1464" t="str">
        <f t="shared" si="15"/>
        <v>公共部分装修</v>
      </c>
      <c r="AA35" s="1465">
        <f t="shared" si="3"/>
        <v>1</v>
      </c>
      <c r="AB35" s="1465">
        <f t="shared" si="4"/>
        <v>1</v>
      </c>
      <c r="AC35" s="1465">
        <f t="shared" si="5"/>
        <v>1</v>
      </c>
    </row>
    <row r="36" spans="1:29" ht="15">
      <c r="A36" s="570"/>
      <c r="B36" s="503" t="s">
        <v>746</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7"/>
      <c r="M36" s="1969"/>
      <c r="N36" s="1969"/>
      <c r="O36" s="1976"/>
      <c r="P36" s="3665"/>
      <c r="Q36" s="1461" t="str">
        <f t="shared" si="11"/>
        <v>成新度</v>
      </c>
      <c r="R36" s="1462" t="s">
        <v>8</v>
      </c>
      <c r="S36" s="1463" t="e">
        <f t="shared" si="12"/>
        <v>#N/A</v>
      </c>
      <c r="T36" s="1462" t="s">
        <v>8</v>
      </c>
      <c r="U36" s="1463" t="e">
        <f t="shared" si="13"/>
        <v>#N/A</v>
      </c>
      <c r="V36" s="1462" t="s">
        <v>8</v>
      </c>
      <c r="W36" s="1463" t="e">
        <f t="shared" si="14"/>
        <v>#N/A</v>
      </c>
      <c r="X36" s="1456"/>
      <c r="Y36" s="3665"/>
      <c r="Z36" s="1464" t="str">
        <f t="shared" si="15"/>
        <v>成新度</v>
      </c>
      <c r="AA36" s="1465" t="e">
        <f t="shared" si="3"/>
        <v>#N/A</v>
      </c>
      <c r="AB36" s="1465" t="e">
        <f t="shared" si="4"/>
        <v>#N/A</v>
      </c>
      <c r="AC36" s="1465" t="e">
        <f t="shared" si="5"/>
        <v>#N/A</v>
      </c>
    </row>
    <row r="37" spans="1:29" s="1165"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65"/>
      <c r="Q37" s="1096" t="str">
        <f t="shared" si="11"/>
        <v>市政基础设施</v>
      </c>
      <c r="R37" s="1457" t="s">
        <v>8</v>
      </c>
      <c r="S37" s="1458">
        <f t="shared" si="12"/>
        <v>100</v>
      </c>
      <c r="T37" s="1457" t="s">
        <v>8</v>
      </c>
      <c r="U37" s="1458">
        <f t="shared" si="13"/>
        <v>100</v>
      </c>
      <c r="V37" s="1457" t="s">
        <v>8</v>
      </c>
      <c r="W37" s="1458">
        <f t="shared" si="14"/>
        <v>100</v>
      </c>
      <c r="X37" s="1459"/>
      <c r="Y37" s="3665"/>
      <c r="Z37" s="1095"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65" t="s">
        <v>748</v>
      </c>
      <c r="Q38" s="1461" t="str">
        <f t="shared" si="11"/>
        <v>业态</v>
      </c>
      <c r="R38" s="1462" t="s">
        <v>8</v>
      </c>
      <c r="S38" s="1463">
        <f t="shared" si="12"/>
        <v>100</v>
      </c>
      <c r="T38" s="1462" t="s">
        <v>8</v>
      </c>
      <c r="U38" s="1463">
        <f t="shared" si="13"/>
        <v>100</v>
      </c>
      <c r="V38" s="1462" t="s">
        <v>8</v>
      </c>
      <c r="W38" s="1463">
        <f t="shared" si="14"/>
        <v>100</v>
      </c>
      <c r="X38" s="1456"/>
      <c r="Y38" s="3665"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65"/>
      <c r="Q39" s="1461" t="str">
        <f t="shared" si="11"/>
        <v>层高</v>
      </c>
      <c r="R39" s="1462" t="s">
        <v>8</v>
      </c>
      <c r="S39" s="1463">
        <f t="shared" si="12"/>
        <v>100</v>
      </c>
      <c r="T39" s="1462" t="s">
        <v>8</v>
      </c>
      <c r="U39" s="1463">
        <f t="shared" si="13"/>
        <v>100</v>
      </c>
      <c r="V39" s="1462" t="s">
        <v>8</v>
      </c>
      <c r="W39" s="1463">
        <f t="shared" si="14"/>
        <v>100</v>
      </c>
      <c r="X39" s="1456"/>
      <c r="Y39" s="3665"/>
      <c r="Z39" s="1464" t="str">
        <f t="shared" si="15"/>
        <v>层高</v>
      </c>
      <c r="AA39" s="1465">
        <f t="shared" si="3"/>
        <v>1</v>
      </c>
      <c r="AB39" s="1465">
        <f t="shared" si="4"/>
        <v>1</v>
      </c>
      <c r="AC39" s="1465">
        <f t="shared" si="5"/>
        <v>1</v>
      </c>
    </row>
    <row r="40" spans="1:29" ht="15">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7"/>
      <c r="M40" s="1969"/>
      <c r="N40" s="1969"/>
      <c r="O40" s="1976"/>
      <c r="P40" s="3665"/>
      <c r="Q40" s="1461" t="str">
        <f t="shared" si="11"/>
        <v>单套建筑面积</v>
      </c>
      <c r="R40" s="1462" t="s">
        <v>8</v>
      </c>
      <c r="S40" s="1463">
        <f t="shared" si="12"/>
        <v>100</v>
      </c>
      <c r="T40" s="1462" t="s">
        <v>8</v>
      </c>
      <c r="U40" s="1463">
        <f t="shared" si="13"/>
        <v>100</v>
      </c>
      <c r="V40" s="1462" t="s">
        <v>8</v>
      </c>
      <c r="W40" s="1463">
        <f t="shared" si="14"/>
        <v>100</v>
      </c>
      <c r="X40" s="1456"/>
      <c r="Y40" s="3665"/>
      <c r="Z40" s="1464" t="str">
        <f t="shared" si="15"/>
        <v>单套建筑面积</v>
      </c>
      <c r="AA40" s="1465">
        <f t="shared" si="3"/>
        <v>1</v>
      </c>
      <c r="AB40" s="1465">
        <f t="shared" si="4"/>
        <v>1</v>
      </c>
      <c r="AC40" s="1465">
        <f t="shared" si="5"/>
        <v>1</v>
      </c>
    </row>
    <row r="41" spans="1:29" s="1247" customFormat="1" ht="15">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65"/>
      <c r="Q41" s="1490" t="str">
        <f t="shared" si="11"/>
        <v>进深比</v>
      </c>
      <c r="R41" s="1466" t="s">
        <v>8</v>
      </c>
      <c r="S41" s="1467">
        <f t="shared" si="12"/>
        <v>100</v>
      </c>
      <c r="T41" s="1466" t="s">
        <v>8</v>
      </c>
      <c r="U41" s="1467">
        <f t="shared" si="13"/>
        <v>100</v>
      </c>
      <c r="V41" s="1466" t="s">
        <v>8</v>
      </c>
      <c r="W41" s="1467">
        <f t="shared" si="14"/>
        <v>100</v>
      </c>
      <c r="X41" s="1468"/>
      <c r="Y41" s="3665"/>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65"/>
      <c r="Q42" s="1461" t="str">
        <f t="shared" si="11"/>
        <v>内部装修</v>
      </c>
      <c r="R42" s="1462" t="s">
        <v>8</v>
      </c>
      <c r="S42" s="1463">
        <f t="shared" si="12"/>
        <v>100</v>
      </c>
      <c r="T42" s="1462" t="s">
        <v>8</v>
      </c>
      <c r="U42" s="1463">
        <f t="shared" si="13"/>
        <v>100</v>
      </c>
      <c r="V42" s="1462" t="s">
        <v>8</v>
      </c>
      <c r="W42" s="1463">
        <f t="shared" si="14"/>
        <v>100</v>
      </c>
      <c r="X42" s="1456"/>
      <c r="Y42" s="3665"/>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65"/>
      <c r="Q43" s="1461" t="str">
        <f t="shared" si="11"/>
        <v>内部装修维护情况</v>
      </c>
      <c r="R43" s="1462" t="s">
        <v>8</v>
      </c>
      <c r="S43" s="1463">
        <f t="shared" si="12"/>
        <v>100</v>
      </c>
      <c r="T43" s="1462" t="s">
        <v>8</v>
      </c>
      <c r="U43" s="1463">
        <f t="shared" si="13"/>
        <v>100</v>
      </c>
      <c r="V43" s="1462" t="s">
        <v>8</v>
      </c>
      <c r="W43" s="1463">
        <f t="shared" si="14"/>
        <v>100</v>
      </c>
      <c r="X43" s="1456"/>
      <c r="Y43" s="3665"/>
      <c r="Z43" s="1464" t="str">
        <f t="shared" si="15"/>
        <v>内部装修维护情况</v>
      </c>
      <c r="AA43" s="1465">
        <f t="shared" si="3"/>
        <v>1</v>
      </c>
      <c r="AB43" s="1465">
        <f t="shared" si="4"/>
        <v>1</v>
      </c>
      <c r="AC43" s="1465">
        <f t="shared" si="5"/>
        <v>1</v>
      </c>
    </row>
    <row r="44" spans="1:29" s="1165"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65"/>
      <c r="Q44" s="1096">
        <f t="shared" si="11"/>
        <v>111</v>
      </c>
      <c r="R44" s="1457" t="s">
        <v>8</v>
      </c>
      <c r="S44" s="1458">
        <f t="shared" si="12"/>
        <v>100</v>
      </c>
      <c r="T44" s="1457" t="s">
        <v>8</v>
      </c>
      <c r="U44" s="1458">
        <f t="shared" si="13"/>
        <v>100</v>
      </c>
      <c r="V44" s="1457" t="s">
        <v>8</v>
      </c>
      <c r="W44" s="1458">
        <f t="shared" si="14"/>
        <v>100</v>
      </c>
      <c r="X44" s="1459"/>
      <c r="Y44" s="3665"/>
      <c r="Z44" s="1095">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65"/>
      <c r="Q45" s="1461">
        <f t="shared" si="11"/>
        <v>111</v>
      </c>
      <c r="R45" s="1462" t="s">
        <v>8</v>
      </c>
      <c r="S45" s="1463">
        <f t="shared" si="12"/>
        <v>100</v>
      </c>
      <c r="T45" s="1462" t="s">
        <v>8</v>
      </c>
      <c r="U45" s="1463">
        <f t="shared" si="13"/>
        <v>100</v>
      </c>
      <c r="V45" s="1462" t="s">
        <v>8</v>
      </c>
      <c r="W45" s="1463">
        <f t="shared" si="14"/>
        <v>100</v>
      </c>
      <c r="X45" s="1456"/>
      <c r="Y45" s="3665"/>
      <c r="Z45" s="1464">
        <f t="shared" si="15"/>
        <v>111</v>
      </c>
      <c r="AA45" s="1465">
        <f t="shared" si="3"/>
        <v>1</v>
      </c>
      <c r="AB45" s="1465">
        <f t="shared" si="4"/>
        <v>1</v>
      </c>
      <c r="AC45" s="1465">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779"/>
      <c r="Q46" s="1461">
        <f t="shared" si="11"/>
        <v>111</v>
      </c>
      <c r="R46" s="1462" t="s">
        <v>8</v>
      </c>
      <c r="S46" s="1463">
        <f t="shared" si="12"/>
        <v>100</v>
      </c>
      <c r="T46" s="1462" t="s">
        <v>8</v>
      </c>
      <c r="U46" s="1463">
        <f t="shared" si="13"/>
        <v>100</v>
      </c>
      <c r="V46" s="1462" t="s">
        <v>8</v>
      </c>
      <c r="W46" s="1463">
        <f t="shared" si="14"/>
        <v>100</v>
      </c>
      <c r="X46" s="1456"/>
      <c r="Y46" s="3779"/>
      <c r="Z46" s="1464">
        <f t="shared" si="15"/>
        <v>111</v>
      </c>
      <c r="AA46" s="1465">
        <f t="shared" si="3"/>
        <v>1</v>
      </c>
      <c r="AB46" s="1465">
        <f t="shared" si="4"/>
        <v>1</v>
      </c>
      <c r="AC46" s="1465">
        <f t="shared" si="5"/>
        <v>1</v>
      </c>
    </row>
    <row r="47" spans="1:29" ht="15">
      <c r="A47" s="583" t="s">
        <v>718</v>
      </c>
      <c r="B47" s="857"/>
      <c r="C47" s="2391" t="s">
        <v>1</v>
      </c>
      <c r="D47" s="2392"/>
      <c r="E47" s="2393"/>
      <c r="F47" s="2394"/>
      <c r="G47" s="2395"/>
      <c r="H47" s="2396"/>
      <c r="I47" s="2393"/>
      <c r="J47" s="2396"/>
      <c r="K47" s="1495"/>
      <c r="L47" s="1979"/>
      <c r="M47" s="1980"/>
      <c r="N47" s="1969"/>
      <c r="O47" s="1980"/>
      <c r="P47" s="3660" t="str">
        <f>A47</f>
        <v>成交单价（元/平方米）</v>
      </c>
      <c r="Q47" s="3660"/>
      <c r="R47" s="3778">
        <f>E47</f>
        <v>0</v>
      </c>
      <c r="S47" s="3778"/>
      <c r="T47" s="3778">
        <f>G47</f>
        <v>0</v>
      </c>
      <c r="U47" s="3778"/>
      <c r="V47" s="3778">
        <f>I47</f>
        <v>0</v>
      </c>
      <c r="W47" s="3778"/>
      <c r="X47" s="1451"/>
      <c r="Y47" s="1470"/>
      <c r="Z47" s="1451"/>
      <c r="AA47" s="1451"/>
      <c r="AB47" s="1451"/>
      <c r="AC47" s="1451"/>
    </row>
    <row r="48" spans="1:29" ht="15.75" thickBot="1">
      <c r="A48" s="591" t="s">
        <v>2477</v>
      </c>
      <c r="B48" s="858"/>
      <c r="C48" s="2397" t="e">
        <f>R49</f>
        <v>#DIV/0!</v>
      </c>
      <c r="D48" s="2920" t="s">
        <v>2697</v>
      </c>
      <c r="E48" s="2398" t="e">
        <f>R48</f>
        <v>#DIV/0!</v>
      </c>
      <c r="F48" s="2921"/>
      <c r="G48" s="2397" t="e">
        <f>T48</f>
        <v>#DIV/0!</v>
      </c>
      <c r="H48" s="2921"/>
      <c r="I48" s="2398" t="e">
        <f>V48</f>
        <v>#DIV/0!</v>
      </c>
      <c r="J48" s="2921"/>
      <c r="K48" s="2929">
        <f>F48+H48+J48</f>
        <v>0</v>
      </c>
      <c r="L48" s="1979"/>
      <c r="M48" s="1980"/>
      <c r="N48" s="1969"/>
      <c r="O48" s="1980"/>
      <c r="P48" s="3660" t="str">
        <f>A48</f>
        <v>比较价格（元/平方米）</v>
      </c>
      <c r="Q48" s="3660"/>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1451"/>
      <c r="Y48" s="1451"/>
      <c r="Z48" s="1451"/>
      <c r="AA48" s="1451"/>
      <c r="AB48" s="1451"/>
      <c r="AC48" s="1451"/>
    </row>
    <row r="49" spans="1:29" ht="15.75" thickBot="1">
      <c r="A49" s="595" t="s">
        <v>2632</v>
      </c>
      <c r="B49" s="596"/>
      <c r="C49" s="2399" t="e">
        <f>R49</f>
        <v>#DIV/0!</v>
      </c>
      <c r="D49" s="2399"/>
      <c r="E49" s="2399"/>
      <c r="F49" s="2399"/>
      <c r="G49" s="2399"/>
      <c r="H49" s="2399"/>
      <c r="I49" s="2399"/>
      <c r="J49" s="2399"/>
      <c r="K49" s="1496"/>
      <c r="L49" s="1979"/>
      <c r="M49" s="1980"/>
      <c r="N49" s="1969"/>
      <c r="O49" s="1980"/>
      <c r="P49" s="3666" t="str">
        <f>A49</f>
        <v>估价对象XX用房的比较价格（楼面单价，元/平方米）</v>
      </c>
      <c r="Q49" s="3667"/>
      <c r="R49" s="3777" t="e">
        <f>IF(F1="售价",ROUND(IF(D48="简单平均",AVERAGE(R48:V48),R48*F48+T48*H48+V48*J48),0),ROUND(IF(D48="简单平均",AVERAGE(R48:V48),R48*F48+T48*H48+V48*J48),1))</f>
        <v>#DIV/0!</v>
      </c>
      <c r="S49" s="3777"/>
      <c r="T49" s="3777"/>
      <c r="U49" s="3777"/>
      <c r="V49" s="3777"/>
      <c r="W49" s="3777"/>
      <c r="X49" s="1451"/>
      <c r="Y49" s="1451"/>
      <c r="Z49" s="1451"/>
      <c r="AA49" s="1451"/>
      <c r="AB49" s="1451"/>
      <c r="AC49" s="1451"/>
    </row>
    <row r="50" spans="1:29">
      <c r="A50" s="3120"/>
      <c r="B50" s="3120"/>
      <c r="C50" s="3120"/>
      <c r="D50" s="3120"/>
      <c r="E50" s="3120"/>
      <c r="F50" s="3120"/>
      <c r="G50" s="3122"/>
      <c r="H50" s="3120"/>
      <c r="I50" s="3120"/>
      <c r="J50" s="3120"/>
      <c r="K50" s="3123"/>
      <c r="L50" s="1984"/>
      <c r="M50" s="1980"/>
      <c r="N50" s="1980"/>
      <c r="O50" s="1980"/>
      <c r="P50" s="1980"/>
      <c r="Q50" s="1980"/>
      <c r="R50" s="1980"/>
      <c r="S50" s="1980"/>
      <c r="T50" s="1980"/>
      <c r="U50" s="1980"/>
      <c r="V50" s="1980"/>
      <c r="W50" s="1980"/>
      <c r="X50" s="1980"/>
      <c r="Y50" s="1980"/>
      <c r="Z50" s="1980"/>
      <c r="AA50" s="1980"/>
      <c r="AB50" s="1980"/>
      <c r="AC50" s="1980"/>
    </row>
    <row r="51" spans="1:29">
      <c r="A51" s="3120"/>
      <c r="B51" s="3120"/>
      <c r="C51" s="3120"/>
      <c r="D51" s="3120"/>
      <c r="E51" s="3120"/>
      <c r="F51" s="3120"/>
      <c r="G51" s="3120"/>
      <c r="H51" s="3120"/>
      <c r="I51" s="3120"/>
      <c r="J51" s="3120"/>
      <c r="K51" s="3123"/>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0"/>
      <c r="B52" s="3120"/>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3"/>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0"/>
      <c r="B53" s="3120"/>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3"/>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1"/>
      <c r="B54" s="3121"/>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4"/>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0" t="str">
        <f>YEAR(C7)&amp;"-"&amp;MONTH(C7)</f>
        <v>2022-6</v>
      </c>
      <c r="D58" s="2442">
        <f>EDATE(C58,-1)</f>
        <v>44682</v>
      </c>
      <c r="E58" s="2442">
        <f t="shared" ref="E58:O58" si="16">EDATE(D58,-1)</f>
        <v>44652</v>
      </c>
      <c r="F58" s="2442">
        <f t="shared" si="16"/>
        <v>44621</v>
      </c>
      <c r="G58" s="2442">
        <f t="shared" si="16"/>
        <v>44593</v>
      </c>
      <c r="H58" s="2442">
        <f t="shared" si="16"/>
        <v>44562</v>
      </c>
      <c r="I58" s="2442">
        <f t="shared" si="16"/>
        <v>44531</v>
      </c>
      <c r="J58" s="2442">
        <f t="shared" si="16"/>
        <v>44501</v>
      </c>
      <c r="K58" s="2442">
        <f t="shared" si="16"/>
        <v>44470</v>
      </c>
      <c r="L58" s="2442">
        <f t="shared" si="16"/>
        <v>44440</v>
      </c>
      <c r="M58" s="2442">
        <f t="shared" si="16"/>
        <v>44409</v>
      </c>
      <c r="N58" s="2442">
        <f t="shared" si="16"/>
        <v>44378</v>
      </c>
      <c r="O58" s="2442">
        <f t="shared" si="16"/>
        <v>44348</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0"/>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647" t="s">
        <v>753</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tr">
        <f>B26</f>
        <v>平面位置/可视性</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0"/>
      <c r="M92" s="861"/>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4">
        <v>0.5</v>
      </c>
      <c r="D110" s="864">
        <v>0.6</v>
      </c>
      <c r="E110" s="864">
        <v>0.7</v>
      </c>
      <c r="F110" s="864">
        <v>0.8</v>
      </c>
      <c r="G110" s="864">
        <v>0.9</v>
      </c>
      <c r="H110" s="864">
        <v>1.0001</v>
      </c>
      <c r="I110" s="875"/>
      <c r="J110" s="875"/>
      <c r="K110" s="876"/>
      <c r="L110" s="877"/>
      <c r="M110" s="878"/>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7"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79"/>
      <c r="D118" s="879"/>
      <c r="E118" s="879"/>
      <c r="F118" s="879"/>
      <c r="G118" s="879"/>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7"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L14" sqref="L9:Z1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4"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759</v>
      </c>
      <c r="C1" s="480" t="s">
        <v>702</v>
      </c>
      <c r="D1" s="820"/>
      <c r="E1" s="482"/>
      <c r="F1" s="2445"/>
      <c r="G1" s="1486" t="s">
        <v>703</v>
      </c>
      <c r="H1" s="482"/>
      <c r="I1" s="482"/>
      <c r="J1" s="482"/>
      <c r="K1" s="483"/>
      <c r="L1" s="3116"/>
      <c r="M1" s="3117"/>
      <c r="N1" s="3117"/>
      <c r="O1" s="3117"/>
      <c r="P1" s="3180"/>
      <c r="Q1" s="1967"/>
      <c r="R1" s="1967"/>
      <c r="S1" s="1967"/>
      <c r="T1" s="1967"/>
      <c r="U1" s="1967"/>
      <c r="V1" s="1967"/>
      <c r="W1" s="1967"/>
      <c r="X1" s="1967"/>
      <c r="Y1" s="1967"/>
      <c r="Z1" s="1967"/>
      <c r="AA1" s="1967"/>
      <c r="AB1" s="1967"/>
      <c r="AC1" s="3118"/>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3180"/>
      <c r="Q2" s="1967"/>
      <c r="R2" s="1967"/>
      <c r="S2" s="1967"/>
      <c r="T2" s="1967"/>
      <c r="U2" s="1967"/>
      <c r="V2" s="1967"/>
      <c r="W2" s="1967"/>
      <c r="X2" s="1967"/>
      <c r="Y2" s="1967"/>
      <c r="Z2" s="1967"/>
      <c r="AA2" s="1967"/>
      <c r="AB2" s="1967"/>
      <c r="AC2" s="3118"/>
    </row>
    <row r="3" spans="1:29" s="1244"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80"/>
      <c r="Q3" s="1967"/>
      <c r="R3" s="1967"/>
      <c r="S3" s="1967"/>
      <c r="T3" s="1967"/>
      <c r="U3" s="1967"/>
      <c r="V3" s="1967"/>
      <c r="W3" s="1967"/>
      <c r="X3" s="1967"/>
      <c r="Y3" s="1967"/>
      <c r="Z3" s="1967"/>
      <c r="AA3" s="1967"/>
      <c r="AB3" s="1967"/>
      <c r="AC3" s="3118"/>
    </row>
    <row r="4" spans="1:29" ht="15">
      <c r="A4" s="488" t="s">
        <v>504</v>
      </c>
      <c r="B4" s="489"/>
      <c r="C4" s="3668" t="s">
        <v>505</v>
      </c>
      <c r="D4" s="3669"/>
      <c r="E4" s="3690" t="s">
        <v>506</v>
      </c>
      <c r="F4" s="3691"/>
      <c r="G4" s="3668" t="s">
        <v>507</v>
      </c>
      <c r="H4" s="3669"/>
      <c r="I4" s="3668" t="s">
        <v>508</v>
      </c>
      <c r="J4" s="3669"/>
      <c r="K4" s="490" t="s">
        <v>509</v>
      </c>
      <c r="L4" s="1968"/>
      <c r="M4" s="1969"/>
      <c r="N4" s="1969"/>
      <c r="O4" s="1969"/>
      <c r="P4" s="3780" t="s">
        <v>510</v>
      </c>
      <c r="Q4" s="3671"/>
      <c r="R4" s="3654" t="s">
        <v>506</v>
      </c>
      <c r="S4" s="3655"/>
      <c r="T4" s="3654" t="s">
        <v>507</v>
      </c>
      <c r="U4" s="3655"/>
      <c r="V4" s="3676" t="s">
        <v>508</v>
      </c>
      <c r="W4" s="3676"/>
      <c r="X4" s="1456"/>
      <c r="Y4" s="3654" t="s">
        <v>510</v>
      </c>
      <c r="Z4" s="3655"/>
      <c r="AA4" s="3649" t="s">
        <v>506</v>
      </c>
      <c r="AB4" s="3649" t="s">
        <v>507</v>
      </c>
      <c r="AC4" s="3649" t="s">
        <v>508</v>
      </c>
    </row>
    <row r="5" spans="1:29" ht="15">
      <c r="A5" s="491"/>
      <c r="B5" s="492"/>
      <c r="C5" s="3679" t="s">
        <v>2626</v>
      </c>
      <c r="D5" s="3680"/>
      <c r="E5" s="3692" t="s">
        <v>2627</v>
      </c>
      <c r="F5" s="3693"/>
      <c r="G5" s="3679" t="s">
        <v>2628</v>
      </c>
      <c r="H5" s="3680"/>
      <c r="I5" s="3679" t="s">
        <v>2629</v>
      </c>
      <c r="J5" s="3680"/>
      <c r="K5" s="490"/>
      <c r="L5" s="1968"/>
      <c r="M5" s="1969"/>
      <c r="N5" s="1969"/>
      <c r="O5" s="1969"/>
      <c r="P5" s="3781"/>
      <c r="Q5" s="3673"/>
      <c r="R5" s="3656"/>
      <c r="S5" s="3657"/>
      <c r="T5" s="3656"/>
      <c r="U5" s="3657"/>
      <c r="V5" s="3676"/>
      <c r="W5" s="3676"/>
      <c r="X5" s="1456"/>
      <c r="Y5" s="3656"/>
      <c r="Z5" s="3657"/>
      <c r="AA5" s="3650"/>
      <c r="AB5" s="3650"/>
      <c r="AC5" s="3650"/>
    </row>
    <row r="6" spans="1:29" ht="15.75" thickBot="1">
      <c r="A6" s="493"/>
      <c r="B6" s="494"/>
      <c r="C6" s="3694" t="s">
        <v>2630</v>
      </c>
      <c r="D6" s="3678"/>
      <c r="E6" s="3695" t="s">
        <v>2630</v>
      </c>
      <c r="F6" s="3696"/>
      <c r="G6" s="3694" t="s">
        <v>2630</v>
      </c>
      <c r="H6" s="3678"/>
      <c r="I6" s="3694" t="s">
        <v>2630</v>
      </c>
      <c r="J6" s="3678"/>
      <c r="K6" s="490" t="s">
        <v>511</v>
      </c>
      <c r="L6" s="1968"/>
      <c r="M6" s="1969"/>
      <c r="N6" s="1969"/>
      <c r="O6" s="1969"/>
      <c r="P6" s="3782"/>
      <c r="Q6" s="3675"/>
      <c r="R6" s="3656"/>
      <c r="S6" s="3657"/>
      <c r="T6" s="3658"/>
      <c r="U6" s="3659"/>
      <c r="V6" s="3676"/>
      <c r="W6" s="3676"/>
      <c r="X6" s="1456"/>
      <c r="Y6" s="3658"/>
      <c r="Z6" s="3659"/>
      <c r="AA6" s="3651"/>
      <c r="AB6" s="3651"/>
      <c r="AC6" s="3651"/>
    </row>
    <row r="7" spans="1:29" s="1165" customFormat="1" ht="15.75" thickBot="1">
      <c r="A7" s="2550"/>
      <c r="B7" s="2557" t="s">
        <v>512</v>
      </c>
      <c r="C7" s="495">
        <f>'数据-取费表'!B2</f>
        <v>44735</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61" t="s">
        <v>513</v>
      </c>
      <c r="Q7" s="3661"/>
      <c r="R7" s="1457" t="s">
        <v>8</v>
      </c>
      <c r="S7" s="1458">
        <f t="shared" ref="S7:S15" si="0">F7</f>
        <v>0</v>
      </c>
      <c r="T7" s="1457" t="s">
        <v>8</v>
      </c>
      <c r="U7" s="1458">
        <f t="shared" ref="U7:U15" si="1">H7</f>
        <v>0</v>
      </c>
      <c r="V7" s="1457" t="s">
        <v>8</v>
      </c>
      <c r="W7" s="1458">
        <f t="shared" ref="W7:W15" si="2">J7</f>
        <v>0</v>
      </c>
      <c r="X7" s="1459"/>
      <c r="Y7" s="3652" t="s">
        <v>513</v>
      </c>
      <c r="Z7" s="3653"/>
      <c r="AA7" s="1460" t="e">
        <f>D7/F7</f>
        <v>#DIV/0!</v>
      </c>
      <c r="AB7" s="1460" t="e">
        <f>D7/H7</f>
        <v>#DIV/0!</v>
      </c>
      <c r="AC7" s="1460" t="e">
        <f>D7/J7</f>
        <v>#DIV/0!</v>
      </c>
    </row>
    <row r="8" spans="1:29" s="1165" customFormat="1" ht="15.75" thickBot="1">
      <c r="A8" s="2551"/>
      <c r="B8" s="2558"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61" t="s">
        <v>516</v>
      </c>
      <c r="Q8" s="3653"/>
      <c r="R8" s="1457" t="s">
        <v>8</v>
      </c>
      <c r="S8" s="1458">
        <f t="shared" si="0"/>
        <v>0</v>
      </c>
      <c r="T8" s="1457" t="s">
        <v>8</v>
      </c>
      <c r="U8" s="1458">
        <f t="shared" si="1"/>
        <v>0</v>
      </c>
      <c r="V8" s="1457" t="s">
        <v>8</v>
      </c>
      <c r="W8" s="1458">
        <f t="shared" si="2"/>
        <v>0</v>
      </c>
      <c r="X8" s="1459"/>
      <c r="Y8" s="3652" t="s">
        <v>516</v>
      </c>
      <c r="Z8" s="3653"/>
      <c r="AA8" s="1460" t="e">
        <f t="shared" ref="AA8:AA47" si="3">D8/F8</f>
        <v>#DIV/0!</v>
      </c>
      <c r="AB8" s="1460" t="e">
        <f t="shared" ref="AB8:AB47" si="4">D8/H8</f>
        <v>#DIV/0!</v>
      </c>
      <c r="AC8" s="1460" t="e">
        <f t="shared" ref="AC8:AC47" si="5">D8/J8</f>
        <v>#DIV/0!</v>
      </c>
    </row>
    <row r="9" spans="1:29" s="1165" customFormat="1" ht="15">
      <c r="A9" s="2552"/>
      <c r="B9" s="2559"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60" t="s">
        <v>518</v>
      </c>
      <c r="Q9" s="1096" t="str">
        <f t="shared" ref="Q9:Q15" si="6">B9</f>
        <v>用途</v>
      </c>
      <c r="R9" s="1457" t="s">
        <v>8</v>
      </c>
      <c r="S9" s="1458">
        <f t="shared" si="0"/>
        <v>100</v>
      </c>
      <c r="T9" s="1457" t="s">
        <v>8</v>
      </c>
      <c r="U9" s="1458">
        <f t="shared" si="1"/>
        <v>100</v>
      </c>
      <c r="V9" s="1457" t="s">
        <v>8</v>
      </c>
      <c r="W9" s="1458">
        <f t="shared" si="2"/>
        <v>100</v>
      </c>
      <c r="X9" s="1459"/>
      <c r="Y9" s="360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60"/>
      <c r="Q10" s="1096" t="str">
        <f t="shared" si="6"/>
        <v>土地使用年限（年）</v>
      </c>
      <c r="R10" s="1457" t="s">
        <v>8</v>
      </c>
      <c r="S10" s="1458">
        <f t="shared" si="0"/>
        <v>100</v>
      </c>
      <c r="T10" s="1457" t="s">
        <v>8</v>
      </c>
      <c r="U10" s="1458">
        <f t="shared" si="1"/>
        <v>100</v>
      </c>
      <c r="V10" s="1457" t="s">
        <v>8</v>
      </c>
      <c r="W10" s="1458">
        <f t="shared" si="2"/>
        <v>100</v>
      </c>
      <c r="X10" s="1459"/>
      <c r="Y10" s="360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60"/>
      <c r="Q11" s="1096" t="str">
        <f t="shared" si="6"/>
        <v>容积率</v>
      </c>
      <c r="R11" s="1457" t="s">
        <v>8</v>
      </c>
      <c r="S11" s="1458" t="e">
        <f t="shared" si="0"/>
        <v>#N/A</v>
      </c>
      <c r="T11" s="1457" t="s">
        <v>8</v>
      </c>
      <c r="U11" s="1458" t="e">
        <f t="shared" si="1"/>
        <v>#N/A</v>
      </c>
      <c r="V11" s="1457" t="s">
        <v>8</v>
      </c>
      <c r="W11" s="1458" t="e">
        <f t="shared" si="2"/>
        <v>#N/A</v>
      </c>
      <c r="X11" s="1459"/>
      <c r="Y11" s="360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04"/>
      <c r="F12" s="252">
        <f>SUMIF(71:71,E12,72:72)-SUMIF(71:71,C12,72:72)+100</f>
        <v>100</v>
      </c>
      <c r="G12" s="880"/>
      <c r="H12" s="252">
        <f>SUMIF(71:71,G12,72:72)-SUMIF(71:71,C12,72:72)+100</f>
        <v>100</v>
      </c>
      <c r="I12" s="504"/>
      <c r="J12" s="252">
        <f>SUMIF(71:71,I12,72:72)-SUMIF(71:71,C12,72:72)+100</f>
        <v>100</v>
      </c>
      <c r="K12" s="557"/>
      <c r="L12" s="1970"/>
      <c r="M12" s="1971"/>
      <c r="N12" s="1971"/>
      <c r="O12" s="1971"/>
      <c r="P12" s="3660"/>
      <c r="Q12" s="1096">
        <f t="shared" si="6"/>
        <v>111</v>
      </c>
      <c r="R12" s="1457" t="s">
        <v>8</v>
      </c>
      <c r="S12" s="1458">
        <f t="shared" si="0"/>
        <v>100</v>
      </c>
      <c r="T12" s="1457" t="s">
        <v>8</v>
      </c>
      <c r="U12" s="1458">
        <f t="shared" si="1"/>
        <v>100</v>
      </c>
      <c r="V12" s="1457" t="s">
        <v>8</v>
      </c>
      <c r="W12" s="1458">
        <f t="shared" si="2"/>
        <v>100</v>
      </c>
      <c r="X12" s="1459"/>
      <c r="Y12" s="3608"/>
      <c r="Z12" s="1095">
        <f t="shared" si="7"/>
        <v>111</v>
      </c>
      <c r="AA12" s="1460">
        <f>D12/F12</f>
        <v>1</v>
      </c>
      <c r="AB12" s="1460">
        <f>D12/H12</f>
        <v>1</v>
      </c>
      <c r="AC12" s="1460">
        <f>D12/J12</f>
        <v>1</v>
      </c>
    </row>
    <row r="13" spans="1:29" ht="15">
      <c r="A13" s="2555"/>
      <c r="B13" s="2561">
        <v>111</v>
      </c>
      <c r="C13" s="515"/>
      <c r="D13" s="516">
        <v>100</v>
      </c>
      <c r="E13" s="504"/>
      <c r="F13" s="252">
        <f>SUMIF(73:73,E13,74:74)-SUMIF(73:73,C13,74:74)+100</f>
        <v>100</v>
      </c>
      <c r="G13" s="880"/>
      <c r="H13" s="516">
        <f>SUMIF(73:73,G13,74:74)-SUMIF(73:73,C13,74:74)+100</f>
        <v>100</v>
      </c>
      <c r="I13" s="504"/>
      <c r="J13" s="516">
        <f>SUMIF(73:73,I13,74:74)-SUMIF(73:73,C13,74:74)+100</f>
        <v>100</v>
      </c>
      <c r="K13" s="557"/>
      <c r="L13" s="1977"/>
      <c r="M13" s="1969"/>
      <c r="N13" s="1969"/>
      <c r="O13" s="1969"/>
      <c r="P13" s="3660"/>
      <c r="Q13" s="1096">
        <f t="shared" si="6"/>
        <v>111</v>
      </c>
      <c r="R13" s="1457" t="s">
        <v>8</v>
      </c>
      <c r="S13" s="1458">
        <f t="shared" si="0"/>
        <v>100</v>
      </c>
      <c r="T13" s="1457" t="s">
        <v>8</v>
      </c>
      <c r="U13" s="1458">
        <f t="shared" si="1"/>
        <v>100</v>
      </c>
      <c r="V13" s="1457" t="s">
        <v>8</v>
      </c>
      <c r="W13" s="1458">
        <f t="shared" si="2"/>
        <v>100</v>
      </c>
      <c r="X13" s="1459"/>
      <c r="Y13" s="3608"/>
      <c r="Z13" s="1095">
        <f t="shared" si="7"/>
        <v>111</v>
      </c>
      <c r="AA13" s="1460">
        <f t="shared" si="3"/>
        <v>1</v>
      </c>
      <c r="AB13" s="1460">
        <f t="shared" si="4"/>
        <v>1</v>
      </c>
      <c r="AC13" s="1460">
        <f t="shared" si="5"/>
        <v>1</v>
      </c>
    </row>
    <row r="14" spans="1:29" ht="15.75" thickBot="1">
      <c r="A14" s="2556"/>
      <c r="B14" s="2562">
        <v>111</v>
      </c>
      <c r="C14" s="521"/>
      <c r="D14" s="522">
        <v>100</v>
      </c>
      <c r="E14" s="881"/>
      <c r="F14" s="522">
        <f>SUMIF(75:75,E14,76:76)-SUMIF(75:75,C14,76:76)+100</f>
        <v>100</v>
      </c>
      <c r="G14" s="880"/>
      <c r="H14" s="522">
        <f>SUMIF(75:75,G14,76:76)-SUMIF(75:75,C14,76:76)+100</f>
        <v>100</v>
      </c>
      <c r="I14" s="504"/>
      <c r="J14" s="522">
        <f>SUMIF(75:75,I14,76:76)-SUMIF(75:75,C14,76:76)+100</f>
        <v>100</v>
      </c>
      <c r="K14" s="557"/>
      <c r="L14" s="1977"/>
      <c r="M14" s="1969"/>
      <c r="N14" s="1969"/>
      <c r="O14" s="1969"/>
      <c r="P14" s="3660"/>
      <c r="Q14" s="1096">
        <f t="shared" si="6"/>
        <v>111</v>
      </c>
      <c r="R14" s="1457" t="s">
        <v>8</v>
      </c>
      <c r="S14" s="1458">
        <f t="shared" si="0"/>
        <v>100</v>
      </c>
      <c r="T14" s="1457" t="s">
        <v>8</v>
      </c>
      <c r="U14" s="1458">
        <f t="shared" si="1"/>
        <v>100</v>
      </c>
      <c r="V14" s="1457" t="s">
        <v>8</v>
      </c>
      <c r="W14" s="1458">
        <f t="shared" si="2"/>
        <v>100</v>
      </c>
      <c r="X14" s="1459"/>
      <c r="Y14" s="3608"/>
      <c r="Z14" s="1095">
        <f t="shared" si="7"/>
        <v>111</v>
      </c>
      <c r="AA14" s="1460">
        <f t="shared" si="3"/>
        <v>1</v>
      </c>
      <c r="AB14" s="1460">
        <f t="shared" si="4"/>
        <v>1</v>
      </c>
      <c r="AC14" s="1460">
        <f t="shared" si="5"/>
        <v>1</v>
      </c>
    </row>
    <row r="15" spans="1:29" ht="15">
      <c r="A15" s="2548" t="s">
        <v>2471</v>
      </c>
      <c r="B15" s="523" t="s">
        <v>525</v>
      </c>
      <c r="C15" s="524">
        <f>估价对象房地状况!C5</f>
        <v>0</v>
      </c>
      <c r="D15" s="525">
        <v>100</v>
      </c>
      <c r="E15" s="528"/>
      <c r="F15" s="525">
        <f>SUMIF(77:77,E16,78:78)-SUMIF(77:77,C16,78:78)+100</f>
        <v>100</v>
      </c>
      <c r="G15" s="526"/>
      <c r="H15" s="525">
        <f>SUMIF(77:77,G16,78:78)-SUMIF(77:77,C16,78:78)+100</f>
        <v>100</v>
      </c>
      <c r="I15" s="526"/>
      <c r="J15" s="525">
        <f>SUMIF(77:77,I16,78:78)-SUMIF(77:77,C16,78:78)+100</f>
        <v>100</v>
      </c>
      <c r="K15" s="868"/>
      <c r="L15" s="1977"/>
      <c r="M15" s="1969"/>
      <c r="N15" s="1969"/>
      <c r="O15" s="1969"/>
      <c r="P15" s="3662" t="s">
        <v>523</v>
      </c>
      <c r="Q15" s="1461" t="str">
        <f t="shared" si="6"/>
        <v>办公集聚程度</v>
      </c>
      <c r="R15" s="1462" t="s">
        <v>8</v>
      </c>
      <c r="S15" s="1463">
        <f t="shared" si="0"/>
        <v>100</v>
      </c>
      <c r="T15" s="1462" t="s">
        <v>8</v>
      </c>
      <c r="U15" s="1463">
        <f t="shared" si="1"/>
        <v>100</v>
      </c>
      <c r="V15" s="1462" t="s">
        <v>8</v>
      </c>
      <c r="W15" s="1463">
        <f t="shared" si="2"/>
        <v>100</v>
      </c>
      <c r="X15" s="1456"/>
      <c r="Y15" s="3662"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7"/>
      <c r="M16" s="1969"/>
      <c r="N16" s="1969"/>
      <c r="O16" s="1969"/>
      <c r="P16" s="3663"/>
      <c r="Q16" s="1461"/>
      <c r="R16" s="1462"/>
      <c r="S16" s="1463"/>
      <c r="T16" s="1462"/>
      <c r="U16" s="1463"/>
      <c r="V16" s="1462"/>
      <c r="W16" s="1463"/>
      <c r="X16" s="1456"/>
      <c r="Y16" s="3663"/>
      <c r="Z16" s="1464"/>
      <c r="AA16" s="1465">
        <v>1</v>
      </c>
      <c r="AB16" s="1465">
        <v>1</v>
      </c>
      <c r="AC16" s="1465">
        <v>1</v>
      </c>
    </row>
    <row r="17" spans="1:29" ht="15">
      <c r="A17" s="508"/>
      <c r="B17" s="536" t="s">
        <v>296</v>
      </c>
      <c r="C17" s="549">
        <f>估价对象房地状况!C6</f>
        <v>0</v>
      </c>
      <c r="D17" s="535">
        <v>100</v>
      </c>
      <c r="E17" s="540"/>
      <c r="F17" s="535">
        <f>SUMIF(79:79,E18,80:80)-SUMIF(79:79,C18,80:80)+100</f>
        <v>100</v>
      </c>
      <c r="G17" s="538"/>
      <c r="H17" s="541">
        <f>SUMIF(79:79,G18,80:80)-SUMIF(79:79,C18,80:80)+100</f>
        <v>100</v>
      </c>
      <c r="I17" s="538"/>
      <c r="J17" s="541">
        <f>SUMIF(79:79,I18,80:80)-SUMIF(79:79,C18,80:80)+100</f>
        <v>100</v>
      </c>
      <c r="K17" s="868"/>
      <c r="L17" s="1977"/>
      <c r="M17" s="1969"/>
      <c r="N17" s="1969"/>
      <c r="O17" s="1969"/>
      <c r="P17" s="3663"/>
      <c r="Q17" s="1461" t="str">
        <f>B17</f>
        <v>交通便捷度</v>
      </c>
      <c r="R17" s="1462" t="s">
        <v>8</v>
      </c>
      <c r="S17" s="1463">
        <f>F17</f>
        <v>100</v>
      </c>
      <c r="T17" s="1462" t="s">
        <v>8</v>
      </c>
      <c r="U17" s="1463">
        <f>H17</f>
        <v>100</v>
      </c>
      <c r="V17" s="1462" t="s">
        <v>8</v>
      </c>
      <c r="W17" s="1463">
        <f>J17</f>
        <v>100</v>
      </c>
      <c r="X17" s="1456"/>
      <c r="Y17" s="3663"/>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7"/>
      <c r="M18" s="1969"/>
      <c r="N18" s="1969"/>
      <c r="O18" s="1969"/>
      <c r="P18" s="3663"/>
      <c r="Q18" s="1461"/>
      <c r="R18" s="1462"/>
      <c r="S18" s="1463"/>
      <c r="T18" s="1462"/>
      <c r="U18" s="1463"/>
      <c r="V18" s="1462"/>
      <c r="W18" s="1463"/>
      <c r="X18" s="1456"/>
      <c r="Y18" s="3663"/>
      <c r="Z18" s="1464"/>
      <c r="AA18" s="1465">
        <v>1</v>
      </c>
      <c r="AB18" s="1465">
        <v>1</v>
      </c>
      <c r="AC18" s="1465">
        <v>1</v>
      </c>
    </row>
    <row r="19" spans="1:29" ht="15">
      <c r="A19" s="508"/>
      <c r="B19" s="2368" t="s">
        <v>2264</v>
      </c>
      <c r="C19" s="549">
        <f>估价对象房地状况!C7</f>
        <v>0</v>
      </c>
      <c r="D19" s="541">
        <v>100</v>
      </c>
      <c r="E19" s="548"/>
      <c r="F19" s="541">
        <f>SUMIF(81:81,E20,82:82)-SUMIF(81:81,C20,82:82)+100</f>
        <v>100</v>
      </c>
      <c r="G19" s="546"/>
      <c r="H19" s="535">
        <f>SUMIF(81:81,G20,82:82)-SUMIF(81:81,C20,82:82)+100</f>
        <v>100</v>
      </c>
      <c r="I19" s="546"/>
      <c r="J19" s="535">
        <f>SUMIF(81:81,I20,82:82)-SUMIF(81:81,C20,82:82)+100</f>
        <v>100</v>
      </c>
      <c r="K19" s="868"/>
      <c r="L19" s="1977"/>
      <c r="M19" s="1969"/>
      <c r="N19" s="1969"/>
      <c r="O19" s="1969"/>
      <c r="P19" s="3663"/>
      <c r="Q19" s="1461" t="str">
        <f>B19</f>
        <v>公共配套设施</v>
      </c>
      <c r="R19" s="1462" t="s">
        <v>8</v>
      </c>
      <c r="S19" s="1463">
        <f>F19</f>
        <v>100</v>
      </c>
      <c r="T19" s="1462" t="s">
        <v>8</v>
      </c>
      <c r="U19" s="1463">
        <f>H19</f>
        <v>100</v>
      </c>
      <c r="V19" s="1462" t="s">
        <v>8</v>
      </c>
      <c r="W19" s="1463">
        <f>J19</f>
        <v>100</v>
      </c>
      <c r="X19" s="1456"/>
      <c r="Y19" s="3663"/>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7"/>
      <c r="M20" s="1969"/>
      <c r="N20" s="1969"/>
      <c r="O20" s="1969"/>
      <c r="P20" s="3663"/>
      <c r="Q20" s="1461"/>
      <c r="R20" s="1462"/>
      <c r="S20" s="1463"/>
      <c r="T20" s="1462"/>
      <c r="U20" s="1463"/>
      <c r="V20" s="1462"/>
      <c r="W20" s="1463"/>
      <c r="X20" s="1456"/>
      <c r="Y20" s="3663"/>
      <c r="Z20" s="1464"/>
      <c r="AA20" s="1465">
        <v>1</v>
      </c>
      <c r="AB20" s="1465">
        <v>1</v>
      </c>
      <c r="AC20" s="1465">
        <v>1</v>
      </c>
    </row>
    <row r="21" spans="1:29" ht="15">
      <c r="A21" s="508"/>
      <c r="B21" s="2356" t="s">
        <v>2276</v>
      </c>
      <c r="C21" s="549">
        <f>估价对象房地状况!C8</f>
        <v>0</v>
      </c>
      <c r="D21" s="541">
        <v>100</v>
      </c>
      <c r="E21" s="548"/>
      <c r="F21" s="541">
        <f>SUMIF(83:83,E22,84:84)-SUMIF(83:83,C22,84:84)+100</f>
        <v>100</v>
      </c>
      <c r="G21" s="546"/>
      <c r="H21" s="541">
        <f>SUMIF(83:83,G22,84:84)-SUMIF(83:83,C22,84:84)+100</f>
        <v>100</v>
      </c>
      <c r="I21" s="546"/>
      <c r="J21" s="541">
        <f>SUMIF(83:83,I22,84:84)-SUMIF(83:83,C22,84:84)+100</f>
        <v>100</v>
      </c>
      <c r="K21" s="868"/>
      <c r="L21" s="1977"/>
      <c r="M21" s="1969"/>
      <c r="N21" s="1969"/>
      <c r="O21" s="1969"/>
      <c r="P21" s="3663"/>
      <c r="Q21" s="2350" t="str">
        <f>B21</f>
        <v>基础设施水平</v>
      </c>
      <c r="R21" s="1462" t="s">
        <v>8</v>
      </c>
      <c r="S21" s="1463">
        <f>F21</f>
        <v>100</v>
      </c>
      <c r="T21" s="1462" t="s">
        <v>8</v>
      </c>
      <c r="U21" s="1463">
        <f>H21</f>
        <v>100</v>
      </c>
      <c r="V21" s="1462" t="s">
        <v>8</v>
      </c>
      <c r="W21" s="1463">
        <f>J21</f>
        <v>100</v>
      </c>
      <c r="X21" s="2352"/>
      <c r="Y21" s="3663"/>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63"/>
      <c r="Q22" s="2350"/>
      <c r="R22" s="1462"/>
      <c r="S22" s="1463"/>
      <c r="T22" s="1462"/>
      <c r="U22" s="1463"/>
      <c r="V22" s="1462"/>
      <c r="W22" s="1463"/>
      <c r="X22" s="2352"/>
      <c r="Y22" s="3663"/>
      <c r="Z22" s="2351"/>
      <c r="AA22" s="1465">
        <v>1</v>
      </c>
      <c r="AB22" s="1465">
        <v>1</v>
      </c>
      <c r="AC22" s="1465">
        <v>1</v>
      </c>
    </row>
    <row r="23" spans="1:29" ht="15">
      <c r="A23" s="508"/>
      <c r="B23" s="536" t="s">
        <v>760</v>
      </c>
      <c r="C23" s="549">
        <f>估价对象房地状况!C9</f>
        <v>0</v>
      </c>
      <c r="D23" s="535">
        <v>100</v>
      </c>
      <c r="E23" s="540"/>
      <c r="F23" s="535">
        <f>SUMIF(85:85,E24,86:86)-SUMIF(85:85,C24,86:86)+100</f>
        <v>100</v>
      </c>
      <c r="G23" s="538"/>
      <c r="H23" s="535">
        <f>SUMIF(85:85,G24,86:86)-SUMIF(85:85,C24,86:86)+100</f>
        <v>100</v>
      </c>
      <c r="I23" s="538"/>
      <c r="J23" s="535">
        <f>SUMIF(85:85,I24,86:86)-SUMIF(85:85,C24,86:86)+100</f>
        <v>100</v>
      </c>
      <c r="K23" s="868"/>
      <c r="L23" s="1977"/>
      <c r="M23" s="1969"/>
      <c r="N23" s="1969"/>
      <c r="O23" s="1969"/>
      <c r="P23" s="3663"/>
      <c r="Q23" s="1461" t="str">
        <f>B23</f>
        <v>环境质量</v>
      </c>
      <c r="R23" s="1462" t="s">
        <v>8</v>
      </c>
      <c r="S23" s="1463">
        <f>F23</f>
        <v>100</v>
      </c>
      <c r="T23" s="1462" t="s">
        <v>8</v>
      </c>
      <c r="U23" s="1463">
        <f>H23</f>
        <v>100</v>
      </c>
      <c r="V23" s="1462" t="s">
        <v>8</v>
      </c>
      <c r="W23" s="1463">
        <f>J23</f>
        <v>100</v>
      </c>
      <c r="X23" s="1456"/>
      <c r="Y23" s="3663"/>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7"/>
      <c r="M24" s="1969"/>
      <c r="N24" s="1969"/>
      <c r="O24" s="1969"/>
      <c r="P24" s="3663"/>
      <c r="Q24" s="1461"/>
      <c r="R24" s="1462"/>
      <c r="S24" s="1463"/>
      <c r="T24" s="1462"/>
      <c r="U24" s="1463"/>
      <c r="V24" s="1462"/>
      <c r="W24" s="1463"/>
      <c r="X24" s="1456"/>
      <c r="Y24" s="3663"/>
      <c r="Z24" s="1464"/>
      <c r="AA24" s="1465">
        <v>1</v>
      </c>
      <c r="AB24" s="1465">
        <v>1</v>
      </c>
      <c r="AC24" s="1465">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7"/>
      <c r="M25" s="1969"/>
      <c r="N25" s="1969"/>
      <c r="O25" s="1969"/>
      <c r="P25" s="3663"/>
      <c r="Q25" s="1461" t="str">
        <f>B25</f>
        <v>毗邻道路的类型与等级</v>
      </c>
      <c r="R25" s="1462" t="s">
        <v>8</v>
      </c>
      <c r="S25" s="1463">
        <f>F25</f>
        <v>100</v>
      </c>
      <c r="T25" s="1462" t="s">
        <v>8</v>
      </c>
      <c r="U25" s="1463">
        <f>H25</f>
        <v>100</v>
      </c>
      <c r="V25" s="1462" t="s">
        <v>8</v>
      </c>
      <c r="W25" s="1463">
        <f>J25</f>
        <v>100</v>
      </c>
      <c r="X25" s="1456"/>
      <c r="Y25" s="3663"/>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7"/>
      <c r="M26" s="1969"/>
      <c r="N26" s="1969"/>
      <c r="O26" s="1969"/>
      <c r="P26" s="3663"/>
      <c r="Q26" s="1461"/>
      <c r="R26" s="1462"/>
      <c r="S26" s="1463"/>
      <c r="T26" s="1462"/>
      <c r="U26" s="1463"/>
      <c r="V26" s="1462"/>
      <c r="W26" s="1463"/>
      <c r="X26" s="1456"/>
      <c r="Y26" s="3663"/>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63"/>
      <c r="Q27" s="1461" t="str">
        <f t="shared" ref="Q27:Q47" si="11">B27</f>
        <v>楼层</v>
      </c>
      <c r="R27" s="1462" t="s">
        <v>8</v>
      </c>
      <c r="S27" s="1463">
        <f>F27</f>
        <v>100</v>
      </c>
      <c r="T27" s="1462" t="s">
        <v>8</v>
      </c>
      <c r="U27" s="1463">
        <f>H27</f>
        <v>100</v>
      </c>
      <c r="V27" s="1462" t="s">
        <v>8</v>
      </c>
      <c r="W27" s="1463">
        <f>J27</f>
        <v>100</v>
      </c>
      <c r="X27" s="1456"/>
      <c r="Y27" s="3663"/>
      <c r="Z27" s="1464" t="str">
        <f>Q27</f>
        <v>楼层</v>
      </c>
      <c r="AA27" s="1465">
        <f t="shared" si="3"/>
        <v>1</v>
      </c>
      <c r="AB27" s="1465">
        <f t="shared" si="4"/>
        <v>1</v>
      </c>
      <c r="AC27" s="1465">
        <f t="shared" si="5"/>
        <v>1</v>
      </c>
    </row>
    <row r="28" spans="1:29" s="1165" customFormat="1" ht="1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70"/>
      <c r="M28" s="1971"/>
      <c r="N28" s="1971"/>
      <c r="O28" s="1971"/>
      <c r="P28" s="3663"/>
      <c r="Q28" s="1096" t="str">
        <f t="shared" si="11"/>
        <v>朝向</v>
      </c>
      <c r="R28" s="1457" t="s">
        <v>8</v>
      </c>
      <c r="S28" s="1458">
        <f>F28</f>
        <v>100</v>
      </c>
      <c r="T28" s="1457" t="s">
        <v>8</v>
      </c>
      <c r="U28" s="1458">
        <f>H28</f>
        <v>100</v>
      </c>
      <c r="V28" s="1457" t="s">
        <v>8</v>
      </c>
      <c r="W28" s="1458">
        <f>J28</f>
        <v>100</v>
      </c>
      <c r="X28" s="1459"/>
      <c r="Y28" s="3663"/>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7"/>
      <c r="M29" s="1969"/>
      <c r="N29" s="1969"/>
      <c r="O29" s="1969"/>
      <c r="P29" s="3663"/>
      <c r="Q29" s="1461">
        <f t="shared" si="11"/>
        <v>111</v>
      </c>
      <c r="R29" s="1462" t="s">
        <v>8</v>
      </c>
      <c r="S29" s="1463">
        <f t="shared" ref="S29:S47" si="12">F29</f>
        <v>100</v>
      </c>
      <c r="T29" s="1462" t="s">
        <v>8</v>
      </c>
      <c r="U29" s="1463">
        <f t="shared" ref="U29:U47" si="13">H29</f>
        <v>100</v>
      </c>
      <c r="V29" s="1462" t="s">
        <v>8</v>
      </c>
      <c r="W29" s="1463">
        <f t="shared" ref="W29:W47" si="14">J29</f>
        <v>100</v>
      </c>
      <c r="X29" s="1456"/>
      <c r="Y29" s="3663"/>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7"/>
      <c r="M30" s="1969"/>
      <c r="N30" s="1969"/>
      <c r="O30" s="1969"/>
      <c r="P30" s="3663"/>
      <c r="Q30" s="1461">
        <f t="shared" si="11"/>
        <v>111</v>
      </c>
      <c r="R30" s="1462" t="s">
        <v>8</v>
      </c>
      <c r="S30" s="1463">
        <f t="shared" si="12"/>
        <v>100</v>
      </c>
      <c r="T30" s="1462" t="s">
        <v>8</v>
      </c>
      <c r="U30" s="1463">
        <f t="shared" si="13"/>
        <v>100</v>
      </c>
      <c r="V30" s="1462" t="s">
        <v>8</v>
      </c>
      <c r="W30" s="1463">
        <f t="shared" si="14"/>
        <v>100</v>
      </c>
      <c r="X30" s="1456"/>
      <c r="Y30" s="3663"/>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7"/>
      <c r="M31" s="1969"/>
      <c r="N31" s="1969"/>
      <c r="O31" s="1969"/>
      <c r="P31" s="3663"/>
      <c r="Q31" s="1461">
        <f t="shared" si="11"/>
        <v>111</v>
      </c>
      <c r="R31" s="1462" t="s">
        <v>8</v>
      </c>
      <c r="S31" s="1463">
        <f t="shared" si="12"/>
        <v>100</v>
      </c>
      <c r="T31" s="1462" t="s">
        <v>8</v>
      </c>
      <c r="U31" s="1463">
        <f t="shared" si="13"/>
        <v>100</v>
      </c>
      <c r="V31" s="1462" t="s">
        <v>8</v>
      </c>
      <c r="W31" s="1463">
        <f t="shared" si="14"/>
        <v>100</v>
      </c>
      <c r="X31" s="1456"/>
      <c r="Y31" s="3663"/>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7"/>
      <c r="M32" s="1969"/>
      <c r="N32" s="1969"/>
      <c r="O32" s="1969"/>
      <c r="P32" s="3663"/>
      <c r="Q32" s="1461">
        <f t="shared" si="11"/>
        <v>111</v>
      </c>
      <c r="R32" s="1462" t="s">
        <v>8</v>
      </c>
      <c r="S32" s="1463">
        <f t="shared" si="12"/>
        <v>100</v>
      </c>
      <c r="T32" s="1462" t="s">
        <v>8</v>
      </c>
      <c r="U32" s="1463">
        <f t="shared" si="13"/>
        <v>100</v>
      </c>
      <c r="V32" s="1462" t="s">
        <v>8</v>
      </c>
      <c r="W32" s="1463">
        <f t="shared" si="14"/>
        <v>100</v>
      </c>
      <c r="X32" s="1456"/>
      <c r="Y32" s="3663"/>
      <c r="Z32" s="1464">
        <f t="shared" si="15"/>
        <v>111</v>
      </c>
      <c r="AA32" s="1465">
        <f t="shared" si="3"/>
        <v>1</v>
      </c>
      <c r="AB32" s="1465">
        <f t="shared" si="4"/>
        <v>1</v>
      </c>
      <c r="AC32" s="1465">
        <f t="shared" si="5"/>
        <v>1</v>
      </c>
    </row>
    <row r="33" spans="1:29" ht="15">
      <c r="A33" s="2545"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7"/>
      <c r="M33" s="1969"/>
      <c r="N33" s="1969"/>
      <c r="O33" s="1969"/>
      <c r="P33" s="3664" t="s">
        <v>533</v>
      </c>
      <c r="Q33" s="1461" t="str">
        <f t="shared" si="11"/>
        <v>建筑类型</v>
      </c>
      <c r="R33" s="1462" t="s">
        <v>8</v>
      </c>
      <c r="S33" s="1463">
        <f t="shared" si="12"/>
        <v>100</v>
      </c>
      <c r="T33" s="1462" t="s">
        <v>8</v>
      </c>
      <c r="U33" s="1463">
        <f t="shared" si="13"/>
        <v>100</v>
      </c>
      <c r="V33" s="1462" t="s">
        <v>8</v>
      </c>
      <c r="W33" s="1463">
        <f t="shared" si="14"/>
        <v>100</v>
      </c>
      <c r="X33" s="1456"/>
      <c r="Y33" s="3665" t="s">
        <v>533</v>
      </c>
      <c r="Z33" s="1464" t="str">
        <f t="shared" si="15"/>
        <v>建筑类型</v>
      </c>
      <c r="AA33" s="1465">
        <f t="shared" si="3"/>
        <v>1</v>
      </c>
      <c r="AB33" s="1465">
        <f t="shared" si="4"/>
        <v>1</v>
      </c>
      <c r="AC33" s="1465">
        <f t="shared" si="5"/>
        <v>1</v>
      </c>
    </row>
    <row r="34" spans="1:29" s="1247" customFormat="1" ht="1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65"/>
      <c r="Q34" s="1490" t="str">
        <f t="shared" si="11"/>
        <v>项目建筑规模</v>
      </c>
      <c r="R34" s="1466" t="s">
        <v>8</v>
      </c>
      <c r="S34" s="1467" t="e">
        <f t="shared" si="12"/>
        <v>#N/A</v>
      </c>
      <c r="T34" s="1466" t="s">
        <v>8</v>
      </c>
      <c r="U34" s="1467" t="e">
        <f t="shared" si="13"/>
        <v>#N/A</v>
      </c>
      <c r="V34" s="1466" t="s">
        <v>8</v>
      </c>
      <c r="W34" s="1467" t="e">
        <f t="shared" si="14"/>
        <v>#N/A</v>
      </c>
      <c r="X34" s="1468"/>
      <c r="Y34" s="3665"/>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65"/>
      <c r="Q35" s="1461" t="str">
        <f t="shared" si="11"/>
        <v>建筑结构</v>
      </c>
      <c r="R35" s="1462" t="s">
        <v>8</v>
      </c>
      <c r="S35" s="1463">
        <f t="shared" si="12"/>
        <v>100</v>
      </c>
      <c r="T35" s="1462" t="s">
        <v>8</v>
      </c>
      <c r="U35" s="1463">
        <f t="shared" si="13"/>
        <v>100</v>
      </c>
      <c r="V35" s="1462" t="s">
        <v>8</v>
      </c>
      <c r="W35" s="1463">
        <f t="shared" si="14"/>
        <v>100</v>
      </c>
      <c r="X35" s="1456"/>
      <c r="Y35" s="3665"/>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65"/>
      <c r="Q36" s="1461" t="str">
        <f t="shared" si="11"/>
        <v>公共部分装修</v>
      </c>
      <c r="R36" s="1462" t="s">
        <v>8</v>
      </c>
      <c r="S36" s="1463">
        <f t="shared" si="12"/>
        <v>100</v>
      </c>
      <c r="T36" s="1462" t="s">
        <v>8</v>
      </c>
      <c r="U36" s="1463">
        <f t="shared" si="13"/>
        <v>100</v>
      </c>
      <c r="V36" s="1462" t="s">
        <v>8</v>
      </c>
      <c r="W36" s="1463">
        <f t="shared" si="14"/>
        <v>100</v>
      </c>
      <c r="X36" s="1456"/>
      <c r="Y36" s="3665"/>
      <c r="Z36" s="1464" t="str">
        <f t="shared" si="15"/>
        <v>公共部分装修</v>
      </c>
      <c r="AA36" s="1465">
        <f t="shared" si="3"/>
        <v>1</v>
      </c>
      <c r="AB36" s="1465">
        <f t="shared" si="4"/>
        <v>1</v>
      </c>
      <c r="AC36" s="1465">
        <f t="shared" si="5"/>
        <v>1</v>
      </c>
    </row>
    <row r="37" spans="1:29" ht="1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7"/>
      <c r="M37" s="1969"/>
      <c r="N37" s="1969"/>
      <c r="O37" s="1969"/>
      <c r="P37" s="3665"/>
      <c r="Q37" s="1461" t="str">
        <f t="shared" si="11"/>
        <v>成新度</v>
      </c>
      <c r="R37" s="1462" t="s">
        <v>8</v>
      </c>
      <c r="S37" s="1463" t="e">
        <f t="shared" si="12"/>
        <v>#N/A</v>
      </c>
      <c r="T37" s="1462" t="s">
        <v>8</v>
      </c>
      <c r="U37" s="1463" t="e">
        <f t="shared" si="13"/>
        <v>#N/A</v>
      </c>
      <c r="V37" s="1462" t="s">
        <v>8</v>
      </c>
      <c r="W37" s="1463" t="e">
        <f t="shared" si="14"/>
        <v>#N/A</v>
      </c>
      <c r="X37" s="1456"/>
      <c r="Y37" s="3665"/>
      <c r="Z37" s="1464" t="str">
        <f t="shared" si="15"/>
        <v>成新度</v>
      </c>
      <c r="AA37" s="1465" t="e">
        <f t="shared" si="3"/>
        <v>#N/A</v>
      </c>
      <c r="AB37" s="1465" t="e">
        <f t="shared" si="4"/>
        <v>#N/A</v>
      </c>
      <c r="AC37" s="1465" t="e">
        <f t="shared" si="5"/>
        <v>#N/A</v>
      </c>
    </row>
    <row r="38" spans="1:29" s="1165"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65"/>
      <c r="Q38" s="1096" t="str">
        <f t="shared" si="11"/>
        <v>写字楼等级</v>
      </c>
      <c r="R38" s="1457" t="s">
        <v>8</v>
      </c>
      <c r="S38" s="1458">
        <f t="shared" si="12"/>
        <v>100</v>
      </c>
      <c r="T38" s="1457" t="s">
        <v>8</v>
      </c>
      <c r="U38" s="1458">
        <f t="shared" si="13"/>
        <v>100</v>
      </c>
      <c r="V38" s="1457" t="s">
        <v>8</v>
      </c>
      <c r="W38" s="1458">
        <f t="shared" si="14"/>
        <v>100</v>
      </c>
      <c r="X38" s="1459"/>
      <c r="Y38" s="3665"/>
      <c r="Z38" s="1095"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65" t="s">
        <v>533</v>
      </c>
      <c r="Q39" s="1461" t="str">
        <f t="shared" si="11"/>
        <v>物业管理</v>
      </c>
      <c r="R39" s="1462" t="s">
        <v>8</v>
      </c>
      <c r="S39" s="1463">
        <f t="shared" si="12"/>
        <v>100</v>
      </c>
      <c r="T39" s="1462" t="s">
        <v>8</v>
      </c>
      <c r="U39" s="1463">
        <f t="shared" si="13"/>
        <v>100</v>
      </c>
      <c r="V39" s="1462" t="s">
        <v>8</v>
      </c>
      <c r="W39" s="1463">
        <f t="shared" si="14"/>
        <v>100</v>
      </c>
      <c r="X39" s="1456"/>
      <c r="Y39" s="3665"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65"/>
      <c r="Q40" s="1461" t="str">
        <f t="shared" si="11"/>
        <v>市政基础设施</v>
      </c>
      <c r="R40" s="1462" t="s">
        <v>8</v>
      </c>
      <c r="S40" s="1463">
        <f t="shared" si="12"/>
        <v>100</v>
      </c>
      <c r="T40" s="1462" t="s">
        <v>8</v>
      </c>
      <c r="U40" s="1463">
        <f t="shared" si="13"/>
        <v>100</v>
      </c>
      <c r="V40" s="1462" t="s">
        <v>8</v>
      </c>
      <c r="W40" s="1463">
        <f t="shared" si="14"/>
        <v>100</v>
      </c>
      <c r="X40" s="1456"/>
      <c r="Y40" s="3665"/>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65"/>
      <c r="Q41" s="1461" t="str">
        <f t="shared" si="11"/>
        <v>层高</v>
      </c>
      <c r="R41" s="1462" t="s">
        <v>8</v>
      </c>
      <c r="S41" s="1463">
        <f t="shared" si="12"/>
        <v>100</v>
      </c>
      <c r="T41" s="1462" t="s">
        <v>8</v>
      </c>
      <c r="U41" s="1463">
        <f t="shared" si="13"/>
        <v>100</v>
      </c>
      <c r="V41" s="1462" t="s">
        <v>8</v>
      </c>
      <c r="W41" s="1463">
        <f t="shared" si="14"/>
        <v>100</v>
      </c>
      <c r="X41" s="1456"/>
      <c r="Y41" s="3665"/>
      <c r="Z41" s="1464" t="str">
        <f t="shared" si="15"/>
        <v>层高</v>
      </c>
      <c r="AA41" s="1465">
        <f t="shared" si="3"/>
        <v>1</v>
      </c>
      <c r="AB41" s="1465">
        <f t="shared" si="4"/>
        <v>1</v>
      </c>
      <c r="AC41" s="1465">
        <f t="shared" si="5"/>
        <v>1</v>
      </c>
    </row>
    <row r="42" spans="1:29" s="1247" customFormat="1" ht="1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65"/>
      <c r="Q42" s="1490" t="str">
        <f t="shared" si="11"/>
        <v>单套建筑面积</v>
      </c>
      <c r="R42" s="1466" t="s">
        <v>8</v>
      </c>
      <c r="S42" s="1467">
        <f t="shared" si="12"/>
        <v>100</v>
      </c>
      <c r="T42" s="1466" t="s">
        <v>8</v>
      </c>
      <c r="U42" s="1467">
        <f t="shared" si="13"/>
        <v>100</v>
      </c>
      <c r="V42" s="1466" t="s">
        <v>8</v>
      </c>
      <c r="W42" s="1467">
        <f t="shared" si="14"/>
        <v>100</v>
      </c>
      <c r="X42" s="1468"/>
      <c r="Y42" s="3665"/>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65"/>
      <c r="Q43" s="1461" t="str">
        <f t="shared" si="11"/>
        <v>内部装修</v>
      </c>
      <c r="R43" s="1462" t="s">
        <v>8</v>
      </c>
      <c r="S43" s="1463">
        <f t="shared" si="12"/>
        <v>100</v>
      </c>
      <c r="T43" s="1462" t="s">
        <v>8</v>
      </c>
      <c r="U43" s="1463">
        <f t="shared" si="13"/>
        <v>100</v>
      </c>
      <c r="V43" s="1462" t="s">
        <v>8</v>
      </c>
      <c r="W43" s="1463">
        <f t="shared" si="14"/>
        <v>100</v>
      </c>
      <c r="X43" s="1456"/>
      <c r="Y43" s="3665"/>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65"/>
      <c r="Q44" s="1461" t="str">
        <f t="shared" si="11"/>
        <v>内部装修维护情况</v>
      </c>
      <c r="R44" s="1462" t="s">
        <v>8</v>
      </c>
      <c r="S44" s="1463">
        <f t="shared" si="12"/>
        <v>100</v>
      </c>
      <c r="T44" s="1462" t="s">
        <v>8</v>
      </c>
      <c r="U44" s="1463">
        <f t="shared" si="13"/>
        <v>100</v>
      </c>
      <c r="V44" s="1462" t="s">
        <v>8</v>
      </c>
      <c r="W44" s="1463">
        <f t="shared" si="14"/>
        <v>100</v>
      </c>
      <c r="X44" s="1456"/>
      <c r="Y44" s="3665"/>
      <c r="Z44" s="1464" t="str">
        <f t="shared" si="15"/>
        <v>内部装修维护情况</v>
      </c>
      <c r="AA44" s="1465">
        <f t="shared" si="3"/>
        <v>1</v>
      </c>
      <c r="AB44" s="1465">
        <f t="shared" si="4"/>
        <v>1</v>
      </c>
      <c r="AC44" s="1465">
        <f t="shared" si="5"/>
        <v>1</v>
      </c>
    </row>
    <row r="45" spans="1:29" s="1165"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65"/>
      <c r="Q45" s="1096">
        <f t="shared" si="11"/>
        <v>111</v>
      </c>
      <c r="R45" s="1457" t="s">
        <v>8</v>
      </c>
      <c r="S45" s="1458">
        <f t="shared" si="12"/>
        <v>100</v>
      </c>
      <c r="T45" s="1457" t="s">
        <v>8</v>
      </c>
      <c r="U45" s="1458">
        <f t="shared" si="13"/>
        <v>100</v>
      </c>
      <c r="V45" s="1457" t="s">
        <v>8</v>
      </c>
      <c r="W45" s="1458">
        <f t="shared" si="14"/>
        <v>100</v>
      </c>
      <c r="X45" s="1459"/>
      <c r="Y45" s="3665"/>
      <c r="Z45" s="1095">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65"/>
      <c r="Q46" s="1461">
        <f t="shared" si="11"/>
        <v>111</v>
      </c>
      <c r="R46" s="1462" t="s">
        <v>8</v>
      </c>
      <c r="S46" s="1463">
        <f t="shared" si="12"/>
        <v>100</v>
      </c>
      <c r="T46" s="1462" t="s">
        <v>8</v>
      </c>
      <c r="U46" s="1463">
        <f t="shared" si="13"/>
        <v>100</v>
      </c>
      <c r="V46" s="1462" t="s">
        <v>8</v>
      </c>
      <c r="W46" s="1463">
        <f t="shared" si="14"/>
        <v>100</v>
      </c>
      <c r="X46" s="1456"/>
      <c r="Y46" s="3665"/>
      <c r="Z46" s="1464">
        <f t="shared" si="15"/>
        <v>111</v>
      </c>
      <c r="AA46" s="1465">
        <f t="shared" si="3"/>
        <v>1</v>
      </c>
      <c r="AB46" s="1465">
        <f t="shared" si="4"/>
        <v>1</v>
      </c>
      <c r="AC46" s="1465">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779"/>
      <c r="Q47" s="1461">
        <f t="shared" si="11"/>
        <v>111</v>
      </c>
      <c r="R47" s="1462" t="s">
        <v>8</v>
      </c>
      <c r="S47" s="1463">
        <f t="shared" si="12"/>
        <v>100</v>
      </c>
      <c r="T47" s="1462" t="s">
        <v>8</v>
      </c>
      <c r="U47" s="1463">
        <f t="shared" si="13"/>
        <v>100</v>
      </c>
      <c r="V47" s="1462" t="s">
        <v>8</v>
      </c>
      <c r="W47" s="1463">
        <f t="shared" si="14"/>
        <v>100</v>
      </c>
      <c r="X47" s="1456"/>
      <c r="Y47" s="3779"/>
      <c r="Z47" s="1464">
        <f t="shared" si="15"/>
        <v>111</v>
      </c>
      <c r="AA47" s="1465">
        <f t="shared" si="3"/>
        <v>1</v>
      </c>
      <c r="AB47" s="1465">
        <f t="shared" si="4"/>
        <v>1</v>
      </c>
      <c r="AC47" s="1465">
        <f t="shared" si="5"/>
        <v>1</v>
      </c>
    </row>
    <row r="48" spans="1:29" ht="15">
      <c r="A48" s="583" t="s">
        <v>718</v>
      </c>
      <c r="B48" s="857"/>
      <c r="C48" s="2391" t="s">
        <v>1</v>
      </c>
      <c r="D48" s="2392"/>
      <c r="E48" s="2393"/>
      <c r="F48" s="2394"/>
      <c r="G48" s="2395"/>
      <c r="H48" s="2396"/>
      <c r="I48" s="2393"/>
      <c r="J48" s="2396"/>
      <c r="K48" s="1495"/>
      <c r="L48" s="1979"/>
      <c r="M48" s="1969"/>
      <c r="N48" s="1969"/>
      <c r="O48" s="1969"/>
      <c r="P48" s="3667" t="str">
        <f>A48</f>
        <v>成交单价（元/平方米）</v>
      </c>
      <c r="Q48" s="3660"/>
      <c r="R48" s="3778">
        <f>E48</f>
        <v>0</v>
      </c>
      <c r="S48" s="3778"/>
      <c r="T48" s="3778">
        <f>G48</f>
        <v>0</v>
      </c>
      <c r="U48" s="3778"/>
      <c r="V48" s="3778">
        <f>I48</f>
        <v>0</v>
      </c>
      <c r="W48" s="3778"/>
      <c r="X48" s="1451"/>
      <c r="Y48" s="1470"/>
      <c r="Z48" s="1451"/>
      <c r="AA48" s="1451"/>
      <c r="AB48" s="1451"/>
      <c r="AC48" s="1451"/>
    </row>
    <row r="49" spans="1:29" ht="15.75" thickBot="1">
      <c r="A49" s="591" t="s">
        <v>2477</v>
      </c>
      <c r="B49" s="858"/>
      <c r="C49" s="2397" t="e">
        <f>R50</f>
        <v>#DIV/0!</v>
      </c>
      <c r="D49" s="2920" t="s">
        <v>2697</v>
      </c>
      <c r="E49" s="2398" t="e">
        <f>R49</f>
        <v>#DIV/0!</v>
      </c>
      <c r="F49" s="2921"/>
      <c r="G49" s="2397" t="e">
        <f>T49</f>
        <v>#DIV/0!</v>
      </c>
      <c r="H49" s="2921"/>
      <c r="I49" s="2398" t="e">
        <f>V49</f>
        <v>#DIV/0!</v>
      </c>
      <c r="J49" s="2921"/>
      <c r="K49" s="2929">
        <f>F49+H49+J49</f>
        <v>0</v>
      </c>
      <c r="L49" s="1979"/>
      <c r="M49" s="1969"/>
      <c r="N49" s="1969"/>
      <c r="O49" s="1969"/>
      <c r="P49" s="3667" t="str">
        <f>A49</f>
        <v>比较价格（元/平方米）</v>
      </c>
      <c r="Q49" s="3660"/>
      <c r="R49" s="3778" t="e">
        <f>IF(F1="售价",ROUND(PRODUCT(R48,AA7:AA47),0),ROUND(PRODUCT(R48,AA7:AA47),1))</f>
        <v>#DIV/0!</v>
      </c>
      <c r="S49" s="3778"/>
      <c r="T49" s="3778" t="e">
        <f>IF(F1="售价",ROUND(PRODUCT(T48,AB7:AB47),0),ROUND(PRODUCT(T48,AB7:AB47),1))</f>
        <v>#DIV/0!</v>
      </c>
      <c r="U49" s="3778"/>
      <c r="V49" s="3778" t="e">
        <f>IF(F1="售价",ROUND(PRODUCT(V48,AC7:AC47),0),ROUND(PRODUCT(V48,AC7:AC47),1))</f>
        <v>#DIV/0!</v>
      </c>
      <c r="W49" s="3778"/>
      <c r="X49" s="1451"/>
      <c r="Y49" s="1451"/>
      <c r="Z49" s="1451"/>
      <c r="AA49" s="1451"/>
      <c r="AB49" s="1451"/>
      <c r="AC49" s="1451"/>
    </row>
    <row r="50" spans="1:29" ht="15.75" thickBot="1">
      <c r="A50" s="595" t="s">
        <v>2632</v>
      </c>
      <c r="B50" s="596"/>
      <c r="C50" s="2399" t="e">
        <f>R50</f>
        <v>#DIV/0!</v>
      </c>
      <c r="D50" s="2399"/>
      <c r="E50" s="2399"/>
      <c r="F50" s="2399"/>
      <c r="G50" s="2399"/>
      <c r="H50" s="2399"/>
      <c r="I50" s="2399"/>
      <c r="J50" s="2399"/>
      <c r="K50" s="1496"/>
      <c r="L50" s="1979"/>
      <c r="M50" s="1969"/>
      <c r="N50" s="1969"/>
      <c r="O50" s="1969"/>
      <c r="P50" s="3783" t="str">
        <f>A50</f>
        <v>估价对象XX用房的比较价格（楼面单价，元/平方米）</v>
      </c>
      <c r="Q50" s="3667"/>
      <c r="R50" s="3777" t="e">
        <f>IF(F1="售价",ROUND(IF(D49="简单平均",AVERAGE(R49:V49),R49*F49+T49*H49+V49*J49),0),ROUND(IF(D49="简单平均",AVERAGE(R49:V49),R49*F49+T49*H49+V49*J49),1))</f>
        <v>#DIV/0!</v>
      </c>
      <c r="S50" s="3777"/>
      <c r="T50" s="3777"/>
      <c r="U50" s="3777"/>
      <c r="V50" s="3777"/>
      <c r="W50" s="3777"/>
      <c r="X50" s="1451"/>
      <c r="Y50" s="1451"/>
      <c r="Z50" s="1451"/>
      <c r="AA50" s="1451"/>
      <c r="AB50" s="1451"/>
      <c r="AC50" s="1451"/>
    </row>
    <row r="51" spans="1:29">
      <c r="A51" s="3120"/>
      <c r="B51" s="3120"/>
      <c r="C51" s="3120"/>
      <c r="D51" s="3120"/>
      <c r="E51" s="3120"/>
      <c r="F51" s="3120"/>
      <c r="G51" s="3122"/>
      <c r="H51" s="3120"/>
      <c r="I51" s="3120"/>
      <c r="J51" s="3120"/>
      <c r="K51" s="3123"/>
      <c r="L51" s="1984"/>
      <c r="M51" s="1980"/>
      <c r="N51" s="1980"/>
      <c r="O51" s="1980"/>
      <c r="P51" s="2041"/>
      <c r="Q51" s="1980"/>
      <c r="R51" s="1980"/>
      <c r="S51" s="1980"/>
      <c r="T51" s="1980"/>
      <c r="U51" s="1980"/>
      <c r="V51" s="1980"/>
      <c r="W51" s="1980"/>
      <c r="X51" s="1980"/>
      <c r="Y51" s="1980"/>
      <c r="Z51" s="1980"/>
      <c r="AA51" s="1980"/>
      <c r="AB51" s="1980"/>
      <c r="AC51" s="1980"/>
    </row>
    <row r="52" spans="1:29">
      <c r="A52" s="3120"/>
      <c r="B52" s="3120"/>
      <c r="C52" s="3120"/>
      <c r="D52" s="3120"/>
      <c r="E52" s="3120"/>
      <c r="F52" s="3120"/>
      <c r="G52" s="3120"/>
      <c r="H52" s="3120"/>
      <c r="I52" s="3120"/>
      <c r="J52" s="3120"/>
      <c r="K52" s="3123"/>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20"/>
      <c r="B53" s="3120"/>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3"/>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20"/>
      <c r="B54" s="3120"/>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3"/>
      <c r="L54" s="1984"/>
      <c r="M54" s="1980"/>
      <c r="N54" s="1980"/>
      <c r="O54" s="1980"/>
      <c r="P54" s="2041"/>
      <c r="Q54" s="1980"/>
      <c r="R54" s="1980"/>
      <c r="S54" s="1980"/>
      <c r="T54" s="1980"/>
      <c r="U54" s="1980"/>
      <c r="V54" s="1980"/>
      <c r="W54" s="1980"/>
      <c r="X54" s="1980"/>
      <c r="Y54" s="1980"/>
      <c r="Z54" s="1980"/>
      <c r="AA54" s="1980"/>
      <c r="AB54" s="1980"/>
      <c r="AC54" s="1980"/>
    </row>
    <row r="55" spans="1:29" s="1252" customFormat="1" ht="13.5" customHeight="1">
      <c r="A55" s="3121"/>
      <c r="B55" s="3121"/>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4"/>
      <c r="L55" s="1987"/>
      <c r="M55" s="1981"/>
      <c r="N55" s="1981"/>
      <c r="O55" s="1981"/>
      <c r="P55" s="2042"/>
      <c r="Q55" s="1981"/>
      <c r="R55" s="1981"/>
      <c r="S55" s="1981"/>
      <c r="T55" s="1981"/>
      <c r="U55" s="1981"/>
      <c r="V55" s="1981"/>
      <c r="W55" s="1981"/>
      <c r="X55" s="1981"/>
      <c r="Y55" s="1981"/>
      <c r="Z55" s="1981"/>
      <c r="AA55" s="1981"/>
      <c r="AB55" s="1981"/>
      <c r="AC55" s="1981"/>
    </row>
    <row r="56" spans="1:29" s="1252"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4" customFormat="1" ht="15">
      <c r="A59" s="619" t="s">
        <v>512</v>
      </c>
      <c r="B59" s="620"/>
      <c r="C59" s="2440" t="str">
        <f>YEAR(C7)&amp;"-"&amp;MONTH(C7)</f>
        <v>2022-6</v>
      </c>
      <c r="D59" s="2442">
        <f>EDATE(C59,-1)</f>
        <v>44682</v>
      </c>
      <c r="E59" s="2442">
        <f t="shared" ref="E59:O59" si="16">EDATE(D59,-1)</f>
        <v>44652</v>
      </c>
      <c r="F59" s="2442">
        <f t="shared" si="16"/>
        <v>44621</v>
      </c>
      <c r="G59" s="2442">
        <f t="shared" si="16"/>
        <v>44593</v>
      </c>
      <c r="H59" s="2442">
        <f t="shared" si="16"/>
        <v>44562</v>
      </c>
      <c r="I59" s="2442">
        <f t="shared" si="16"/>
        <v>44531</v>
      </c>
      <c r="J59" s="2442">
        <f t="shared" si="16"/>
        <v>44501</v>
      </c>
      <c r="K59" s="2442">
        <f t="shared" si="16"/>
        <v>44470</v>
      </c>
      <c r="L59" s="2442">
        <f t="shared" si="16"/>
        <v>44440</v>
      </c>
      <c r="M59" s="2442">
        <f t="shared" si="16"/>
        <v>44409</v>
      </c>
      <c r="N59" s="2442">
        <f t="shared" si="16"/>
        <v>44378</v>
      </c>
      <c r="O59" s="2442">
        <f t="shared" si="16"/>
        <v>44348</v>
      </c>
      <c r="P59" s="2044"/>
      <c r="Q59" s="1995"/>
      <c r="R59" s="1995"/>
      <c r="S59" s="1995"/>
      <c r="T59" s="1995"/>
      <c r="U59" s="1995"/>
      <c r="V59" s="1995"/>
      <c r="W59" s="1995"/>
      <c r="X59" s="1995"/>
      <c r="Y59" s="1995"/>
      <c r="Z59" s="1995"/>
      <c r="AA59" s="1995"/>
      <c r="AB59" s="1995"/>
      <c r="AC59" s="1995"/>
    </row>
    <row r="60" spans="1:29" s="1165"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5"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5"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5" customFormat="1" ht="15.75" thickBot="1">
      <c r="A63" s="633"/>
      <c r="B63" s="622"/>
      <c r="C63" s="859">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7"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7"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7"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7"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7"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7"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5" customFormat="1" ht="27.75" thickTop="1">
      <c r="A87" s="683"/>
      <c r="B87" s="647" t="s">
        <v>767</v>
      </c>
      <c r="C87" s="662"/>
      <c r="D87" s="662"/>
      <c r="E87" s="662"/>
      <c r="F87" s="662"/>
      <c r="G87" s="662"/>
      <c r="H87" s="662"/>
      <c r="I87" s="662"/>
      <c r="J87" s="662"/>
      <c r="K87" s="662"/>
      <c r="L87" s="860"/>
      <c r="M87" s="861"/>
      <c r="N87" s="1996"/>
      <c r="O87" s="1996"/>
      <c r="P87" s="2047"/>
      <c r="Q87" s="1992"/>
      <c r="R87" s="1858"/>
      <c r="S87" s="1858"/>
      <c r="T87" s="1858"/>
      <c r="U87" s="1858"/>
      <c r="V87" s="1858"/>
      <c r="W87" s="1858"/>
      <c r="X87" s="1858"/>
      <c r="Y87" s="1858"/>
      <c r="Z87" s="1858"/>
      <c r="AA87" s="1858"/>
      <c r="AB87" s="1858"/>
      <c r="AC87" s="1858"/>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5" customFormat="1" ht="15.75" thickTop="1">
      <c r="A89" s="683"/>
      <c r="B89" s="647" t="str">
        <f>B27</f>
        <v>楼层</v>
      </c>
      <c r="C89" s="662"/>
      <c r="D89" s="662"/>
      <c r="E89" s="662"/>
      <c r="F89" s="862"/>
      <c r="G89" s="662"/>
      <c r="H89" s="662"/>
      <c r="I89" s="662"/>
      <c r="J89" s="662"/>
      <c r="K89" s="662"/>
      <c r="L89" s="662"/>
      <c r="M89" s="861"/>
      <c r="N89" s="1996"/>
      <c r="O89" s="1996"/>
      <c r="P89" s="2047"/>
      <c r="Q89" s="1992"/>
      <c r="R89" s="1858"/>
      <c r="S89" s="1858"/>
      <c r="T89" s="1858"/>
      <c r="U89" s="1858"/>
      <c r="V89" s="1858"/>
      <c r="W89" s="1858"/>
      <c r="X89" s="1858"/>
      <c r="Y89" s="1858"/>
      <c r="Z89" s="1858"/>
      <c r="AA89" s="1858"/>
      <c r="AB89" s="1858"/>
      <c r="AC89" s="1858"/>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7"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0"/>
      <c r="M93" s="861"/>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3"/>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7"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7"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4">
        <v>0.5</v>
      </c>
      <c r="D111" s="864">
        <v>0.6</v>
      </c>
      <c r="E111" s="864">
        <v>0.7</v>
      </c>
      <c r="F111" s="864">
        <v>0.8</v>
      </c>
      <c r="G111" s="864">
        <v>0.9</v>
      </c>
      <c r="H111" s="864">
        <v>1.0001</v>
      </c>
      <c r="I111" s="875"/>
      <c r="J111" s="875"/>
      <c r="K111" s="876"/>
      <c r="L111" s="877"/>
      <c r="M111" s="878"/>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7"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7" t="s">
        <v>769</v>
      </c>
      <c r="C119" s="692"/>
      <c r="D119" s="692"/>
      <c r="E119" s="692"/>
      <c r="F119" s="692"/>
      <c r="G119" s="692"/>
      <c r="H119" s="692"/>
      <c r="I119" s="692"/>
      <c r="J119" s="692"/>
      <c r="K119" s="692"/>
      <c r="L119" s="888"/>
      <c r="M119" s="889"/>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7"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7"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7"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7"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3"/>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L14" sqref="L9:Z1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770</v>
      </c>
      <c r="C1" s="480" t="s">
        <v>702</v>
      </c>
      <c r="D1" s="820"/>
      <c r="E1" s="482"/>
      <c r="F1" s="2445"/>
      <c r="G1" s="1486" t="s">
        <v>703</v>
      </c>
      <c r="H1" s="482"/>
      <c r="I1" s="482"/>
      <c r="J1" s="482"/>
      <c r="K1" s="483"/>
      <c r="L1" s="3116"/>
      <c r="M1" s="3117"/>
      <c r="N1" s="3117"/>
      <c r="O1" s="3117"/>
      <c r="P1" s="1967"/>
      <c r="Q1" s="1967"/>
      <c r="R1" s="1967"/>
      <c r="S1" s="1967"/>
      <c r="T1" s="1967"/>
      <c r="U1" s="1967"/>
      <c r="V1" s="1967"/>
      <c r="W1" s="1967"/>
      <c r="X1" s="1967"/>
      <c r="Y1" s="1967"/>
      <c r="Z1" s="1967"/>
      <c r="AA1" s="1967"/>
      <c r="AB1" s="1967"/>
      <c r="AC1" s="1897"/>
    </row>
    <row r="2" spans="1:29" s="1244"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4"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8" t="s">
        <v>504</v>
      </c>
      <c r="B4" s="489"/>
      <c r="C4" s="3668" t="s">
        <v>505</v>
      </c>
      <c r="D4" s="3669"/>
      <c r="E4" s="3690" t="s">
        <v>506</v>
      </c>
      <c r="F4" s="3691"/>
      <c r="G4" s="3668" t="s">
        <v>507</v>
      </c>
      <c r="H4" s="3669"/>
      <c r="I4" s="3668" t="s">
        <v>508</v>
      </c>
      <c r="J4" s="3669"/>
      <c r="K4" s="490" t="s">
        <v>509</v>
      </c>
      <c r="L4" s="1968"/>
      <c r="M4" s="1969"/>
      <c r="N4" s="1969"/>
      <c r="O4" s="1969"/>
      <c r="P4" s="3670" t="s">
        <v>510</v>
      </c>
      <c r="Q4" s="3671"/>
      <c r="R4" s="3654" t="s">
        <v>506</v>
      </c>
      <c r="S4" s="3655"/>
      <c r="T4" s="3654" t="s">
        <v>507</v>
      </c>
      <c r="U4" s="3655"/>
      <c r="V4" s="3676" t="s">
        <v>508</v>
      </c>
      <c r="W4" s="3676"/>
      <c r="X4" s="1456"/>
      <c r="Y4" s="3654" t="s">
        <v>510</v>
      </c>
      <c r="Z4" s="3655"/>
      <c r="AA4" s="3649" t="s">
        <v>506</v>
      </c>
      <c r="AB4" s="3650" t="s">
        <v>507</v>
      </c>
      <c r="AC4" s="3649" t="s">
        <v>508</v>
      </c>
    </row>
    <row r="5" spans="1:29" ht="15">
      <c r="A5" s="491"/>
      <c r="B5" s="492"/>
      <c r="C5" s="3679" t="s">
        <v>2626</v>
      </c>
      <c r="D5" s="3680"/>
      <c r="E5" s="3692" t="s">
        <v>2627</v>
      </c>
      <c r="F5" s="3693"/>
      <c r="G5" s="3679" t="s">
        <v>2628</v>
      </c>
      <c r="H5" s="3680"/>
      <c r="I5" s="3679" t="s">
        <v>2629</v>
      </c>
      <c r="J5" s="3680"/>
      <c r="K5" s="490"/>
      <c r="L5" s="1968"/>
      <c r="M5" s="1969"/>
      <c r="N5" s="1969"/>
      <c r="O5" s="1969"/>
      <c r="P5" s="3672"/>
      <c r="Q5" s="3673"/>
      <c r="R5" s="3656"/>
      <c r="S5" s="3657"/>
      <c r="T5" s="3656"/>
      <c r="U5" s="3657"/>
      <c r="V5" s="3676"/>
      <c r="W5" s="3676"/>
      <c r="X5" s="1456"/>
      <c r="Y5" s="3656"/>
      <c r="Z5" s="3657"/>
      <c r="AA5" s="3650"/>
      <c r="AB5" s="3650"/>
      <c r="AC5" s="3650"/>
    </row>
    <row r="6" spans="1:29" ht="15.75" thickBot="1">
      <c r="A6" s="493"/>
      <c r="B6" s="494"/>
      <c r="C6" s="3694" t="s">
        <v>2630</v>
      </c>
      <c r="D6" s="3678"/>
      <c r="E6" s="3695" t="s">
        <v>2630</v>
      </c>
      <c r="F6" s="3696"/>
      <c r="G6" s="3694" t="s">
        <v>2630</v>
      </c>
      <c r="H6" s="3678"/>
      <c r="I6" s="3694" t="s">
        <v>2630</v>
      </c>
      <c r="J6" s="3678"/>
      <c r="K6" s="490" t="s">
        <v>511</v>
      </c>
      <c r="L6" s="1968"/>
      <c r="M6" s="1969"/>
      <c r="N6" s="1969"/>
      <c r="O6" s="1969"/>
      <c r="P6" s="3674"/>
      <c r="Q6" s="3675"/>
      <c r="R6" s="3656"/>
      <c r="S6" s="3657"/>
      <c r="T6" s="3658"/>
      <c r="U6" s="3659"/>
      <c r="V6" s="3676"/>
      <c r="W6" s="3676"/>
      <c r="X6" s="1456"/>
      <c r="Y6" s="3658"/>
      <c r="Z6" s="3659"/>
      <c r="AA6" s="3651"/>
      <c r="AB6" s="3651"/>
      <c r="AC6" s="3651"/>
    </row>
    <row r="7" spans="1:29" s="1165" customFormat="1" ht="15.75" thickBot="1">
      <c r="A7" s="2550"/>
      <c r="B7" s="2557" t="s">
        <v>512</v>
      </c>
      <c r="C7" s="495">
        <f>'数据-取费表'!B2</f>
        <v>44735</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52" t="s">
        <v>513</v>
      </c>
      <c r="Q7" s="3661"/>
      <c r="R7" s="1457" t="s">
        <v>8</v>
      </c>
      <c r="S7" s="1458">
        <f t="shared" ref="S7:S15" si="0">F7</f>
        <v>0</v>
      </c>
      <c r="T7" s="1457" t="s">
        <v>8</v>
      </c>
      <c r="U7" s="1458">
        <f t="shared" ref="U7:U15" si="1">H7</f>
        <v>0</v>
      </c>
      <c r="V7" s="1457" t="s">
        <v>8</v>
      </c>
      <c r="W7" s="1458">
        <f t="shared" ref="W7:W15" si="2">J7</f>
        <v>0</v>
      </c>
      <c r="X7" s="1459"/>
      <c r="Y7" s="3652" t="s">
        <v>513</v>
      </c>
      <c r="Z7" s="3653"/>
      <c r="AA7" s="1460" t="e">
        <f>D7/F7</f>
        <v>#DIV/0!</v>
      </c>
      <c r="AB7" s="1460" t="e">
        <f>D7/H7</f>
        <v>#DIV/0!</v>
      </c>
      <c r="AC7" s="1460" t="e">
        <f>D7/J7</f>
        <v>#DIV/0!</v>
      </c>
    </row>
    <row r="8" spans="1:29" s="1165" customFormat="1" ht="15.75" thickBot="1">
      <c r="A8" s="2551"/>
      <c r="B8" s="2558"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52" t="s">
        <v>516</v>
      </c>
      <c r="Q8" s="3653"/>
      <c r="R8" s="1457" t="s">
        <v>8</v>
      </c>
      <c r="S8" s="1458">
        <f t="shared" si="0"/>
        <v>0</v>
      </c>
      <c r="T8" s="1457" t="s">
        <v>8</v>
      </c>
      <c r="U8" s="1458">
        <f t="shared" si="1"/>
        <v>0</v>
      </c>
      <c r="V8" s="1457" t="s">
        <v>8</v>
      </c>
      <c r="W8" s="1458">
        <f t="shared" si="2"/>
        <v>0</v>
      </c>
      <c r="X8" s="1459"/>
      <c r="Y8" s="3652" t="s">
        <v>516</v>
      </c>
      <c r="Z8" s="3653"/>
      <c r="AA8" s="1460" t="e">
        <f t="shared" ref="AA8:AA40" si="3">D8/F8</f>
        <v>#DIV/0!</v>
      </c>
      <c r="AB8" s="1460" t="e">
        <f t="shared" ref="AB8:AB40" si="4">D8/H8</f>
        <v>#DIV/0!</v>
      </c>
      <c r="AC8" s="1460" t="e">
        <f t="shared" ref="AC8:AC40" si="5">D8/J8</f>
        <v>#DIV/0!</v>
      </c>
    </row>
    <row r="9" spans="1:29" s="1165" customFormat="1" ht="15">
      <c r="A9" s="2552"/>
      <c r="B9" s="2559"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60" t="s">
        <v>518</v>
      </c>
      <c r="Q9" s="1096" t="str">
        <f t="shared" ref="Q9:Q15" si="6">B9</f>
        <v>用途</v>
      </c>
      <c r="R9" s="1457" t="s">
        <v>8</v>
      </c>
      <c r="S9" s="1458">
        <f t="shared" si="0"/>
        <v>100</v>
      </c>
      <c r="T9" s="1457" t="s">
        <v>8</v>
      </c>
      <c r="U9" s="1458">
        <f t="shared" si="1"/>
        <v>100</v>
      </c>
      <c r="V9" s="1457" t="s">
        <v>8</v>
      </c>
      <c r="W9" s="1458">
        <f t="shared" si="2"/>
        <v>100</v>
      </c>
      <c r="X9" s="1459"/>
      <c r="Y9" s="360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60"/>
      <c r="Q10" s="1096" t="str">
        <f t="shared" si="6"/>
        <v>土地使用年限（年）</v>
      </c>
      <c r="R10" s="1457" t="s">
        <v>8</v>
      </c>
      <c r="S10" s="1458">
        <f t="shared" si="0"/>
        <v>100</v>
      </c>
      <c r="T10" s="1457" t="s">
        <v>8</v>
      </c>
      <c r="U10" s="1458">
        <f t="shared" si="1"/>
        <v>100</v>
      </c>
      <c r="V10" s="1457" t="s">
        <v>8</v>
      </c>
      <c r="W10" s="1458">
        <f t="shared" si="2"/>
        <v>100</v>
      </c>
      <c r="X10" s="1459"/>
      <c r="Y10" s="360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60"/>
      <c r="Q11" s="1096" t="str">
        <f t="shared" si="6"/>
        <v>容积率</v>
      </c>
      <c r="R11" s="1457" t="s">
        <v>8</v>
      </c>
      <c r="S11" s="1458" t="e">
        <f t="shared" si="0"/>
        <v>#N/A</v>
      </c>
      <c r="T11" s="1457" t="s">
        <v>8</v>
      </c>
      <c r="U11" s="1458" t="e">
        <f t="shared" si="1"/>
        <v>#N/A</v>
      </c>
      <c r="V11" s="1457" t="s">
        <v>8</v>
      </c>
      <c r="W11" s="1458" t="e">
        <f t="shared" si="2"/>
        <v>#N/A</v>
      </c>
      <c r="X11" s="1459"/>
      <c r="Y11" s="360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SUMIF(64:64,E12,65:65)-SUMIF(64:64,C12,65:65)+100</f>
        <v>100</v>
      </c>
      <c r="G12" s="890"/>
      <c r="H12" s="252">
        <f>SUMIF(64:64,G12,65:65)-SUMIF(64:64,C12,65:65)+100</f>
        <v>100</v>
      </c>
      <c r="I12" s="850"/>
      <c r="J12" s="252">
        <f>SUMIF(64:64,I12,65:65)-SUMIF(64:64,C12,65:65)+100</f>
        <v>100</v>
      </c>
      <c r="K12" s="557"/>
      <c r="L12" s="1970"/>
      <c r="M12" s="1971"/>
      <c r="N12" s="1971"/>
      <c r="O12" s="1972"/>
      <c r="P12" s="3660"/>
      <c r="Q12" s="1096">
        <f t="shared" si="6"/>
        <v>111</v>
      </c>
      <c r="R12" s="1457" t="s">
        <v>8</v>
      </c>
      <c r="S12" s="1458">
        <f t="shared" si="0"/>
        <v>100</v>
      </c>
      <c r="T12" s="1457" t="s">
        <v>8</v>
      </c>
      <c r="U12" s="1458">
        <f t="shared" si="1"/>
        <v>100</v>
      </c>
      <c r="V12" s="1457" t="s">
        <v>8</v>
      </c>
      <c r="W12" s="1458">
        <f t="shared" si="2"/>
        <v>100</v>
      </c>
      <c r="X12" s="1459"/>
      <c r="Y12" s="3608"/>
      <c r="Z12" s="1095">
        <f t="shared" si="7"/>
        <v>111</v>
      </c>
      <c r="AA12" s="1460">
        <f>D12/F12</f>
        <v>1</v>
      </c>
      <c r="AB12" s="1460">
        <f>D12/H12</f>
        <v>1</v>
      </c>
      <c r="AC12" s="1460">
        <f>D12/J12</f>
        <v>1</v>
      </c>
    </row>
    <row r="13" spans="1:29" ht="15">
      <c r="A13" s="2555"/>
      <c r="B13" s="2561">
        <v>111</v>
      </c>
      <c r="C13" s="515"/>
      <c r="D13" s="516">
        <v>100</v>
      </c>
      <c r="E13" s="515"/>
      <c r="F13" s="252">
        <f>SUMIF(66:66,E13,67:67)-SUMIF(66:66,C13,67:67)+100</f>
        <v>100</v>
      </c>
      <c r="G13" s="890"/>
      <c r="H13" s="516">
        <f>SUMIF(66:66,G13,67:67)-SUMIF(66:66,C13,67:67)+100</f>
        <v>100</v>
      </c>
      <c r="I13" s="850"/>
      <c r="J13" s="516">
        <f>SUMIF(66:66,I13,67:67)-SUMIF(66:66,C13,67:67)+100</f>
        <v>100</v>
      </c>
      <c r="K13" s="557"/>
      <c r="L13" s="1977"/>
      <c r="M13" s="1969"/>
      <c r="N13" s="1969"/>
      <c r="O13" s="1976"/>
      <c r="P13" s="3660"/>
      <c r="Q13" s="1096">
        <f t="shared" si="6"/>
        <v>111</v>
      </c>
      <c r="R13" s="1457" t="s">
        <v>8</v>
      </c>
      <c r="S13" s="1458">
        <f t="shared" si="0"/>
        <v>100</v>
      </c>
      <c r="T13" s="1457" t="s">
        <v>8</v>
      </c>
      <c r="U13" s="1458">
        <f t="shared" si="1"/>
        <v>100</v>
      </c>
      <c r="V13" s="1457" t="s">
        <v>8</v>
      </c>
      <c r="W13" s="1458">
        <f t="shared" si="2"/>
        <v>100</v>
      </c>
      <c r="X13" s="1459"/>
      <c r="Y13" s="3608"/>
      <c r="Z13" s="1095">
        <f t="shared" si="7"/>
        <v>111</v>
      </c>
      <c r="AA13" s="1460">
        <f t="shared" si="3"/>
        <v>1</v>
      </c>
      <c r="AB13" s="1460">
        <f t="shared" si="4"/>
        <v>1</v>
      </c>
      <c r="AC13" s="1460">
        <f t="shared" si="5"/>
        <v>1</v>
      </c>
    </row>
    <row r="14" spans="1:29" ht="15.75" thickBot="1">
      <c r="A14" s="2556"/>
      <c r="B14" s="2562">
        <v>111</v>
      </c>
      <c r="C14" s="521"/>
      <c r="D14" s="522">
        <v>100</v>
      </c>
      <c r="E14" s="521"/>
      <c r="F14" s="522">
        <f>SUMIF(68:68,E14,69:69)-SUMIF(68:68,C14,69:69)+100</f>
        <v>100</v>
      </c>
      <c r="G14" s="890"/>
      <c r="H14" s="522">
        <f>SUMIF(68:68,G14,69:69)-SUMIF(68:68,C14,69:69)+100</f>
        <v>100</v>
      </c>
      <c r="I14" s="850"/>
      <c r="J14" s="522">
        <f>SUMIF(68:68,I14,69:69)-SUMIF(68:68,C14,69:69)+100</f>
        <v>100</v>
      </c>
      <c r="K14" s="557"/>
      <c r="L14" s="1977"/>
      <c r="M14" s="1969"/>
      <c r="N14" s="1969"/>
      <c r="O14" s="1976"/>
      <c r="P14" s="3660"/>
      <c r="Q14" s="1096">
        <f t="shared" si="6"/>
        <v>111</v>
      </c>
      <c r="R14" s="1457" t="s">
        <v>8</v>
      </c>
      <c r="S14" s="1458">
        <f t="shared" si="0"/>
        <v>100</v>
      </c>
      <c r="T14" s="1457" t="s">
        <v>8</v>
      </c>
      <c r="U14" s="1458">
        <f t="shared" si="1"/>
        <v>100</v>
      </c>
      <c r="V14" s="1457" t="s">
        <v>8</v>
      </c>
      <c r="W14" s="1458">
        <f t="shared" si="2"/>
        <v>100</v>
      </c>
      <c r="X14" s="1459"/>
      <c r="Y14" s="3608"/>
      <c r="Z14" s="1095">
        <f t="shared" si="7"/>
        <v>111</v>
      </c>
      <c r="AA14" s="1460">
        <f t="shared" si="3"/>
        <v>1</v>
      </c>
      <c r="AB14" s="1460">
        <f t="shared" si="4"/>
        <v>1</v>
      </c>
      <c r="AC14" s="1460">
        <f t="shared" si="5"/>
        <v>1</v>
      </c>
    </row>
    <row r="15" spans="1:29" ht="57">
      <c r="A15" s="2548"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7"/>
      <c r="M15" s="1969"/>
      <c r="N15" s="1969"/>
      <c r="O15" s="1976"/>
      <c r="P15" s="3662" t="s">
        <v>523</v>
      </c>
      <c r="Q15" s="1461" t="str">
        <f t="shared" si="6"/>
        <v>产业集聚程度</v>
      </c>
      <c r="R15" s="1462" t="s">
        <v>8</v>
      </c>
      <c r="S15" s="1463">
        <f t="shared" si="0"/>
        <v>100</v>
      </c>
      <c r="T15" s="1462" t="s">
        <v>8</v>
      </c>
      <c r="U15" s="1463">
        <f t="shared" si="1"/>
        <v>100</v>
      </c>
      <c r="V15" s="1462" t="s">
        <v>8</v>
      </c>
      <c r="W15" s="1463">
        <f t="shared" si="2"/>
        <v>100</v>
      </c>
      <c r="X15" s="1456"/>
      <c r="Y15" s="3662"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63"/>
      <c r="Q16" s="1461"/>
      <c r="R16" s="1462"/>
      <c r="S16" s="1463"/>
      <c r="T16" s="1462"/>
      <c r="U16" s="1463"/>
      <c r="V16" s="1462"/>
      <c r="W16" s="1463"/>
      <c r="X16" s="1456"/>
      <c r="Y16" s="3663"/>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7"/>
      <c r="M17" s="1969"/>
      <c r="N17" s="1969"/>
      <c r="O17" s="1976"/>
      <c r="P17" s="3663"/>
      <c r="Q17" s="1461" t="str">
        <f>B17</f>
        <v>交通便捷度</v>
      </c>
      <c r="R17" s="1462" t="s">
        <v>8</v>
      </c>
      <c r="S17" s="1463">
        <f>F17</f>
        <v>100</v>
      </c>
      <c r="T17" s="1462" t="s">
        <v>8</v>
      </c>
      <c r="U17" s="1463">
        <f>H17</f>
        <v>100</v>
      </c>
      <c r="V17" s="1462" t="s">
        <v>8</v>
      </c>
      <c r="W17" s="1463">
        <f>J17</f>
        <v>100</v>
      </c>
      <c r="X17" s="1456"/>
      <c r="Y17" s="3663"/>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63"/>
      <c r="Q18" s="1461"/>
      <c r="R18" s="1462"/>
      <c r="S18" s="1463"/>
      <c r="T18" s="1462"/>
      <c r="U18" s="1463"/>
      <c r="V18" s="1462"/>
      <c r="W18" s="1463"/>
      <c r="X18" s="1456"/>
      <c r="Y18" s="3663"/>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7"/>
      <c r="M19" s="1969"/>
      <c r="N19" s="1969"/>
      <c r="O19" s="1976"/>
      <c r="P19" s="3663"/>
      <c r="Q19" s="1461" t="str">
        <f>B19</f>
        <v>公共配套设施</v>
      </c>
      <c r="R19" s="1462" t="s">
        <v>8</v>
      </c>
      <c r="S19" s="1463">
        <f>F19</f>
        <v>100</v>
      </c>
      <c r="T19" s="1462" t="s">
        <v>8</v>
      </c>
      <c r="U19" s="1463">
        <f>H19</f>
        <v>100</v>
      </c>
      <c r="V19" s="1462" t="s">
        <v>8</v>
      </c>
      <c r="W19" s="1463">
        <f>J19</f>
        <v>100</v>
      </c>
      <c r="X19" s="1456"/>
      <c r="Y19" s="3663"/>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7"/>
      <c r="M20" s="1969"/>
      <c r="N20" s="1969"/>
      <c r="O20" s="1976"/>
      <c r="P20" s="3663"/>
      <c r="Q20" s="1461"/>
      <c r="R20" s="1462"/>
      <c r="S20" s="1463"/>
      <c r="T20" s="1462"/>
      <c r="U20" s="1463"/>
      <c r="V20" s="1462"/>
      <c r="W20" s="1463"/>
      <c r="X20" s="1456"/>
      <c r="Y20" s="3663"/>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7"/>
      <c r="M21" s="1969"/>
      <c r="N21" s="1969"/>
      <c r="O21" s="1976"/>
      <c r="P21" s="3663"/>
      <c r="Q21" s="2350" t="str">
        <f>B21</f>
        <v>基础设施水平</v>
      </c>
      <c r="R21" s="1462" t="s">
        <v>8</v>
      </c>
      <c r="S21" s="1463">
        <f>F21</f>
        <v>100</v>
      </c>
      <c r="T21" s="1462" t="s">
        <v>8</v>
      </c>
      <c r="U21" s="1463">
        <f>H21</f>
        <v>100</v>
      </c>
      <c r="V21" s="1462" t="s">
        <v>8</v>
      </c>
      <c r="W21" s="1463">
        <f>J21</f>
        <v>100</v>
      </c>
      <c r="X21" s="2352"/>
      <c r="Y21" s="3663"/>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63"/>
      <c r="Q22" s="2350"/>
      <c r="R22" s="1462"/>
      <c r="S22" s="1463"/>
      <c r="T22" s="1462"/>
      <c r="U22" s="1463"/>
      <c r="V22" s="1462"/>
      <c r="W22" s="1463"/>
      <c r="X22" s="2352"/>
      <c r="Y22" s="3663"/>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7"/>
      <c r="M23" s="1969"/>
      <c r="N23" s="1969"/>
      <c r="O23" s="1976"/>
      <c r="P23" s="3663"/>
      <c r="Q23" s="1461" t="str">
        <f>B23</f>
        <v>环境质量</v>
      </c>
      <c r="R23" s="1462" t="s">
        <v>8</v>
      </c>
      <c r="S23" s="1463">
        <f>F23</f>
        <v>100</v>
      </c>
      <c r="T23" s="1462" t="s">
        <v>8</v>
      </c>
      <c r="U23" s="1463">
        <f>H23</f>
        <v>100</v>
      </c>
      <c r="V23" s="1462" t="s">
        <v>8</v>
      </c>
      <c r="W23" s="1463">
        <f>J23</f>
        <v>100</v>
      </c>
      <c r="X23" s="1456"/>
      <c r="Y23" s="3663"/>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7"/>
      <c r="M24" s="1969"/>
      <c r="N24" s="1969"/>
      <c r="O24" s="1976"/>
      <c r="P24" s="3663"/>
      <c r="Q24" s="1461"/>
      <c r="R24" s="1462"/>
      <c r="S24" s="1463"/>
      <c r="T24" s="1462"/>
      <c r="U24" s="1463"/>
      <c r="V24" s="1462"/>
      <c r="W24" s="1463"/>
      <c r="X24" s="1456"/>
      <c r="Y24" s="3663"/>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63"/>
      <c r="Q25" s="1461">
        <f>B25</f>
        <v>111</v>
      </c>
      <c r="R25" s="1462" t="s">
        <v>8</v>
      </c>
      <c r="S25" s="1463">
        <f>F25</f>
        <v>100</v>
      </c>
      <c r="T25" s="1462" t="s">
        <v>8</v>
      </c>
      <c r="U25" s="1463">
        <f>H25</f>
        <v>100</v>
      </c>
      <c r="V25" s="1462" t="s">
        <v>8</v>
      </c>
      <c r="W25" s="1463">
        <f>J25</f>
        <v>100</v>
      </c>
      <c r="X25" s="1456"/>
      <c r="Y25" s="3663"/>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63"/>
      <c r="Q26" s="1461">
        <f t="shared" ref="Q26:Q40" si="11">B26</f>
        <v>111</v>
      </c>
      <c r="R26" s="1462" t="s">
        <v>8</v>
      </c>
      <c r="S26" s="1463">
        <f>F26</f>
        <v>100</v>
      </c>
      <c r="T26" s="1462" t="s">
        <v>8</v>
      </c>
      <c r="U26" s="1463">
        <f>H26</f>
        <v>100</v>
      </c>
      <c r="V26" s="1462" t="s">
        <v>8</v>
      </c>
      <c r="W26" s="1463">
        <f>J26</f>
        <v>100</v>
      </c>
      <c r="X26" s="1456"/>
      <c r="Y26" s="3663"/>
      <c r="Z26" s="1464">
        <f>Q26</f>
        <v>111</v>
      </c>
      <c r="AA26" s="1465">
        <f t="shared" si="3"/>
        <v>1</v>
      </c>
      <c r="AB26" s="1465">
        <f t="shared" si="4"/>
        <v>1</v>
      </c>
      <c r="AC26" s="1465">
        <f t="shared" si="5"/>
        <v>1</v>
      </c>
    </row>
    <row r="27" spans="1:29" s="116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63"/>
      <c r="Q27" s="1096">
        <f t="shared" si="11"/>
        <v>111</v>
      </c>
      <c r="R27" s="1457" t="s">
        <v>8</v>
      </c>
      <c r="S27" s="1458">
        <f>F27</f>
        <v>100</v>
      </c>
      <c r="T27" s="1457" t="s">
        <v>8</v>
      </c>
      <c r="U27" s="1458">
        <f>H27</f>
        <v>100</v>
      </c>
      <c r="V27" s="1457" t="s">
        <v>8</v>
      </c>
      <c r="W27" s="1458">
        <f>J27</f>
        <v>100</v>
      </c>
      <c r="X27" s="1459"/>
      <c r="Y27" s="3663"/>
      <c r="Z27" s="1095">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7"/>
      <c r="M28" s="1969"/>
      <c r="N28" s="1969"/>
      <c r="O28" s="1976"/>
      <c r="P28" s="3663"/>
      <c r="Q28" s="1461">
        <f t="shared" si="11"/>
        <v>111</v>
      </c>
      <c r="R28" s="1462" t="s">
        <v>8</v>
      </c>
      <c r="S28" s="1463">
        <f t="shared" ref="S28:S40" si="12">F28</f>
        <v>100</v>
      </c>
      <c r="T28" s="1462" t="s">
        <v>8</v>
      </c>
      <c r="U28" s="1463">
        <f t="shared" ref="U28:U40" si="13">H28</f>
        <v>100</v>
      </c>
      <c r="V28" s="1462" t="s">
        <v>8</v>
      </c>
      <c r="W28" s="1463">
        <f t="shared" ref="W28:W40" si="14">J28</f>
        <v>100</v>
      </c>
      <c r="X28" s="1456"/>
      <c r="Y28" s="3663"/>
      <c r="Z28" s="1464">
        <f t="shared" ref="Z28:Z40" si="15">Q28</f>
        <v>111</v>
      </c>
      <c r="AA28" s="1465">
        <f t="shared" si="3"/>
        <v>1</v>
      </c>
      <c r="AB28" s="1465">
        <f t="shared" si="4"/>
        <v>1</v>
      </c>
      <c r="AC28" s="1465">
        <f t="shared" si="5"/>
        <v>1</v>
      </c>
    </row>
    <row r="29" spans="1:29" ht="15">
      <c r="A29" s="2545"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7"/>
      <c r="M29" s="1969"/>
      <c r="N29" s="1969"/>
      <c r="O29" s="1976"/>
      <c r="P29" s="3664" t="s">
        <v>533</v>
      </c>
      <c r="Q29" s="1461" t="str">
        <f t="shared" si="11"/>
        <v>建筑类型</v>
      </c>
      <c r="R29" s="1462" t="s">
        <v>8</v>
      </c>
      <c r="S29" s="1463">
        <f t="shared" si="12"/>
        <v>100</v>
      </c>
      <c r="T29" s="1462" t="s">
        <v>8</v>
      </c>
      <c r="U29" s="1463">
        <f t="shared" si="13"/>
        <v>100</v>
      </c>
      <c r="V29" s="1462" t="s">
        <v>8</v>
      </c>
      <c r="W29" s="1463">
        <f t="shared" si="14"/>
        <v>100</v>
      </c>
      <c r="X29" s="1456"/>
      <c r="Y29" s="3665" t="s">
        <v>533</v>
      </c>
      <c r="Z29" s="1464" t="str">
        <f t="shared" si="15"/>
        <v>建筑类型</v>
      </c>
      <c r="AA29" s="1465">
        <f t="shared" si="3"/>
        <v>1</v>
      </c>
      <c r="AB29" s="1465">
        <f t="shared" si="4"/>
        <v>1</v>
      </c>
      <c r="AC29" s="1465">
        <f t="shared" si="5"/>
        <v>1</v>
      </c>
    </row>
    <row r="30" spans="1:29" s="1247" customFormat="1" ht="1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65"/>
      <c r="Q30" s="1490" t="str">
        <f t="shared" si="11"/>
        <v>项目建筑规模</v>
      </c>
      <c r="R30" s="1466" t="s">
        <v>8</v>
      </c>
      <c r="S30" s="1467" t="e">
        <f t="shared" si="12"/>
        <v>#N/A</v>
      </c>
      <c r="T30" s="1466" t="s">
        <v>8</v>
      </c>
      <c r="U30" s="1467" t="e">
        <f t="shared" si="13"/>
        <v>#N/A</v>
      </c>
      <c r="V30" s="1466" t="s">
        <v>8</v>
      </c>
      <c r="W30" s="1467" t="e">
        <f t="shared" si="14"/>
        <v>#N/A</v>
      </c>
      <c r="X30" s="1468"/>
      <c r="Y30" s="3665"/>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65"/>
      <c r="Q31" s="1461" t="str">
        <f t="shared" si="11"/>
        <v>建筑结构</v>
      </c>
      <c r="R31" s="1462" t="s">
        <v>8</v>
      </c>
      <c r="S31" s="1463">
        <f t="shared" si="12"/>
        <v>100</v>
      </c>
      <c r="T31" s="1462" t="s">
        <v>8</v>
      </c>
      <c r="U31" s="1463">
        <f t="shared" si="13"/>
        <v>100</v>
      </c>
      <c r="V31" s="1462" t="s">
        <v>8</v>
      </c>
      <c r="W31" s="1463">
        <f t="shared" si="14"/>
        <v>100</v>
      </c>
      <c r="X31" s="1456"/>
      <c r="Y31" s="3665"/>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65"/>
      <c r="Q32" s="1461" t="str">
        <f t="shared" si="11"/>
        <v>公共部分装修</v>
      </c>
      <c r="R32" s="1462" t="s">
        <v>8</v>
      </c>
      <c r="S32" s="1463">
        <f t="shared" si="12"/>
        <v>100</v>
      </c>
      <c r="T32" s="1462" t="s">
        <v>8</v>
      </c>
      <c r="U32" s="1463">
        <f t="shared" si="13"/>
        <v>100</v>
      </c>
      <c r="V32" s="1462" t="s">
        <v>8</v>
      </c>
      <c r="W32" s="1463">
        <f t="shared" si="14"/>
        <v>100</v>
      </c>
      <c r="X32" s="1456"/>
      <c r="Y32" s="3665"/>
      <c r="Z32" s="1464" t="str">
        <f t="shared" si="15"/>
        <v>公共部分装修</v>
      </c>
      <c r="AA32" s="1465">
        <f t="shared" si="3"/>
        <v>1</v>
      </c>
      <c r="AB32" s="1465">
        <f t="shared" si="4"/>
        <v>1</v>
      </c>
      <c r="AC32" s="1465">
        <f t="shared" si="5"/>
        <v>1</v>
      </c>
    </row>
    <row r="33" spans="1:29" ht="1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7"/>
      <c r="M33" s="1969"/>
      <c r="N33" s="1969"/>
      <c r="O33" s="1976"/>
      <c r="P33" s="3665"/>
      <c r="Q33" s="1461" t="str">
        <f t="shared" si="11"/>
        <v>成新度</v>
      </c>
      <c r="R33" s="1462" t="s">
        <v>8</v>
      </c>
      <c r="S33" s="1463" t="e">
        <f t="shared" si="12"/>
        <v>#N/A</v>
      </c>
      <c r="T33" s="1462" t="s">
        <v>8</v>
      </c>
      <c r="U33" s="1463" t="e">
        <f t="shared" si="13"/>
        <v>#N/A</v>
      </c>
      <c r="V33" s="1462" t="s">
        <v>8</v>
      </c>
      <c r="W33" s="1463" t="e">
        <f t="shared" si="14"/>
        <v>#N/A</v>
      </c>
      <c r="X33" s="1456"/>
      <c r="Y33" s="3665"/>
      <c r="Z33" s="1464" t="str">
        <f t="shared" si="15"/>
        <v>成新度</v>
      </c>
      <c r="AA33" s="1465" t="e">
        <f t="shared" si="3"/>
        <v>#N/A</v>
      </c>
      <c r="AB33" s="1465" t="e">
        <f t="shared" si="4"/>
        <v>#N/A</v>
      </c>
      <c r="AC33" s="1465" t="e">
        <f t="shared" si="5"/>
        <v>#N/A</v>
      </c>
    </row>
    <row r="34" spans="1:29" s="1165"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65"/>
      <c r="Q34" s="1096" t="str">
        <f t="shared" si="11"/>
        <v>物业管理</v>
      </c>
      <c r="R34" s="1457" t="s">
        <v>8</v>
      </c>
      <c r="S34" s="1458">
        <f t="shared" si="12"/>
        <v>100</v>
      </c>
      <c r="T34" s="1457" t="s">
        <v>8</v>
      </c>
      <c r="U34" s="1458">
        <f t="shared" si="13"/>
        <v>100</v>
      </c>
      <c r="V34" s="1457" t="s">
        <v>8</v>
      </c>
      <c r="W34" s="1458">
        <f t="shared" si="14"/>
        <v>100</v>
      </c>
      <c r="X34" s="1459"/>
      <c r="Y34" s="3665"/>
      <c r="Z34" s="1095"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65" t="s">
        <v>533</v>
      </c>
      <c r="Q35" s="1461" t="str">
        <f t="shared" si="11"/>
        <v>市政基础设施</v>
      </c>
      <c r="R35" s="1462" t="s">
        <v>8</v>
      </c>
      <c r="S35" s="1463">
        <f t="shared" si="12"/>
        <v>100</v>
      </c>
      <c r="T35" s="1462" t="s">
        <v>8</v>
      </c>
      <c r="U35" s="1463">
        <f t="shared" si="13"/>
        <v>100</v>
      </c>
      <c r="V35" s="1462" t="s">
        <v>8</v>
      </c>
      <c r="W35" s="1463">
        <f t="shared" si="14"/>
        <v>100</v>
      </c>
      <c r="X35" s="1456"/>
      <c r="Y35" s="3665"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65"/>
      <c r="Q36" s="1461" t="str">
        <f t="shared" si="11"/>
        <v>内部装修</v>
      </c>
      <c r="R36" s="1462" t="s">
        <v>8</v>
      </c>
      <c r="S36" s="1463">
        <f t="shared" si="12"/>
        <v>100</v>
      </c>
      <c r="T36" s="1462" t="s">
        <v>8</v>
      </c>
      <c r="U36" s="1463">
        <f t="shared" si="13"/>
        <v>100</v>
      </c>
      <c r="V36" s="1462" t="s">
        <v>8</v>
      </c>
      <c r="W36" s="1463">
        <f t="shared" si="14"/>
        <v>100</v>
      </c>
      <c r="X36" s="1456"/>
      <c r="Y36" s="3665"/>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65"/>
      <c r="Q37" s="1461" t="str">
        <f t="shared" si="11"/>
        <v>内部装修状况</v>
      </c>
      <c r="R37" s="1462" t="s">
        <v>8</v>
      </c>
      <c r="S37" s="1463">
        <f t="shared" si="12"/>
        <v>100</v>
      </c>
      <c r="T37" s="1462" t="s">
        <v>8</v>
      </c>
      <c r="U37" s="1463">
        <f t="shared" si="13"/>
        <v>100</v>
      </c>
      <c r="V37" s="1462" t="s">
        <v>8</v>
      </c>
      <c r="W37" s="1463">
        <f t="shared" si="14"/>
        <v>100</v>
      </c>
      <c r="X37" s="1456"/>
      <c r="Y37" s="3665"/>
      <c r="Z37" s="1464" t="str">
        <f t="shared" si="15"/>
        <v>内部装修状况</v>
      </c>
      <c r="AA37" s="1465">
        <f t="shared" si="3"/>
        <v>1</v>
      </c>
      <c r="AB37" s="1465">
        <f t="shared" si="4"/>
        <v>1</v>
      </c>
      <c r="AC37" s="1465">
        <f t="shared" si="5"/>
        <v>1</v>
      </c>
    </row>
    <row r="38" spans="1:29" s="1247"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5"/>
      <c r="M38" s="2005"/>
      <c r="N38" s="2005"/>
      <c r="O38" s="1978"/>
      <c r="P38" s="3665"/>
      <c r="Q38" s="1490">
        <f t="shared" si="11"/>
        <v>111</v>
      </c>
      <c r="R38" s="1466" t="s">
        <v>8</v>
      </c>
      <c r="S38" s="1467">
        <f t="shared" si="12"/>
        <v>100</v>
      </c>
      <c r="T38" s="1466" t="s">
        <v>8</v>
      </c>
      <c r="U38" s="1467">
        <f t="shared" si="13"/>
        <v>100</v>
      </c>
      <c r="V38" s="1466" t="s">
        <v>8</v>
      </c>
      <c r="W38" s="1467">
        <f t="shared" si="14"/>
        <v>100</v>
      </c>
      <c r="X38" s="1468"/>
      <c r="Y38" s="3665"/>
      <c r="Z38" s="1469">
        <f t="shared" si="15"/>
        <v>111</v>
      </c>
      <c r="AA38" s="1465">
        <f t="shared" si="3"/>
        <v>1</v>
      </c>
      <c r="AB38" s="1465">
        <f t="shared" si="4"/>
        <v>1</v>
      </c>
      <c r="AC38" s="1465">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7"/>
      <c r="M39" s="1969"/>
      <c r="N39" s="1969"/>
      <c r="O39" s="1976"/>
      <c r="P39" s="3665"/>
      <c r="Q39" s="1461">
        <f t="shared" si="11"/>
        <v>111</v>
      </c>
      <c r="R39" s="1462" t="s">
        <v>8</v>
      </c>
      <c r="S39" s="1463">
        <f t="shared" si="12"/>
        <v>100</v>
      </c>
      <c r="T39" s="1462" t="s">
        <v>8</v>
      </c>
      <c r="U39" s="1463">
        <f t="shared" si="13"/>
        <v>100</v>
      </c>
      <c r="V39" s="1462" t="s">
        <v>8</v>
      </c>
      <c r="W39" s="1463">
        <f t="shared" si="14"/>
        <v>100</v>
      </c>
      <c r="X39" s="1456"/>
      <c r="Y39" s="3665"/>
      <c r="Z39" s="1464">
        <f t="shared" si="15"/>
        <v>111</v>
      </c>
      <c r="AA39" s="1465">
        <f t="shared" si="3"/>
        <v>1</v>
      </c>
      <c r="AB39" s="1465">
        <f t="shared" si="4"/>
        <v>1</v>
      </c>
      <c r="AC39" s="1465">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7"/>
      <c r="M40" s="1969"/>
      <c r="N40" s="1969"/>
      <c r="O40" s="1976"/>
      <c r="P40" s="3779"/>
      <c r="Q40" s="1461">
        <f t="shared" si="11"/>
        <v>111</v>
      </c>
      <c r="R40" s="1462" t="s">
        <v>8</v>
      </c>
      <c r="S40" s="1463">
        <f t="shared" si="12"/>
        <v>100</v>
      </c>
      <c r="T40" s="1462" t="s">
        <v>8</v>
      </c>
      <c r="U40" s="1463">
        <f t="shared" si="13"/>
        <v>100</v>
      </c>
      <c r="V40" s="1462" t="s">
        <v>8</v>
      </c>
      <c r="W40" s="1463">
        <f t="shared" si="14"/>
        <v>100</v>
      </c>
      <c r="X40" s="1456"/>
      <c r="Y40" s="3779"/>
      <c r="Z40" s="1464">
        <f t="shared" si="15"/>
        <v>111</v>
      </c>
      <c r="AA40" s="1465">
        <f t="shared" si="3"/>
        <v>1</v>
      </c>
      <c r="AB40" s="1465">
        <f t="shared" si="4"/>
        <v>1</v>
      </c>
      <c r="AC40" s="1465">
        <f t="shared" si="5"/>
        <v>1</v>
      </c>
    </row>
    <row r="41" spans="1:29" ht="15">
      <c r="A41" s="583" t="s">
        <v>718</v>
      </c>
      <c r="B41" s="857"/>
      <c r="C41" s="2391" t="s">
        <v>1</v>
      </c>
      <c r="D41" s="2392"/>
      <c r="E41" s="2393"/>
      <c r="F41" s="2394"/>
      <c r="G41" s="2395"/>
      <c r="H41" s="2396"/>
      <c r="I41" s="2393"/>
      <c r="J41" s="2396"/>
      <c r="K41" s="1495"/>
      <c r="L41" s="1979"/>
      <c r="M41" s="1980"/>
      <c r="N41" s="1969"/>
      <c r="O41" s="1980"/>
      <c r="P41" s="3660" t="str">
        <f>A41</f>
        <v>成交单价（元/平方米）</v>
      </c>
      <c r="Q41" s="3660"/>
      <c r="R41" s="3778">
        <f>E41</f>
        <v>0</v>
      </c>
      <c r="S41" s="3778"/>
      <c r="T41" s="3778">
        <f>G41</f>
        <v>0</v>
      </c>
      <c r="U41" s="3778"/>
      <c r="V41" s="3778">
        <f>I41</f>
        <v>0</v>
      </c>
      <c r="W41" s="3778"/>
      <c r="X41" s="1451"/>
      <c r="Y41" s="1470"/>
      <c r="Z41" s="1451"/>
      <c r="AA41" s="1451"/>
      <c r="AB41" s="1451"/>
      <c r="AC41" s="1451"/>
    </row>
    <row r="42" spans="1:29" ht="15.75" thickBot="1">
      <c r="A42" s="591" t="s">
        <v>2477</v>
      </c>
      <c r="B42" s="858"/>
      <c r="C42" s="2397" t="e">
        <f>R43</f>
        <v>#DIV/0!</v>
      </c>
      <c r="D42" s="2920" t="s">
        <v>2697</v>
      </c>
      <c r="E42" s="2398" t="e">
        <f>R42</f>
        <v>#DIV/0!</v>
      </c>
      <c r="F42" s="2921"/>
      <c r="G42" s="2397" t="e">
        <f>T42</f>
        <v>#DIV/0!</v>
      </c>
      <c r="H42" s="2921"/>
      <c r="I42" s="2398" t="e">
        <f>V42</f>
        <v>#DIV/0!</v>
      </c>
      <c r="J42" s="2921"/>
      <c r="K42" s="2929">
        <f>F42+H42+J42</f>
        <v>0</v>
      </c>
      <c r="L42" s="1979"/>
      <c r="M42" s="1980"/>
      <c r="N42" s="1969"/>
      <c r="O42" s="1980"/>
      <c r="P42" s="3660" t="str">
        <f>A42</f>
        <v>比较价格（元/平方米）</v>
      </c>
      <c r="Q42" s="3660"/>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1451"/>
      <c r="Y42" s="1451"/>
      <c r="Z42" s="1451"/>
      <c r="AA42" s="1451"/>
      <c r="AB42" s="1451"/>
      <c r="AC42" s="1451"/>
    </row>
    <row r="43" spans="1:29" ht="15.75" thickBot="1">
      <c r="A43" s="595" t="s">
        <v>2632</v>
      </c>
      <c r="B43" s="596"/>
      <c r="C43" s="2399" t="e">
        <f>R43</f>
        <v>#DIV/0!</v>
      </c>
      <c r="D43" s="2399"/>
      <c r="E43" s="2399"/>
      <c r="F43" s="2399"/>
      <c r="G43" s="2399"/>
      <c r="H43" s="2399"/>
      <c r="I43" s="2399"/>
      <c r="J43" s="2399"/>
      <c r="K43" s="1496"/>
      <c r="L43" s="1979"/>
      <c r="M43" s="1980"/>
      <c r="N43" s="1980"/>
      <c r="O43" s="1980"/>
      <c r="P43" s="3666" t="str">
        <f>A43</f>
        <v>估价对象XX用房的比较价格（楼面单价，元/平方米）</v>
      </c>
      <c r="Q43" s="3667"/>
      <c r="R43" s="3777" t="e">
        <f>IF(F1="售价",ROUND(IF(D42="简单平均",AVERAGE(R42:V42),R42*F42+T42*H42+V42*J42),0),ROUND(IF(D42="简单平均",AVERAGE(R42:V42),R42*F42+T42*H42+V42*J42),1))</f>
        <v>#DIV/0!</v>
      </c>
      <c r="S43" s="3777"/>
      <c r="T43" s="3777"/>
      <c r="U43" s="3777"/>
      <c r="V43" s="3777"/>
      <c r="W43" s="3777"/>
      <c r="X43" s="1451"/>
      <c r="Y43" s="1451"/>
      <c r="Z43" s="1451"/>
      <c r="AA43" s="1451"/>
      <c r="AB43" s="1451"/>
      <c r="AC43" s="1451"/>
    </row>
    <row r="44" spans="1:29">
      <c r="A44" s="3120"/>
      <c r="B44" s="3120"/>
      <c r="C44" s="3120"/>
      <c r="D44" s="3120"/>
      <c r="E44" s="3120"/>
      <c r="F44" s="3120"/>
      <c r="G44" s="3122"/>
      <c r="H44" s="3120"/>
      <c r="I44" s="3120"/>
      <c r="J44" s="3120"/>
      <c r="K44" s="3123"/>
      <c r="L44" s="1984"/>
      <c r="M44" s="1980"/>
      <c r="N44" s="1980"/>
      <c r="O44" s="1980"/>
      <c r="P44" s="1980"/>
      <c r="Q44" s="1980"/>
      <c r="R44" s="1980"/>
      <c r="S44" s="1980"/>
      <c r="T44" s="1980"/>
      <c r="U44" s="1980"/>
      <c r="V44" s="1980"/>
      <c r="W44" s="1980"/>
      <c r="X44" s="1980"/>
      <c r="Y44" s="1980"/>
      <c r="Z44" s="1980"/>
      <c r="AA44" s="1980"/>
      <c r="AB44" s="1980"/>
      <c r="AC44" s="1980"/>
    </row>
    <row r="45" spans="1:29">
      <c r="A45" s="3120"/>
      <c r="B45" s="3120"/>
      <c r="C45" s="3120"/>
      <c r="D45" s="3120"/>
      <c r="E45" s="3120"/>
      <c r="F45" s="3120"/>
      <c r="G45" s="3120"/>
      <c r="H45" s="3120"/>
      <c r="I45" s="3120"/>
      <c r="J45" s="3120"/>
      <c r="K45" s="3123"/>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20"/>
      <c r="B46" s="3120"/>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3"/>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20"/>
      <c r="B47" s="3120"/>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3"/>
      <c r="L47" s="1984"/>
      <c r="M47" s="1980"/>
      <c r="N47" s="1980"/>
      <c r="O47" s="1980"/>
      <c r="P47" s="1980"/>
      <c r="Q47" s="1980"/>
      <c r="R47" s="1980"/>
      <c r="S47" s="1980"/>
      <c r="T47" s="1980"/>
      <c r="U47" s="1980"/>
      <c r="V47" s="1980"/>
      <c r="W47" s="1980"/>
      <c r="X47" s="1980"/>
      <c r="Y47" s="1980"/>
      <c r="Z47" s="1980"/>
      <c r="AA47" s="1980"/>
      <c r="AB47" s="1980"/>
      <c r="AC47" s="1980"/>
    </row>
    <row r="48" spans="1:29" s="1252" customFormat="1" ht="13.5" customHeight="1">
      <c r="A48" s="3121"/>
      <c r="B48" s="3121"/>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4"/>
      <c r="L48" s="1987"/>
      <c r="M48" s="1981"/>
      <c r="N48" s="1981"/>
      <c r="O48" s="1981"/>
      <c r="P48" s="1981"/>
      <c r="Q48" s="1981"/>
      <c r="R48" s="1981"/>
      <c r="S48" s="1981"/>
      <c r="T48" s="1981"/>
      <c r="U48" s="1981"/>
      <c r="V48" s="1981"/>
      <c r="W48" s="1981"/>
      <c r="X48" s="1981"/>
      <c r="Y48" s="1981"/>
      <c r="Z48" s="1981"/>
      <c r="AA48" s="1981"/>
      <c r="AB48" s="1981"/>
      <c r="AC48" s="1981"/>
    </row>
    <row r="49" spans="1:29" s="1252"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4" customFormat="1" ht="15">
      <c r="A52" s="619" t="s">
        <v>512</v>
      </c>
      <c r="B52" s="620"/>
      <c r="C52" s="2440" t="str">
        <f>YEAR(C7)&amp;"-"&amp;MONTH(C7)</f>
        <v>2022-6</v>
      </c>
      <c r="D52" s="2442">
        <f>EDATE(C52,-1)</f>
        <v>44682</v>
      </c>
      <c r="E52" s="2442">
        <f t="shared" ref="E52:O52" si="16">EDATE(D52,-1)</f>
        <v>44652</v>
      </c>
      <c r="F52" s="2442">
        <f t="shared" si="16"/>
        <v>44621</v>
      </c>
      <c r="G52" s="2442">
        <f t="shared" si="16"/>
        <v>44593</v>
      </c>
      <c r="H52" s="2442">
        <f t="shared" si="16"/>
        <v>44562</v>
      </c>
      <c r="I52" s="2442">
        <f t="shared" si="16"/>
        <v>44531</v>
      </c>
      <c r="J52" s="2442">
        <f t="shared" si="16"/>
        <v>44501</v>
      </c>
      <c r="K52" s="2442">
        <f t="shared" si="16"/>
        <v>44470</v>
      </c>
      <c r="L52" s="2442">
        <f t="shared" si="16"/>
        <v>44440</v>
      </c>
      <c r="M52" s="2442">
        <f t="shared" si="16"/>
        <v>44409</v>
      </c>
      <c r="N52" s="2442">
        <f t="shared" si="16"/>
        <v>44378</v>
      </c>
      <c r="O52" s="2442">
        <f t="shared" si="16"/>
        <v>44348</v>
      </c>
      <c r="P52" s="1994"/>
      <c r="Q52" s="1995"/>
      <c r="R52" s="1995"/>
      <c r="S52" s="1995"/>
      <c r="T52" s="1995"/>
      <c r="U52" s="1995"/>
      <c r="V52" s="1995"/>
      <c r="W52" s="1995"/>
      <c r="X52" s="1995"/>
      <c r="Y52" s="1995"/>
      <c r="Z52" s="1995"/>
      <c r="AA52" s="1995"/>
      <c r="AB52" s="1995"/>
      <c r="AC52" s="1995"/>
    </row>
    <row r="53" spans="1:29" s="1165"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5"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5"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5"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7"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7"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7"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7"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7"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7"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5"/>
      <c r="I76" s="905"/>
      <c r="J76" s="905"/>
      <c r="K76" s="905"/>
      <c r="L76" s="905"/>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5" customFormat="1" ht="15.75" thickTop="1">
      <c r="A80" s="683"/>
      <c r="B80" s="647">
        <f>B25</f>
        <v>111</v>
      </c>
      <c r="C80" s="662"/>
      <c r="D80" s="662"/>
      <c r="E80" s="662"/>
      <c r="F80" s="662"/>
      <c r="G80" s="662"/>
      <c r="H80" s="662"/>
      <c r="I80" s="662"/>
      <c r="J80" s="662"/>
      <c r="K80" s="662"/>
      <c r="L80" s="860"/>
      <c r="M80" s="861"/>
      <c r="N80" s="1996"/>
      <c r="O80" s="1996"/>
      <c r="P80" s="1999"/>
      <c r="Q80" s="1992"/>
      <c r="R80" s="1858"/>
      <c r="S80" s="1858"/>
      <c r="T80" s="1858"/>
      <c r="U80" s="1858"/>
      <c r="V80" s="1858"/>
      <c r="W80" s="1858"/>
      <c r="X80" s="1858"/>
      <c r="Y80" s="1858"/>
      <c r="Z80" s="1858"/>
      <c r="AA80" s="1858"/>
      <c r="AB80" s="1858"/>
      <c r="AC80" s="1858"/>
    </row>
    <row r="81" spans="1:29" s="1165"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5" customFormat="1" ht="15.75" thickTop="1">
      <c r="A82" s="683"/>
      <c r="B82" s="647">
        <f>B26</f>
        <v>111</v>
      </c>
      <c r="C82" s="662"/>
      <c r="D82" s="662"/>
      <c r="E82" s="662"/>
      <c r="F82" s="662"/>
      <c r="G82" s="662"/>
      <c r="H82" s="662"/>
      <c r="I82" s="662"/>
      <c r="J82" s="662"/>
      <c r="K82" s="662"/>
      <c r="L82" s="860"/>
      <c r="M82" s="861"/>
      <c r="N82" s="1996"/>
      <c r="O82" s="1996"/>
      <c r="P82" s="1999"/>
      <c r="Q82" s="1992"/>
      <c r="R82" s="1858"/>
      <c r="S82" s="1858"/>
      <c r="T82" s="1858"/>
      <c r="U82" s="1858"/>
      <c r="V82" s="1858"/>
      <c r="W82" s="1858"/>
      <c r="X82" s="1858"/>
      <c r="Y82" s="1858"/>
      <c r="Z82" s="1858"/>
      <c r="AA82" s="1858"/>
      <c r="AB82" s="1858"/>
      <c r="AC82" s="1858"/>
    </row>
    <row r="83" spans="1:29" s="1165"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7" customFormat="1" ht="15.75" thickTop="1">
      <c r="A84" s="661"/>
      <c r="B84" s="647">
        <f>B27</f>
        <v>111</v>
      </c>
      <c r="C84" s="662"/>
      <c r="D84" s="662"/>
      <c r="E84" s="662"/>
      <c r="F84" s="662"/>
      <c r="G84" s="662"/>
      <c r="H84" s="662"/>
      <c r="I84" s="662"/>
      <c r="J84" s="662"/>
      <c r="K84" s="662"/>
      <c r="L84" s="860"/>
      <c r="M84" s="861"/>
      <c r="N84" s="2001"/>
      <c r="O84" s="2001"/>
      <c r="P84" s="2002"/>
      <c r="Q84" s="2003"/>
      <c r="R84" s="2004"/>
      <c r="S84" s="2004"/>
      <c r="T84" s="2004"/>
      <c r="U84" s="2004"/>
      <c r="V84" s="2004"/>
      <c r="W84" s="2004"/>
      <c r="X84" s="2004"/>
      <c r="Y84" s="2004"/>
      <c r="Z84" s="2004"/>
      <c r="AA84" s="2004"/>
      <c r="AB84" s="2004"/>
      <c r="AC84" s="2004"/>
    </row>
    <row r="85" spans="1:29" s="1247"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3"/>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7"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4">
        <v>0.5</v>
      </c>
      <c r="D98" s="864">
        <v>0.6</v>
      </c>
      <c r="E98" s="864">
        <v>0.7</v>
      </c>
      <c r="F98" s="864">
        <v>0.8</v>
      </c>
      <c r="G98" s="864">
        <v>0.9</v>
      </c>
      <c r="H98" s="864">
        <v>1.0001</v>
      </c>
      <c r="I98" s="875"/>
      <c r="J98" s="875"/>
      <c r="K98" s="876"/>
      <c r="L98" s="877"/>
      <c r="M98" s="878"/>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7"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7"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7"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7"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3"/>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Z63" sqref="Z63"/>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t="s">
        <v>902</v>
      </c>
      <c r="C1" s="480" t="s">
        <v>774</v>
      </c>
      <c r="D1" s="820" t="s">
        <v>35</v>
      </c>
      <c r="E1" s="482"/>
      <c r="F1" s="2445" t="s">
        <v>3231</v>
      </c>
      <c r="G1" s="1486" t="s">
        <v>775</v>
      </c>
      <c r="H1" s="482"/>
      <c r="I1" s="482"/>
      <c r="J1" s="482"/>
      <c r="K1" s="483"/>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6" t="s">
        <v>776</v>
      </c>
      <c r="B2" s="821">
        <f>IF(B37="元/平方米",ROUND(B3*D3/10000,0),ROUND(F3*C39/10000,0))</f>
        <v>3753</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5" t="s">
        <v>777</v>
      </c>
      <c r="B3" s="486">
        <f>IF(B37="元/平方米",C39,ROUND(B2*10000/D3,0))</f>
        <v>4858</v>
      </c>
      <c r="C3" s="823" t="s">
        <v>778</v>
      </c>
      <c r="D3" s="822">
        <f>SUMIF('数据-汇总表'!$C19:$C33,D1,'数据-汇总表'!$E19:$E33)</f>
        <v>7725.79</v>
      </c>
      <c r="E3" s="1716" t="s">
        <v>1868</v>
      </c>
      <c r="F3" s="822">
        <f>SUMIF('数据-取费表'!A5:A15,D1,'数据-取费表'!AH5:AH15)</f>
        <v>220</v>
      </c>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8" t="s">
        <v>779</v>
      </c>
      <c r="B4" s="489"/>
      <c r="C4" s="3668" t="s">
        <v>780</v>
      </c>
      <c r="D4" s="3669"/>
      <c r="E4" s="3668" t="s">
        <v>781</v>
      </c>
      <c r="F4" s="3669"/>
      <c r="G4" s="3668" t="s">
        <v>782</v>
      </c>
      <c r="H4" s="3669"/>
      <c r="I4" s="3668" t="s">
        <v>783</v>
      </c>
      <c r="J4" s="3669"/>
      <c r="K4" s="490" t="s">
        <v>784</v>
      </c>
      <c r="L4" s="1968"/>
      <c r="M4" s="1969"/>
      <c r="N4" s="1969"/>
      <c r="O4" s="1969"/>
      <c r="P4" s="3670" t="s">
        <v>785</v>
      </c>
      <c r="Q4" s="3671"/>
      <c r="R4" s="3654" t="s">
        <v>781</v>
      </c>
      <c r="S4" s="3655"/>
      <c r="T4" s="3654" t="s">
        <v>782</v>
      </c>
      <c r="U4" s="3655"/>
      <c r="V4" s="3676" t="s">
        <v>783</v>
      </c>
      <c r="W4" s="3676"/>
      <c r="X4" s="1456"/>
      <c r="Y4" s="3654" t="s">
        <v>785</v>
      </c>
      <c r="Z4" s="3655"/>
      <c r="AA4" s="3649" t="s">
        <v>781</v>
      </c>
      <c r="AB4" s="3650" t="s">
        <v>782</v>
      </c>
      <c r="AC4" s="3649" t="s">
        <v>783</v>
      </c>
    </row>
    <row r="5" spans="1:29" ht="15">
      <c r="A5" s="491"/>
      <c r="B5" s="492"/>
      <c r="C5" s="3679" t="str">
        <f>面积表!A6</f>
        <v>A0102</v>
      </c>
      <c r="D5" s="3680"/>
      <c r="E5" s="3775" t="s">
        <v>3232</v>
      </c>
      <c r="F5" s="3680"/>
      <c r="G5" s="3775" t="s">
        <v>3241</v>
      </c>
      <c r="H5" s="3680"/>
      <c r="I5" s="3775" t="s">
        <v>3242</v>
      </c>
      <c r="J5" s="3680"/>
      <c r="K5" s="490"/>
      <c r="L5" s="1968"/>
      <c r="M5" s="1969"/>
      <c r="N5" s="1969"/>
      <c r="O5" s="1969"/>
      <c r="P5" s="3672"/>
      <c r="Q5" s="3673"/>
      <c r="R5" s="3656"/>
      <c r="S5" s="3657"/>
      <c r="T5" s="3656"/>
      <c r="U5" s="3657"/>
      <c r="V5" s="3676"/>
      <c r="W5" s="3676"/>
      <c r="X5" s="1456"/>
      <c r="Y5" s="3656"/>
      <c r="Z5" s="3657"/>
      <c r="AA5" s="3650"/>
      <c r="AB5" s="3650"/>
      <c r="AC5" s="3650"/>
    </row>
    <row r="6" spans="1:29" ht="15.75" thickBot="1">
      <c r="A6" s="493"/>
      <c r="B6" s="494"/>
      <c r="C6" s="3677" t="s">
        <v>3233</v>
      </c>
      <c r="D6" s="3678"/>
      <c r="E6" s="3677" t="s">
        <v>3233</v>
      </c>
      <c r="F6" s="3678"/>
      <c r="G6" s="3677" t="s">
        <v>3233</v>
      </c>
      <c r="H6" s="3678"/>
      <c r="I6" s="3677" t="s">
        <v>3233</v>
      </c>
      <c r="J6" s="3678"/>
      <c r="K6" s="490" t="s">
        <v>511</v>
      </c>
      <c r="L6" s="1968"/>
      <c r="M6" s="1969"/>
      <c r="N6" s="1969"/>
      <c r="O6" s="1969"/>
      <c r="P6" s="3674"/>
      <c r="Q6" s="3675"/>
      <c r="R6" s="3656"/>
      <c r="S6" s="3657"/>
      <c r="T6" s="3658"/>
      <c r="U6" s="3659"/>
      <c r="V6" s="3676"/>
      <c r="W6" s="3676"/>
      <c r="X6" s="1456"/>
      <c r="Y6" s="3658"/>
      <c r="Z6" s="3659"/>
      <c r="AA6" s="3651"/>
      <c r="AB6" s="3651"/>
      <c r="AC6" s="3651"/>
    </row>
    <row r="7" spans="1:29" s="1165" customFormat="1" ht="15.75" thickBot="1">
      <c r="A7" s="2550"/>
      <c r="B7" s="2557" t="s">
        <v>512</v>
      </c>
      <c r="C7" s="495">
        <f>'数据-取费表'!B2</f>
        <v>44735</v>
      </c>
      <c r="D7" s="496">
        <v>100</v>
      </c>
      <c r="E7" s="497">
        <v>44621</v>
      </c>
      <c r="F7" s="498">
        <f>SUMIF(48:48,YEAR(E7)&amp;"-"&amp;MONTH(E7),49:49)</f>
        <v>100</v>
      </c>
      <c r="G7" s="499">
        <v>44682</v>
      </c>
      <c r="H7" s="496">
        <f>SUMIF(48:48,YEAR(G7)&amp;"-"&amp;MONTH(G7),49:49)</f>
        <v>100</v>
      </c>
      <c r="I7" s="499">
        <v>44682</v>
      </c>
      <c r="J7" s="496">
        <f>SUMIF(48:48,YEAR(I7)&amp;"-"&amp;MONTH(I7),49:49)</f>
        <v>100</v>
      </c>
      <c r="K7" s="500"/>
      <c r="L7" s="1970"/>
      <c r="M7" s="1971"/>
      <c r="N7" s="1971"/>
      <c r="O7" s="1971"/>
      <c r="P7" s="3652" t="s">
        <v>513</v>
      </c>
      <c r="Q7" s="3661"/>
      <c r="R7" s="1457" t="s">
        <v>8</v>
      </c>
      <c r="S7" s="1458">
        <f t="shared" ref="S7:S14" si="0">F7</f>
        <v>100</v>
      </c>
      <c r="T7" s="1457" t="s">
        <v>8</v>
      </c>
      <c r="U7" s="1458">
        <f t="shared" ref="U7:U14" si="1">H7</f>
        <v>100</v>
      </c>
      <c r="V7" s="1457" t="s">
        <v>8</v>
      </c>
      <c r="W7" s="1458">
        <f t="shared" ref="W7:W14" si="2">J7</f>
        <v>100</v>
      </c>
      <c r="X7" s="1459"/>
      <c r="Y7" s="3652" t="s">
        <v>513</v>
      </c>
      <c r="Z7" s="3653"/>
      <c r="AA7" s="1460">
        <f>D7/F7</f>
        <v>1</v>
      </c>
      <c r="AB7" s="1460">
        <f>D7/H7</f>
        <v>1</v>
      </c>
      <c r="AC7" s="1460">
        <f>D7/J7</f>
        <v>1</v>
      </c>
    </row>
    <row r="8" spans="1:29" s="1165" customFormat="1" ht="15.75" thickBot="1">
      <c r="A8" s="2551"/>
      <c r="B8" s="2558" t="s">
        <v>514</v>
      </c>
      <c r="C8" s="501" t="s">
        <v>558</v>
      </c>
      <c r="D8" s="496">
        <v>100</v>
      </c>
      <c r="E8" s="501" t="s">
        <v>3234</v>
      </c>
      <c r="F8" s="498">
        <f>SUMIF(51:51,E8,52:52)-SUMIF(51:51,C8,52:52)+100</f>
        <v>100</v>
      </c>
      <c r="G8" s="501" t="s">
        <v>3234</v>
      </c>
      <c r="H8" s="496">
        <f>SUMIF(51:51,G8,52:52)-SUMIF(51:51,C8,52:52)+100</f>
        <v>100</v>
      </c>
      <c r="I8" s="501" t="s">
        <v>3234</v>
      </c>
      <c r="J8" s="496">
        <f>SUMIF(51:51,I8,52:52)-SUMIF(51:51,C8,52:52)+100</f>
        <v>100</v>
      </c>
      <c r="K8" s="500"/>
      <c r="L8" s="1970"/>
      <c r="M8" s="1971"/>
      <c r="N8" s="1971"/>
      <c r="O8" s="1971"/>
      <c r="P8" s="3652" t="s">
        <v>516</v>
      </c>
      <c r="Q8" s="3653"/>
      <c r="R8" s="1457" t="s">
        <v>8</v>
      </c>
      <c r="S8" s="1458">
        <f t="shared" si="0"/>
        <v>100</v>
      </c>
      <c r="T8" s="1457" t="s">
        <v>8</v>
      </c>
      <c r="U8" s="1458">
        <f t="shared" si="1"/>
        <v>100</v>
      </c>
      <c r="V8" s="1457" t="s">
        <v>8</v>
      </c>
      <c r="W8" s="1458">
        <f t="shared" si="2"/>
        <v>100</v>
      </c>
      <c r="X8" s="1459"/>
      <c r="Y8" s="3652" t="s">
        <v>516</v>
      </c>
      <c r="Z8" s="3653"/>
      <c r="AA8" s="1460">
        <f t="shared" ref="AA8:AA36" si="3">D8/F8</f>
        <v>1</v>
      </c>
      <c r="AB8" s="1460">
        <f t="shared" ref="AB8:AB36" si="4">D8/H8</f>
        <v>1</v>
      </c>
      <c r="AC8" s="1460">
        <f t="shared" ref="AC8:AC36" si="5">D8/J8</f>
        <v>1</v>
      </c>
    </row>
    <row r="9" spans="1:29" s="1165" customFormat="1" ht="15">
      <c r="A9" s="2552"/>
      <c r="B9" s="2559" t="s">
        <v>2473</v>
      </c>
      <c r="C9" s="3449" t="s">
        <v>3235</v>
      </c>
      <c r="D9" s="251">
        <v>100</v>
      </c>
      <c r="E9" s="831" t="s">
        <v>3218</v>
      </c>
      <c r="F9" s="251">
        <f>SUMIF(53:53,E9,54:54)-SUMIF(53:53,C9,54:54)+100</f>
        <v>100</v>
      </c>
      <c r="G9" s="831" t="s">
        <v>3218</v>
      </c>
      <c r="H9" s="251">
        <f>SUMIF(53:53,G9,54:54)-SUMIF(53:53,C9,54:54)+100</f>
        <v>100</v>
      </c>
      <c r="I9" s="831" t="s">
        <v>3218</v>
      </c>
      <c r="J9" s="251">
        <f>SUMIF(53:53,I9,54:54)-SUMIF(53:53,C9,54:54)+100</f>
        <v>100</v>
      </c>
      <c r="K9" s="500"/>
      <c r="L9" s="1970"/>
      <c r="M9" s="1971"/>
      <c r="N9" s="1971"/>
      <c r="O9" s="1972"/>
      <c r="P9" s="3660" t="s">
        <v>518</v>
      </c>
      <c r="Q9" s="1096" t="str">
        <f t="shared" ref="Q9:Q14" si="6">B9</f>
        <v>用途</v>
      </c>
      <c r="R9" s="1457" t="s">
        <v>8</v>
      </c>
      <c r="S9" s="1458">
        <f t="shared" si="0"/>
        <v>100</v>
      </c>
      <c r="T9" s="1457" t="s">
        <v>8</v>
      </c>
      <c r="U9" s="1458">
        <f t="shared" si="1"/>
        <v>100</v>
      </c>
      <c r="V9" s="1457" t="s">
        <v>8</v>
      </c>
      <c r="W9" s="1458">
        <f t="shared" si="2"/>
        <v>100</v>
      </c>
      <c r="X9" s="1459"/>
      <c r="Y9" s="3608" t="s">
        <v>519</v>
      </c>
      <c r="Z9" s="1095" t="str">
        <f t="shared" ref="Z9:Z14" si="7">Q9</f>
        <v>用途</v>
      </c>
      <c r="AA9" s="1460">
        <f t="shared" si="3"/>
        <v>1</v>
      </c>
      <c r="AB9" s="1460">
        <f t="shared" si="4"/>
        <v>1</v>
      </c>
      <c r="AC9" s="1460">
        <f t="shared" si="5"/>
        <v>1</v>
      </c>
    </row>
    <row r="10" spans="1:29" s="1246" customFormat="1" ht="27.75" thickBot="1">
      <c r="A10" s="2553"/>
      <c r="B10" s="2558" t="s">
        <v>2474</v>
      </c>
      <c r="C10" s="832" t="s">
        <v>3236</v>
      </c>
      <c r="D10" s="252">
        <v>100</v>
      </c>
      <c r="E10" s="832" t="s">
        <v>3236</v>
      </c>
      <c r="F10" s="252">
        <f>SUMIF(55:55,E10,56:56)-SUMIF(55:55,C10,56:56)+100</f>
        <v>100</v>
      </c>
      <c r="G10" s="832" t="s">
        <v>3236</v>
      </c>
      <c r="H10" s="252">
        <f>SUMIF(55:55,G10,56:56)-SUMIF(55:55,C10,56:56)+100</f>
        <v>100</v>
      </c>
      <c r="I10" s="832" t="s">
        <v>3236</v>
      </c>
      <c r="J10" s="252">
        <f>SUMIF(55:55,I10,56:56)-SUMIF(55:55,C10,56:56)+100</f>
        <v>100</v>
      </c>
      <c r="K10" s="560"/>
      <c r="L10" s="1973"/>
      <c r="M10" s="2012"/>
      <c r="N10" s="2012"/>
      <c r="O10" s="1974"/>
      <c r="P10" s="3660"/>
      <c r="Q10" s="1096" t="str">
        <f t="shared" si="6"/>
        <v>土地使用年限（年）</v>
      </c>
      <c r="R10" s="1457" t="s">
        <v>8</v>
      </c>
      <c r="S10" s="1458">
        <f t="shared" si="0"/>
        <v>100</v>
      </c>
      <c r="T10" s="1457" t="s">
        <v>8</v>
      </c>
      <c r="U10" s="1458">
        <f t="shared" si="1"/>
        <v>100</v>
      </c>
      <c r="V10" s="1457" t="s">
        <v>8</v>
      </c>
      <c r="W10" s="1458">
        <f t="shared" si="2"/>
        <v>100</v>
      </c>
      <c r="X10" s="1459"/>
      <c r="Y10" s="3608"/>
      <c r="Z10" s="1095" t="str">
        <f t="shared" si="7"/>
        <v>土地使用年限（年）</v>
      </c>
      <c r="AA10" s="1460">
        <f t="shared" si="3"/>
        <v>1</v>
      </c>
      <c r="AB10" s="1460">
        <f t="shared" si="4"/>
        <v>1</v>
      </c>
      <c r="AC10" s="1460">
        <f t="shared" si="5"/>
        <v>1</v>
      </c>
    </row>
    <row r="11" spans="1:29" ht="15" hidden="1">
      <c r="A11" s="2555"/>
      <c r="B11" s="2561">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60"/>
      <c r="Q11" s="1096">
        <f t="shared" si="6"/>
        <v>111</v>
      </c>
      <c r="R11" s="1457" t="s">
        <v>8</v>
      </c>
      <c r="S11" s="1458">
        <f t="shared" si="0"/>
        <v>100</v>
      </c>
      <c r="T11" s="1457" t="s">
        <v>8</v>
      </c>
      <c r="U11" s="1458">
        <f t="shared" si="1"/>
        <v>100</v>
      </c>
      <c r="V11" s="1457" t="s">
        <v>8</v>
      </c>
      <c r="W11" s="1458">
        <f t="shared" si="2"/>
        <v>100</v>
      </c>
      <c r="X11" s="1459"/>
      <c r="Y11" s="3608"/>
      <c r="Z11" s="1095">
        <f t="shared" si="7"/>
        <v>111</v>
      </c>
      <c r="AA11" s="1460">
        <f t="shared" si="3"/>
        <v>1</v>
      </c>
      <c r="AB11" s="1460">
        <f t="shared" si="4"/>
        <v>1</v>
      </c>
      <c r="AC11" s="1460">
        <f t="shared" si="5"/>
        <v>1</v>
      </c>
    </row>
    <row r="12" spans="1:29" s="1165" customFormat="1" ht="15" hidden="1">
      <c r="A12" s="2555"/>
      <c r="B12" s="2561">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60"/>
      <c r="Q12" s="1096">
        <f t="shared" si="6"/>
        <v>111</v>
      </c>
      <c r="R12" s="1457" t="s">
        <v>8</v>
      </c>
      <c r="S12" s="1458">
        <f t="shared" si="0"/>
        <v>100</v>
      </c>
      <c r="T12" s="1457" t="s">
        <v>8</v>
      </c>
      <c r="U12" s="1458">
        <f t="shared" si="1"/>
        <v>100</v>
      </c>
      <c r="V12" s="1457" t="s">
        <v>8</v>
      </c>
      <c r="W12" s="1458">
        <f t="shared" si="2"/>
        <v>100</v>
      </c>
      <c r="X12" s="1459"/>
      <c r="Y12" s="3608"/>
      <c r="Z12" s="1095">
        <f t="shared" si="7"/>
        <v>111</v>
      </c>
      <c r="AA12" s="1460">
        <f>D12/F12</f>
        <v>1</v>
      </c>
      <c r="AB12" s="1460">
        <f>D12/H12</f>
        <v>1</v>
      </c>
      <c r="AC12" s="1460">
        <f>D12/J12</f>
        <v>1</v>
      </c>
    </row>
    <row r="13" spans="1:29" ht="15.75" hidden="1" thickBot="1">
      <c r="A13" s="2556"/>
      <c r="B13" s="2562">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60"/>
      <c r="Q13" s="1096">
        <f t="shared" si="6"/>
        <v>111</v>
      </c>
      <c r="R13" s="1457" t="s">
        <v>8</v>
      </c>
      <c r="S13" s="1458">
        <f t="shared" si="0"/>
        <v>100</v>
      </c>
      <c r="T13" s="1457" t="s">
        <v>8</v>
      </c>
      <c r="U13" s="1458">
        <f t="shared" si="1"/>
        <v>100</v>
      </c>
      <c r="V13" s="1457" t="s">
        <v>8</v>
      </c>
      <c r="W13" s="1458">
        <f t="shared" si="2"/>
        <v>100</v>
      </c>
      <c r="X13" s="1459"/>
      <c r="Y13" s="3608"/>
      <c r="Z13" s="1095">
        <f t="shared" si="7"/>
        <v>111</v>
      </c>
      <c r="AA13" s="1460">
        <f t="shared" si="3"/>
        <v>1</v>
      </c>
      <c r="AB13" s="1460">
        <f t="shared" si="4"/>
        <v>1</v>
      </c>
      <c r="AC13" s="1460">
        <f t="shared" si="5"/>
        <v>1</v>
      </c>
    </row>
    <row r="14" spans="1:29" ht="15">
      <c r="A14" s="2548" t="s">
        <v>2471</v>
      </c>
      <c r="B14" s="523" t="s">
        <v>526</v>
      </c>
      <c r="C14" s="891">
        <f>IF(B1="工业",估价对象房地状况!G4,估价对象房地状况!C6)</f>
        <v>0</v>
      </c>
      <c r="D14" s="525">
        <v>100</v>
      </c>
      <c r="E14" s="526"/>
      <c r="F14" s="527">
        <f>SUMIF(63:63,E15,64:64)-SUMIF(63:63,C15,64:64)+100</f>
        <v>100</v>
      </c>
      <c r="G14" s="528"/>
      <c r="H14" s="525">
        <f>SUMIF(63:63,G15,64:64)-SUMIF(63:63,C15,64:64)+100</f>
        <v>100</v>
      </c>
      <c r="I14" s="526"/>
      <c r="J14" s="525">
        <f>SUMIF(63:63,I15,64:64)-SUMIF(63:63,C15,64:64)+100</f>
        <v>100</v>
      </c>
      <c r="K14" s="868"/>
      <c r="L14" s="1977"/>
      <c r="M14" s="1969"/>
      <c r="N14" s="1969"/>
      <c r="O14" s="1976"/>
      <c r="P14" s="3662" t="s">
        <v>523</v>
      </c>
      <c r="Q14" s="1461" t="str">
        <f t="shared" si="6"/>
        <v>交通便捷度</v>
      </c>
      <c r="R14" s="1462" t="s">
        <v>8</v>
      </c>
      <c r="S14" s="1463">
        <f t="shared" si="0"/>
        <v>100</v>
      </c>
      <c r="T14" s="1462" t="s">
        <v>8</v>
      </c>
      <c r="U14" s="1463">
        <f t="shared" si="1"/>
        <v>100</v>
      </c>
      <c r="V14" s="1462" t="s">
        <v>8</v>
      </c>
      <c r="W14" s="1463">
        <f t="shared" si="2"/>
        <v>100</v>
      </c>
      <c r="X14" s="1456"/>
      <c r="Y14" s="3662" t="s">
        <v>523</v>
      </c>
      <c r="Z14" s="1464" t="str">
        <f t="shared" si="7"/>
        <v>交通便捷度</v>
      </c>
      <c r="AA14" s="1465">
        <f t="shared" si="3"/>
        <v>1</v>
      </c>
      <c r="AB14" s="1465">
        <f t="shared" si="4"/>
        <v>1</v>
      </c>
      <c r="AC14" s="1465">
        <f t="shared" si="5"/>
        <v>1</v>
      </c>
    </row>
    <row r="15" spans="1:29" ht="15">
      <c r="A15" s="491"/>
      <c r="B15" s="894"/>
      <c r="C15" s="552" t="s">
        <v>3237</v>
      </c>
      <c r="D15" s="531"/>
      <c r="E15" s="552" t="s">
        <v>3237</v>
      </c>
      <c r="F15" s="533"/>
      <c r="G15" s="552" t="s">
        <v>3237</v>
      </c>
      <c r="H15" s="535"/>
      <c r="I15" s="552" t="s">
        <v>3237</v>
      </c>
      <c r="J15" s="531"/>
      <c r="K15" s="869"/>
      <c r="L15" s="1977"/>
      <c r="M15" s="1969"/>
      <c r="N15" s="1969"/>
      <c r="O15" s="1976"/>
      <c r="P15" s="3663"/>
      <c r="Q15" s="1461"/>
      <c r="R15" s="1462"/>
      <c r="S15" s="1463"/>
      <c r="T15" s="1462"/>
      <c r="U15" s="1463"/>
      <c r="V15" s="1462"/>
      <c r="W15" s="1463"/>
      <c r="X15" s="1456"/>
      <c r="Y15" s="3663"/>
      <c r="Z15" s="1464"/>
      <c r="AA15" s="1465">
        <v>1</v>
      </c>
      <c r="AB15" s="1465">
        <v>1</v>
      </c>
      <c r="AC15" s="1465">
        <v>1</v>
      </c>
    </row>
    <row r="16" spans="1:29" ht="15">
      <c r="A16" s="491"/>
      <c r="B16" s="2368" t="s">
        <v>2264</v>
      </c>
      <c r="C16" s="843">
        <f>IF(B1="工业",估价对象房地状况!G5,估价对象房地状况!C7)</f>
        <v>0</v>
      </c>
      <c r="D16" s="541">
        <v>100</v>
      </c>
      <c r="E16" s="548"/>
      <c r="F16" s="547">
        <f>SUMIF(65:65,E17,66:66)-SUMIF(65:65,C17,66:66)+100</f>
        <v>100</v>
      </c>
      <c r="G16" s="548"/>
      <c r="H16" s="541">
        <f>SUMIF(65:65,G17,66:66)-SUMIF(65:65,C17,66:66)+100</f>
        <v>100</v>
      </c>
      <c r="I16" s="546"/>
      <c r="J16" s="541">
        <f>SUMIF(65:65,I17,66:66)-SUMIF(65:65,C17,66:66)+100</f>
        <v>100</v>
      </c>
      <c r="K16" s="868"/>
      <c r="L16" s="1977"/>
      <c r="M16" s="1969"/>
      <c r="N16" s="1969"/>
      <c r="O16" s="1976"/>
      <c r="P16" s="3663"/>
      <c r="Q16" s="1461" t="str">
        <f>B16</f>
        <v>公共配套设施</v>
      </c>
      <c r="R16" s="1462" t="s">
        <v>8</v>
      </c>
      <c r="S16" s="1463">
        <f>F16</f>
        <v>100</v>
      </c>
      <c r="T16" s="1462" t="s">
        <v>8</v>
      </c>
      <c r="U16" s="1463">
        <f>H16</f>
        <v>100</v>
      </c>
      <c r="V16" s="1462" t="s">
        <v>8</v>
      </c>
      <c r="W16" s="1463">
        <f>J16</f>
        <v>100</v>
      </c>
      <c r="X16" s="1456"/>
      <c r="Y16" s="3663"/>
      <c r="Z16" s="1464" t="str">
        <f>Q16</f>
        <v>公共配套设施</v>
      </c>
      <c r="AA16" s="1465">
        <f t="shared" si="3"/>
        <v>1</v>
      </c>
      <c r="AB16" s="1465">
        <f t="shared" si="4"/>
        <v>1</v>
      </c>
      <c r="AC16" s="1465">
        <f t="shared" si="5"/>
        <v>1</v>
      </c>
    </row>
    <row r="17" spans="1:29" ht="15">
      <c r="A17" s="491"/>
      <c r="B17" s="542"/>
      <c r="C17" s="844" t="s">
        <v>3237</v>
      </c>
      <c r="D17" s="531"/>
      <c r="E17" s="844" t="s">
        <v>3237</v>
      </c>
      <c r="F17" s="533"/>
      <c r="G17" s="844" t="s">
        <v>3237</v>
      </c>
      <c r="H17" s="531"/>
      <c r="I17" s="844" t="s">
        <v>3237</v>
      </c>
      <c r="J17" s="531"/>
      <c r="K17" s="869"/>
      <c r="L17" s="1977"/>
      <c r="M17" s="1969"/>
      <c r="N17" s="1969"/>
      <c r="O17" s="1976"/>
      <c r="P17" s="3663"/>
      <c r="Q17" s="1461"/>
      <c r="R17" s="1462"/>
      <c r="S17" s="1463"/>
      <c r="T17" s="1462"/>
      <c r="U17" s="1463"/>
      <c r="V17" s="1462"/>
      <c r="W17" s="1463"/>
      <c r="X17" s="1456"/>
      <c r="Y17" s="3663"/>
      <c r="Z17" s="1464"/>
      <c r="AA17" s="1465">
        <v>1</v>
      </c>
      <c r="AB17" s="1465">
        <v>1</v>
      </c>
      <c r="AC17" s="1465">
        <v>1</v>
      </c>
    </row>
    <row r="18" spans="1:29" ht="15">
      <c r="A18" s="491"/>
      <c r="B18" s="2356" t="s">
        <v>2276</v>
      </c>
      <c r="C18" s="843">
        <f>IF(B1="工业",估价对象房地状况!G6,估价对象房地状况!C8)</f>
        <v>0</v>
      </c>
      <c r="D18" s="535">
        <v>100</v>
      </c>
      <c r="E18" s="548"/>
      <c r="F18" s="547">
        <f>SUMIF(67:67,E19,68:68)-SUMIF(67:67,C19,68:68)+100</f>
        <v>100</v>
      </c>
      <c r="G18" s="548"/>
      <c r="H18" s="541">
        <f>SUMIF(67:67,G19,68:68)-SUMIF(67:67,C19,68:68)+100</f>
        <v>100</v>
      </c>
      <c r="I18" s="546"/>
      <c r="J18" s="541">
        <f>SUMIF(67:67,I19,68:68)-SUMIF(67:67,C19,68:68)+100</f>
        <v>100</v>
      </c>
      <c r="K18" s="868"/>
      <c r="L18" s="1977"/>
      <c r="M18" s="1969"/>
      <c r="N18" s="1969"/>
      <c r="O18" s="1976"/>
      <c r="P18" s="3663"/>
      <c r="Q18" s="2350" t="str">
        <f>B18</f>
        <v>基础设施水平</v>
      </c>
      <c r="R18" s="1462" t="s">
        <v>8</v>
      </c>
      <c r="S18" s="1463">
        <f>F18</f>
        <v>100</v>
      </c>
      <c r="T18" s="1462" t="s">
        <v>8</v>
      </c>
      <c r="U18" s="1463">
        <f>H18</f>
        <v>100</v>
      </c>
      <c r="V18" s="1462" t="s">
        <v>8</v>
      </c>
      <c r="W18" s="1463">
        <f>J18</f>
        <v>100</v>
      </c>
      <c r="X18" s="2352"/>
      <c r="Y18" s="3663"/>
      <c r="Z18" s="2351" t="str">
        <f>Q18</f>
        <v>基础设施水平</v>
      </c>
      <c r="AA18" s="1465">
        <f t="shared" ref="AA18" si="8">D18/F18</f>
        <v>1</v>
      </c>
      <c r="AB18" s="1465">
        <f t="shared" ref="AB18" si="9">D18/H18</f>
        <v>1</v>
      </c>
      <c r="AC18" s="1465">
        <f t="shared" ref="AC18" si="10">D18/J18</f>
        <v>1</v>
      </c>
    </row>
    <row r="19" spans="1:29" ht="15">
      <c r="A19" s="491"/>
      <c r="B19" s="554"/>
      <c r="C19" s="844" t="s">
        <v>3238</v>
      </c>
      <c r="D19" s="535"/>
      <c r="E19" s="844" t="s">
        <v>3238</v>
      </c>
      <c r="F19" s="533"/>
      <c r="G19" s="844" t="s">
        <v>3238</v>
      </c>
      <c r="H19" s="531"/>
      <c r="I19" s="844" t="s">
        <v>3238</v>
      </c>
      <c r="J19" s="531"/>
      <c r="K19" s="2367"/>
      <c r="L19" s="1977"/>
      <c r="M19" s="1969"/>
      <c r="N19" s="1969"/>
      <c r="O19" s="1976"/>
      <c r="P19" s="3663"/>
      <c r="Q19" s="2350"/>
      <c r="R19" s="1462"/>
      <c r="S19" s="1463"/>
      <c r="T19" s="1462"/>
      <c r="U19" s="1463"/>
      <c r="V19" s="1462"/>
      <c r="W19" s="1463"/>
      <c r="X19" s="2352"/>
      <c r="Y19" s="3663"/>
      <c r="Z19" s="2351"/>
      <c r="AA19" s="1465">
        <v>1</v>
      </c>
      <c r="AB19" s="1465">
        <v>1</v>
      </c>
      <c r="AC19" s="1465">
        <v>1</v>
      </c>
    </row>
    <row r="20" spans="1:29" ht="15">
      <c r="A20" s="491"/>
      <c r="B20" s="536" t="s">
        <v>786</v>
      </c>
      <c r="C20" s="843">
        <f>IF(B1="工业",估价对象房地状况!G7,估价对象房地状况!C9)</f>
        <v>0</v>
      </c>
      <c r="D20" s="541">
        <v>100</v>
      </c>
      <c r="E20" s="538"/>
      <c r="F20" s="539">
        <f>SUMIF(69:69,E21,70:70)-SUMIF(69:69,C21,70:70)+100</f>
        <v>100</v>
      </c>
      <c r="G20" s="540"/>
      <c r="H20" s="535">
        <f>SUMIF(69:69,G21,70:70)-SUMIF(69:69,C21,70:70)+100</f>
        <v>100</v>
      </c>
      <c r="I20" s="538"/>
      <c r="J20" s="535">
        <f>SUMIF(69:69,I21,70:70)-SUMIF(69:69,C21,70:70)+100</f>
        <v>100</v>
      </c>
      <c r="K20" s="868"/>
      <c r="L20" s="1977"/>
      <c r="M20" s="1969"/>
      <c r="N20" s="1969"/>
      <c r="O20" s="1976"/>
      <c r="P20" s="3663"/>
      <c r="Q20" s="1461" t="str">
        <f>B20</f>
        <v>自然及人文环境</v>
      </c>
      <c r="R20" s="1462" t="s">
        <v>8</v>
      </c>
      <c r="S20" s="1463">
        <f>F20</f>
        <v>100</v>
      </c>
      <c r="T20" s="1462" t="s">
        <v>8</v>
      </c>
      <c r="U20" s="1463">
        <f>H20</f>
        <v>100</v>
      </c>
      <c r="V20" s="1462" t="s">
        <v>8</v>
      </c>
      <c r="W20" s="1463">
        <f>J20</f>
        <v>100</v>
      </c>
      <c r="X20" s="1456"/>
      <c r="Y20" s="3663"/>
      <c r="Z20" s="1464" t="str">
        <f>Q20</f>
        <v>自然及人文环境</v>
      </c>
      <c r="AA20" s="1465">
        <f t="shared" si="3"/>
        <v>1</v>
      </c>
      <c r="AB20" s="1465">
        <f t="shared" si="4"/>
        <v>1</v>
      </c>
      <c r="AC20" s="1465">
        <f t="shared" si="5"/>
        <v>1</v>
      </c>
    </row>
    <row r="21" spans="1:29" ht="15">
      <c r="A21" s="491"/>
      <c r="B21" s="542"/>
      <c r="C21" s="552" t="s">
        <v>3237</v>
      </c>
      <c r="D21" s="531"/>
      <c r="E21" s="552" t="s">
        <v>3237</v>
      </c>
      <c r="F21" s="533"/>
      <c r="G21" s="552" t="s">
        <v>3237</v>
      </c>
      <c r="H21" s="531"/>
      <c r="I21" s="552" t="s">
        <v>3237</v>
      </c>
      <c r="J21" s="531"/>
      <c r="K21" s="869"/>
      <c r="L21" s="1977"/>
      <c r="M21" s="1969"/>
      <c r="N21" s="1969"/>
      <c r="O21" s="1976"/>
      <c r="P21" s="3663"/>
      <c r="Q21" s="1461"/>
      <c r="R21" s="1462"/>
      <c r="S21" s="1463"/>
      <c r="T21" s="1462"/>
      <c r="U21" s="1463"/>
      <c r="V21" s="1462"/>
      <c r="W21" s="1463"/>
      <c r="X21" s="1456"/>
      <c r="Y21" s="3663"/>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63"/>
      <c r="Q22" s="1461" t="str">
        <f>B22</f>
        <v>楼层</v>
      </c>
      <c r="R22" s="1462" t="s">
        <v>8</v>
      </c>
      <c r="S22" s="1463">
        <f>F22</f>
        <v>100</v>
      </c>
      <c r="T22" s="1462" t="s">
        <v>8</v>
      </c>
      <c r="U22" s="1463">
        <f>H22</f>
        <v>100</v>
      </c>
      <c r="V22" s="1462" t="s">
        <v>8</v>
      </c>
      <c r="W22" s="1463">
        <f>J22</f>
        <v>100</v>
      </c>
      <c r="X22" s="1456"/>
      <c r="Y22" s="3663"/>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63"/>
      <c r="Q23" s="1461">
        <f>B23</f>
        <v>111</v>
      </c>
      <c r="R23" s="1462" t="s">
        <v>8</v>
      </c>
      <c r="S23" s="1463">
        <f>F23</f>
        <v>100</v>
      </c>
      <c r="T23" s="1462" t="s">
        <v>8</v>
      </c>
      <c r="U23" s="1463">
        <f>H23</f>
        <v>100</v>
      </c>
      <c r="V23" s="1462" t="s">
        <v>8</v>
      </c>
      <c r="W23" s="1463">
        <f>J23</f>
        <v>100</v>
      </c>
      <c r="X23" s="1456"/>
      <c r="Y23" s="3663"/>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63"/>
      <c r="Q24" s="1461">
        <f t="shared" ref="Q24:Q36" si="11">B24</f>
        <v>111</v>
      </c>
      <c r="R24" s="1462" t="s">
        <v>8</v>
      </c>
      <c r="S24" s="1463">
        <f>F24</f>
        <v>100</v>
      </c>
      <c r="T24" s="1462" t="s">
        <v>8</v>
      </c>
      <c r="U24" s="1463">
        <f>H24</f>
        <v>100</v>
      </c>
      <c r="V24" s="1462" t="s">
        <v>8</v>
      </c>
      <c r="W24" s="1463">
        <f>J24</f>
        <v>100</v>
      </c>
      <c r="X24" s="1456"/>
      <c r="Y24" s="3663"/>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70"/>
      <c r="M25" s="1971"/>
      <c r="N25" s="1971"/>
      <c r="O25" s="1972"/>
      <c r="P25" s="3663"/>
      <c r="Q25" s="1096">
        <f t="shared" si="11"/>
        <v>111</v>
      </c>
      <c r="R25" s="1457" t="s">
        <v>8</v>
      </c>
      <c r="S25" s="1458">
        <f>F25</f>
        <v>100</v>
      </c>
      <c r="T25" s="1457" t="s">
        <v>8</v>
      </c>
      <c r="U25" s="1458">
        <f>H25</f>
        <v>100</v>
      </c>
      <c r="V25" s="1457" t="s">
        <v>8</v>
      </c>
      <c r="W25" s="1458">
        <f>J25</f>
        <v>100</v>
      </c>
      <c r="X25" s="1459"/>
      <c r="Y25" s="3663"/>
      <c r="Z25" s="1095">
        <f>Q25</f>
        <v>111</v>
      </c>
      <c r="AA25" s="1465">
        <f>D25/F25</f>
        <v>1</v>
      </c>
      <c r="AB25" s="1465">
        <f>D25/H25</f>
        <v>1</v>
      </c>
      <c r="AC25" s="1465">
        <f>D25/J25</f>
        <v>1</v>
      </c>
    </row>
    <row r="26" spans="1:29" ht="15">
      <c r="A26" s="2545" t="s">
        <v>2472</v>
      </c>
      <c r="B26" s="168" t="s">
        <v>788</v>
      </c>
      <c r="C26" s="898" t="str">
        <f>B1</f>
        <v>住宅</v>
      </c>
      <c r="D26" s="531">
        <v>100</v>
      </c>
      <c r="E26" s="552" t="s">
        <v>902</v>
      </c>
      <c r="F26" s="533">
        <f>SUMIF(79:79,E26,80:80)-SUMIF(79:79,C26,80:80)+100</f>
        <v>100</v>
      </c>
      <c r="G26" s="552" t="s">
        <v>902</v>
      </c>
      <c r="H26" s="531">
        <f>SUMIF(79:79,G26,80:80)-SUMIF(79:79,C26,80:80)+100</f>
        <v>100</v>
      </c>
      <c r="I26" s="552" t="s">
        <v>902</v>
      </c>
      <c r="J26" s="531">
        <f>SUMIF(79:79,I26,80:80)-SUMIF(79:79,C26,80:80)+100</f>
        <v>100</v>
      </c>
      <c r="K26" s="560"/>
      <c r="L26" s="1977"/>
      <c r="M26" s="1969"/>
      <c r="N26" s="1969"/>
      <c r="O26" s="1976"/>
      <c r="P26" s="3664"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65" t="s">
        <v>533</v>
      </c>
      <c r="Z26" s="1464" t="str">
        <f t="shared" ref="Z26:Z36" si="15">Q26</f>
        <v>配套类型</v>
      </c>
      <c r="AA26" s="1465">
        <f t="shared" si="3"/>
        <v>1</v>
      </c>
      <c r="AB26" s="1465">
        <f t="shared" si="4"/>
        <v>1</v>
      </c>
      <c r="AC26" s="1465">
        <f t="shared" si="5"/>
        <v>1</v>
      </c>
    </row>
    <row r="27" spans="1:29" s="1247" customFormat="1" ht="1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5"/>
      <c r="M27" s="2005"/>
      <c r="N27" s="2005"/>
      <c r="O27" s="1978"/>
      <c r="P27" s="3665"/>
      <c r="Q27" s="1490" t="str">
        <f t="shared" si="11"/>
        <v>项目停车位配比</v>
      </c>
      <c r="R27" s="1466" t="s">
        <v>8</v>
      </c>
      <c r="S27" s="1467">
        <f t="shared" si="12"/>
        <v>100</v>
      </c>
      <c r="T27" s="1466" t="s">
        <v>8</v>
      </c>
      <c r="U27" s="1467">
        <f t="shared" si="13"/>
        <v>100</v>
      </c>
      <c r="V27" s="1466" t="s">
        <v>8</v>
      </c>
      <c r="W27" s="1467">
        <f t="shared" si="14"/>
        <v>100</v>
      </c>
      <c r="X27" s="1468"/>
      <c r="Y27" s="3665"/>
      <c r="Z27" s="1469" t="str">
        <f t="shared" si="15"/>
        <v>项目停车位配比</v>
      </c>
      <c r="AA27" s="1465">
        <f t="shared" si="3"/>
        <v>1</v>
      </c>
      <c r="AB27" s="1465">
        <f t="shared" si="4"/>
        <v>1</v>
      </c>
      <c r="AC27" s="1465">
        <f t="shared" si="5"/>
        <v>1</v>
      </c>
    </row>
    <row r="28" spans="1:29" ht="1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65"/>
      <c r="Q28" s="1461" t="str">
        <f t="shared" si="11"/>
        <v>公共部分装修</v>
      </c>
      <c r="R28" s="1462" t="s">
        <v>8</v>
      </c>
      <c r="S28" s="1463">
        <f t="shared" si="12"/>
        <v>100</v>
      </c>
      <c r="T28" s="1462" t="s">
        <v>8</v>
      </c>
      <c r="U28" s="1463">
        <f t="shared" si="13"/>
        <v>100</v>
      </c>
      <c r="V28" s="1462" t="s">
        <v>8</v>
      </c>
      <c r="W28" s="1463">
        <f t="shared" si="14"/>
        <v>100</v>
      </c>
      <c r="X28" s="1456"/>
      <c r="Y28" s="3665"/>
      <c r="Z28" s="1464" t="str">
        <f t="shared" si="15"/>
        <v>公共部分装修</v>
      </c>
      <c r="AA28" s="1465">
        <f t="shared" si="3"/>
        <v>1</v>
      </c>
      <c r="AB28" s="1465">
        <f t="shared" si="4"/>
        <v>1</v>
      </c>
      <c r="AC28" s="1465">
        <f t="shared" si="5"/>
        <v>1</v>
      </c>
    </row>
    <row r="29" spans="1:29" ht="15">
      <c r="A29" s="901"/>
      <c r="B29" s="558" t="s">
        <v>791</v>
      </c>
      <c r="C29" s="853">
        <v>1</v>
      </c>
      <c r="D29" s="516">
        <v>100</v>
      </c>
      <c r="E29" s="853">
        <f>C29</f>
        <v>1</v>
      </c>
      <c r="F29" s="551">
        <f>LOOKUP(E29,86:86,87:87)-LOOKUP(C29,86:86,87:87)+100</f>
        <v>100</v>
      </c>
      <c r="G29" s="853">
        <f>C29</f>
        <v>1</v>
      </c>
      <c r="H29" s="551">
        <f>LOOKUP(G29,86:86,87:87)-LOOKUP(C29,86:86,87:87)+100</f>
        <v>100</v>
      </c>
      <c r="I29" s="853">
        <f>C29</f>
        <v>1</v>
      </c>
      <c r="J29" s="516">
        <f>LOOKUP(I29,86:86,87:87)-LOOKUP(C29,86:86,87:87)+100</f>
        <v>100</v>
      </c>
      <c r="K29" s="560"/>
      <c r="L29" s="1977"/>
      <c r="M29" s="1969"/>
      <c r="N29" s="1969"/>
      <c r="O29" s="1976"/>
      <c r="P29" s="3665"/>
      <c r="Q29" s="1461" t="str">
        <f t="shared" si="11"/>
        <v>成新率</v>
      </c>
      <c r="R29" s="1462" t="s">
        <v>8</v>
      </c>
      <c r="S29" s="1463">
        <f t="shared" si="12"/>
        <v>100</v>
      </c>
      <c r="T29" s="1462" t="s">
        <v>8</v>
      </c>
      <c r="U29" s="1463">
        <f t="shared" si="13"/>
        <v>100</v>
      </c>
      <c r="V29" s="1462" t="s">
        <v>8</v>
      </c>
      <c r="W29" s="1463">
        <f t="shared" si="14"/>
        <v>100</v>
      </c>
      <c r="X29" s="1456"/>
      <c r="Y29" s="3665"/>
      <c r="Z29" s="1464" t="str">
        <f t="shared" si="15"/>
        <v>成新率</v>
      </c>
      <c r="AA29" s="1465">
        <f t="shared" si="3"/>
        <v>1</v>
      </c>
      <c r="AB29" s="1465">
        <f t="shared" si="4"/>
        <v>1</v>
      </c>
      <c r="AC29" s="1465">
        <f t="shared" si="5"/>
        <v>1</v>
      </c>
    </row>
    <row r="30" spans="1:29" ht="15">
      <c r="A30" s="901"/>
      <c r="B30" s="558" t="s">
        <v>792</v>
      </c>
      <c r="C30" s="902"/>
      <c r="D30" s="516">
        <v>100</v>
      </c>
      <c r="E30" s="902"/>
      <c r="F30" s="551">
        <f>SUMIF(88:88,E30,89:89)-SUMIF(88:88,C30,89:89)+100</f>
        <v>100</v>
      </c>
      <c r="G30" s="902"/>
      <c r="H30" s="516">
        <f>SUMIF(88:88,E30,89:89)-SUMIF(88:88,C30,89:89)+100</f>
        <v>100</v>
      </c>
      <c r="I30" s="902"/>
      <c r="J30" s="516">
        <f>SUMIF(88:88,E30,89:89)-SUMIF(88:88,C30,89:89)+100</f>
        <v>100</v>
      </c>
      <c r="K30" s="560"/>
      <c r="L30" s="1977"/>
      <c r="M30" s="1969"/>
      <c r="N30" s="1969"/>
      <c r="O30" s="1976"/>
      <c r="P30" s="3665"/>
      <c r="Q30" s="1461" t="str">
        <f t="shared" si="11"/>
        <v>物业等级</v>
      </c>
      <c r="R30" s="1462" t="s">
        <v>8</v>
      </c>
      <c r="S30" s="1463">
        <f t="shared" si="12"/>
        <v>100</v>
      </c>
      <c r="T30" s="1462" t="s">
        <v>8</v>
      </c>
      <c r="U30" s="1463">
        <f t="shared" si="13"/>
        <v>100</v>
      </c>
      <c r="V30" s="1462" t="s">
        <v>8</v>
      </c>
      <c r="W30" s="1463">
        <f t="shared" si="14"/>
        <v>100</v>
      </c>
      <c r="X30" s="1456"/>
      <c r="Y30" s="3665"/>
      <c r="Z30" s="1464" t="str">
        <f t="shared" si="15"/>
        <v>物业等级</v>
      </c>
      <c r="AA30" s="1465">
        <f t="shared" si="3"/>
        <v>1</v>
      </c>
      <c r="AB30" s="1465">
        <f t="shared" si="4"/>
        <v>1</v>
      </c>
      <c r="AC30" s="1465">
        <f t="shared" si="5"/>
        <v>1</v>
      </c>
    </row>
    <row r="31" spans="1:29" s="1165" customFormat="1" ht="15">
      <c r="A31" s="903"/>
      <c r="B31" s="558" t="s">
        <v>793</v>
      </c>
      <c r="C31" s="850">
        <v>35</v>
      </c>
      <c r="D31" s="252">
        <v>100</v>
      </c>
      <c r="E31" s="850">
        <v>39.6</v>
      </c>
      <c r="F31" s="551">
        <f>LOOKUP(E31,91:91,92:92)-LOOKUP(C31,91:91,92:92)+100</f>
        <v>100</v>
      </c>
      <c r="G31" s="850">
        <v>25.8</v>
      </c>
      <c r="H31" s="516">
        <f>LOOKUP(G31,91:91,92:92)-LOOKUP(C31,91:91,92:92)+100</f>
        <v>99</v>
      </c>
      <c r="I31" s="850">
        <v>25.6</v>
      </c>
      <c r="J31" s="516">
        <f>LOOKUP(I31,91:91,92:92)-LOOKUP(C31,91:91,92:92)+100</f>
        <v>99</v>
      </c>
      <c r="K31" s="560"/>
      <c r="L31" s="1970"/>
      <c r="M31" s="1971"/>
      <c r="N31" s="1971"/>
      <c r="O31" s="1972"/>
      <c r="P31" s="3665"/>
      <c r="Q31" s="1096" t="str">
        <f t="shared" si="11"/>
        <v>停车位面积</v>
      </c>
      <c r="R31" s="1457" t="s">
        <v>8</v>
      </c>
      <c r="S31" s="1458">
        <f t="shared" si="12"/>
        <v>100</v>
      </c>
      <c r="T31" s="1457" t="s">
        <v>8</v>
      </c>
      <c r="U31" s="1458">
        <f t="shared" si="13"/>
        <v>99</v>
      </c>
      <c r="V31" s="1457" t="s">
        <v>8</v>
      </c>
      <c r="W31" s="1458">
        <f t="shared" si="14"/>
        <v>99</v>
      </c>
      <c r="X31" s="1459"/>
      <c r="Y31" s="3665"/>
      <c r="Z31" s="1095" t="str">
        <f t="shared" si="15"/>
        <v>停车位面积</v>
      </c>
      <c r="AA31" s="1460">
        <f t="shared" si="3"/>
        <v>1</v>
      </c>
      <c r="AB31" s="1460">
        <f t="shared" si="4"/>
        <v>1.0101010101010102</v>
      </c>
      <c r="AC31" s="1460">
        <f t="shared" si="5"/>
        <v>1.0101010101010102</v>
      </c>
    </row>
    <row r="32" spans="1:29" ht="15">
      <c r="A32" s="901"/>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65" t="s">
        <v>533</v>
      </c>
      <c r="Q32" s="1461" t="str">
        <f t="shared" si="11"/>
        <v>车位类型</v>
      </c>
      <c r="R32" s="1462" t="s">
        <v>8</v>
      </c>
      <c r="S32" s="1463">
        <f t="shared" si="12"/>
        <v>100</v>
      </c>
      <c r="T32" s="1462" t="s">
        <v>8</v>
      </c>
      <c r="U32" s="1463">
        <f t="shared" si="13"/>
        <v>100</v>
      </c>
      <c r="V32" s="1462" t="s">
        <v>8</v>
      </c>
      <c r="W32" s="1463">
        <f t="shared" si="14"/>
        <v>100</v>
      </c>
      <c r="X32" s="1456"/>
      <c r="Y32" s="3665" t="s">
        <v>533</v>
      </c>
      <c r="Z32" s="1464" t="str">
        <f t="shared" si="15"/>
        <v>车位类型</v>
      </c>
      <c r="AA32" s="1465">
        <f t="shared" si="3"/>
        <v>1</v>
      </c>
      <c r="AB32" s="1465">
        <f t="shared" si="4"/>
        <v>1</v>
      </c>
      <c r="AC32" s="1465">
        <f t="shared" si="5"/>
        <v>1</v>
      </c>
    </row>
    <row r="33" spans="1:29" ht="15">
      <c r="A33" s="901"/>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65"/>
      <c r="Q33" s="1461" t="str">
        <f t="shared" si="11"/>
        <v>是否直接入户</v>
      </c>
      <c r="R33" s="1462" t="s">
        <v>8</v>
      </c>
      <c r="S33" s="1463">
        <f t="shared" si="12"/>
        <v>100</v>
      </c>
      <c r="T33" s="1462" t="s">
        <v>8</v>
      </c>
      <c r="U33" s="1463">
        <f t="shared" si="13"/>
        <v>100</v>
      </c>
      <c r="V33" s="1462" t="s">
        <v>8</v>
      </c>
      <c r="W33" s="1463">
        <f t="shared" si="14"/>
        <v>100</v>
      </c>
      <c r="X33" s="1456"/>
      <c r="Y33" s="3665"/>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65"/>
      <c r="Q34" s="1461">
        <f t="shared" si="11"/>
        <v>111</v>
      </c>
      <c r="R34" s="1462" t="s">
        <v>8</v>
      </c>
      <c r="S34" s="1463">
        <f t="shared" si="12"/>
        <v>100</v>
      </c>
      <c r="T34" s="1462" t="s">
        <v>8</v>
      </c>
      <c r="U34" s="1463">
        <f t="shared" si="13"/>
        <v>100</v>
      </c>
      <c r="V34" s="1462" t="s">
        <v>8</v>
      </c>
      <c r="W34" s="1463">
        <f t="shared" si="14"/>
        <v>100</v>
      </c>
      <c r="X34" s="1456"/>
      <c r="Y34" s="3665"/>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65"/>
      <c r="Q35" s="1490">
        <f t="shared" si="11"/>
        <v>111</v>
      </c>
      <c r="R35" s="1466" t="s">
        <v>8</v>
      </c>
      <c r="S35" s="1467">
        <f t="shared" si="12"/>
        <v>100</v>
      </c>
      <c r="T35" s="1466" t="s">
        <v>8</v>
      </c>
      <c r="U35" s="1467">
        <f t="shared" si="13"/>
        <v>100</v>
      </c>
      <c r="V35" s="1466" t="s">
        <v>8</v>
      </c>
      <c r="W35" s="1467">
        <f t="shared" si="14"/>
        <v>100</v>
      </c>
      <c r="X35" s="1468"/>
      <c r="Y35" s="3665"/>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65"/>
      <c r="Q36" s="1461">
        <f t="shared" si="11"/>
        <v>111</v>
      </c>
      <c r="R36" s="1462" t="s">
        <v>8</v>
      </c>
      <c r="S36" s="1463">
        <f t="shared" si="12"/>
        <v>100</v>
      </c>
      <c r="T36" s="1462" t="s">
        <v>8</v>
      </c>
      <c r="U36" s="1463">
        <f t="shared" si="13"/>
        <v>100</v>
      </c>
      <c r="V36" s="1462" t="s">
        <v>8</v>
      </c>
      <c r="W36" s="1463">
        <f t="shared" si="14"/>
        <v>100</v>
      </c>
      <c r="X36" s="1456"/>
      <c r="Y36" s="3665"/>
      <c r="Z36" s="1464">
        <f t="shared" si="15"/>
        <v>111</v>
      </c>
      <c r="AA36" s="1465">
        <f t="shared" si="3"/>
        <v>1</v>
      </c>
      <c r="AB36" s="1465">
        <f t="shared" si="4"/>
        <v>1</v>
      </c>
      <c r="AC36" s="1465">
        <f t="shared" si="5"/>
        <v>1</v>
      </c>
    </row>
    <row r="37" spans="1:29" ht="15">
      <c r="A37" s="1714" t="s">
        <v>1869</v>
      </c>
      <c r="B37" s="1715" t="s">
        <v>3240</v>
      </c>
      <c r="C37" s="2391" t="s">
        <v>1</v>
      </c>
      <c r="D37" s="2392"/>
      <c r="E37" s="2393">
        <v>150000</v>
      </c>
      <c r="F37" s="2394"/>
      <c r="G37" s="2395">
        <v>178125</v>
      </c>
      <c r="H37" s="2396"/>
      <c r="I37" s="2393">
        <v>179988</v>
      </c>
      <c r="J37" s="2396"/>
      <c r="K37" s="1495"/>
      <c r="L37" s="1979"/>
      <c r="M37" s="1980"/>
      <c r="N37" s="1969"/>
      <c r="O37" s="1980"/>
      <c r="P37" s="3660" t="str">
        <f>A37</f>
        <v>成交单价</v>
      </c>
      <c r="Q37" s="3660"/>
      <c r="R37" s="3778">
        <f>E37</f>
        <v>150000</v>
      </c>
      <c r="S37" s="3778"/>
      <c r="T37" s="3778">
        <f>G37</f>
        <v>178125</v>
      </c>
      <c r="U37" s="3778"/>
      <c r="V37" s="3778">
        <f>I37</f>
        <v>179988</v>
      </c>
      <c r="W37" s="3778"/>
      <c r="X37" s="1451"/>
      <c r="Y37" s="1470"/>
      <c r="Z37" s="1451"/>
      <c r="AA37" s="1451"/>
      <c r="AB37" s="1451"/>
      <c r="AC37" s="1451"/>
    </row>
    <row r="38" spans="1:29" ht="15.75" thickBot="1">
      <c r="A38" s="591" t="s">
        <v>2477</v>
      </c>
      <c r="B38" s="858"/>
      <c r="C38" s="2397">
        <f>R39</f>
        <v>170577</v>
      </c>
      <c r="D38" s="2920" t="s">
        <v>2697</v>
      </c>
      <c r="E38" s="2398">
        <f>R38</f>
        <v>150000</v>
      </c>
      <c r="F38" s="2921"/>
      <c r="G38" s="2397">
        <f>T38</f>
        <v>179924</v>
      </c>
      <c r="H38" s="2921"/>
      <c r="I38" s="2398">
        <f>V38</f>
        <v>181806</v>
      </c>
      <c r="J38" s="2921"/>
      <c r="K38" s="2929">
        <f>F38+H38+J38</f>
        <v>0</v>
      </c>
      <c r="L38" s="1979"/>
      <c r="M38" s="1980"/>
      <c r="N38" s="1980"/>
      <c r="O38" s="1980"/>
      <c r="P38" s="3660" t="str">
        <f>A38</f>
        <v>比较价格（元/平方米）</v>
      </c>
      <c r="Q38" s="3660"/>
      <c r="R38" s="3778">
        <f>IF(F1="售价",ROUND(PRODUCT(R37,AA7:AA36),0),ROUND(PRODUCT(R37,AA7:AA36),1))</f>
        <v>150000</v>
      </c>
      <c r="S38" s="3778"/>
      <c r="T38" s="3778">
        <f>IF(F1="售价",ROUND(PRODUCT(T37,AB7:AB36),0),ROUND(PRODUCT(T37,AB7:AB36),1))</f>
        <v>179924</v>
      </c>
      <c r="U38" s="3778"/>
      <c r="V38" s="3778">
        <f>IF(F1="售价",ROUND(PRODUCT(V37,AC7:AC36),0),ROUND(PRODUCT(V37,AC7:AC36),1))</f>
        <v>181806</v>
      </c>
      <c r="W38" s="3778"/>
      <c r="X38" s="1451"/>
      <c r="Y38" s="1451"/>
      <c r="Z38" s="1451"/>
      <c r="AA38" s="1451"/>
      <c r="AB38" s="1451"/>
      <c r="AC38" s="1451"/>
    </row>
    <row r="39" spans="1:29" ht="15.75" thickBot="1">
      <c r="A39" s="595" t="s">
        <v>2632</v>
      </c>
      <c r="B39" s="596"/>
      <c r="C39" s="2399">
        <f>R39</f>
        <v>170577</v>
      </c>
      <c r="D39" s="2399"/>
      <c r="E39" s="2399"/>
      <c r="F39" s="2399"/>
      <c r="G39" s="2399"/>
      <c r="H39" s="2399"/>
      <c r="I39" s="2399"/>
      <c r="J39" s="2399"/>
      <c r="K39" s="1496"/>
      <c r="L39" s="1979"/>
      <c r="M39" s="1980"/>
      <c r="N39" s="1980"/>
      <c r="O39" s="1980"/>
      <c r="P39" s="3666" t="str">
        <f>A39</f>
        <v>估价对象XX用房的比较价格（楼面单价，元/平方米）</v>
      </c>
      <c r="Q39" s="3667"/>
      <c r="R39" s="3777">
        <f>IF(F1="售价",ROUND(IF(D38="简单平均",AVERAGE(R38:W38),R38*F38+T38*H38+V38*J38),0),ROUND(IF(D38="简单平均",AVERAGE(R38:V38),R38*F38+T38*H38+V38*J38),1))</f>
        <v>170577</v>
      </c>
      <c r="S39" s="3777"/>
      <c r="T39" s="3777"/>
      <c r="U39" s="3777"/>
      <c r="V39" s="3777"/>
      <c r="W39" s="3777"/>
      <c r="X39" s="1451"/>
      <c r="Y39" s="1451"/>
      <c r="Z39" s="1451"/>
      <c r="AA39" s="1451"/>
      <c r="AB39" s="1451"/>
      <c r="AC39" s="1451"/>
    </row>
    <row r="40" spans="1:29">
      <c r="A40" s="3120"/>
      <c r="B40" s="3120"/>
      <c r="C40" s="3120"/>
      <c r="D40" s="3120"/>
      <c r="E40" s="3120"/>
      <c r="F40" s="3120"/>
      <c r="G40" s="3122"/>
      <c r="H40" s="3120"/>
      <c r="I40" s="3120"/>
      <c r="J40" s="3120"/>
      <c r="K40" s="3123"/>
      <c r="L40" s="1984"/>
      <c r="M40" s="1980"/>
      <c r="N40" s="1980"/>
      <c r="O40" s="1980"/>
      <c r="P40" s="1980"/>
      <c r="Q40" s="1980"/>
      <c r="R40" s="1980"/>
      <c r="S40" s="1980"/>
      <c r="T40" s="1980"/>
      <c r="U40" s="1980"/>
      <c r="V40" s="1980"/>
      <c r="W40" s="1980"/>
      <c r="X40" s="1980"/>
      <c r="Y40" s="1980"/>
      <c r="Z40" s="1980"/>
      <c r="AA40" s="1980"/>
      <c r="AB40" s="1980"/>
      <c r="AC40" s="1980"/>
    </row>
    <row r="41" spans="1:29">
      <c r="A41" s="3120"/>
      <c r="B41" s="3120"/>
      <c r="C41" s="3120"/>
      <c r="D41" s="3120"/>
      <c r="E41" s="3120"/>
      <c r="F41" s="3120"/>
      <c r="G41" s="3120"/>
      <c r="H41" s="3120"/>
      <c r="I41" s="3120"/>
      <c r="J41" s="3120"/>
      <c r="K41" s="3123"/>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20"/>
      <c r="B42" s="3120"/>
      <c r="C42" s="598" t="s">
        <v>540</v>
      </c>
      <c r="D42" s="599"/>
      <c r="E42" s="600">
        <f>IF(E37&lt;E38,E38/E37-1,E37/E38-1)</f>
        <v>0</v>
      </c>
      <c r="F42" s="601" t="str">
        <f>IF(OR(E42&gt;=0.3,E42&lt;=-0.3),"超过30%","")</f>
        <v/>
      </c>
      <c r="G42" s="600">
        <f>IF(G37&lt;G38,G38/G37-1,G37/G38-1)</f>
        <v>1.009964912280692E-2</v>
      </c>
      <c r="H42" s="601" t="str">
        <f>IF(OR(G42&gt;=0.3,G42&lt;=-0.3),"超过30%","")</f>
        <v/>
      </c>
      <c r="I42" s="600">
        <f>IF(I37&lt;I38,I38/I37-1,I37/I38-1)</f>
        <v>1.0100673378225178E-2</v>
      </c>
      <c r="J42" s="601" t="str">
        <f>IF(OR(I42&gt;=0.3,I42&lt;=-0.3),"超过30%","")</f>
        <v/>
      </c>
      <c r="K42" s="3123"/>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20"/>
      <c r="B43" s="3120"/>
      <c r="C43" s="598" t="s">
        <v>541</v>
      </c>
      <c r="D43" s="602"/>
      <c r="E43" s="600">
        <f>IF(E38&lt;G38,G38/E38-1,E38/G38-1)</f>
        <v>0.1994933333333333</v>
      </c>
      <c r="F43" s="601" t="str">
        <f>IF(OR(E43&gt;=0.2,E43&lt;=-0.2),"超过20%","")</f>
        <v/>
      </c>
      <c r="G43" s="600">
        <f>IF(G38&lt;I38,I38/G38-1,G38/I38-1)</f>
        <v>1.0459971988172834E-2</v>
      </c>
      <c r="H43" s="601" t="str">
        <f>IF(OR(G43&gt;=0.2,G43&lt;=-0.2),"超过20%","")</f>
        <v/>
      </c>
      <c r="I43" s="600">
        <f>IF(I38&lt;E38,E38/I38-1,I38/E38-1)</f>
        <v>0.21204000000000001</v>
      </c>
      <c r="J43" s="601" t="str">
        <f>IF(OR(I43&gt;=0.2,I43&lt;=-0.2),"超过20%","")</f>
        <v>超过20%</v>
      </c>
      <c r="K43" s="3123"/>
      <c r="L43" s="1984"/>
      <c r="M43" s="1980"/>
      <c r="N43" s="1980"/>
      <c r="O43" s="1980"/>
      <c r="P43" s="1980"/>
      <c r="Q43" s="1980"/>
      <c r="R43" s="1980"/>
      <c r="S43" s="1980"/>
      <c r="T43" s="1980"/>
      <c r="U43" s="1980"/>
      <c r="V43" s="1980"/>
      <c r="W43" s="1980"/>
      <c r="X43" s="1980"/>
      <c r="Y43" s="1980"/>
      <c r="Z43" s="1980"/>
      <c r="AA43" s="1980"/>
      <c r="AB43" s="1980"/>
      <c r="AC43" s="1980"/>
    </row>
    <row r="44" spans="1:29" s="1252" customFormat="1" ht="13.5" customHeight="1">
      <c r="A44" s="3121"/>
      <c r="B44" s="3121"/>
      <c r="C44" s="598" t="s">
        <v>542</v>
      </c>
      <c r="D44" s="602"/>
      <c r="E44" s="600">
        <f>IF(E37&lt;G37,G37/E37-1,E37/G37-1)</f>
        <v>0.1875</v>
      </c>
      <c r="F44" s="601" t="str">
        <f>IF(OR(E44&gt;=0.3,E44&lt;=-0.3),"超过30%","")</f>
        <v/>
      </c>
      <c r="G44" s="600">
        <f>IF(G37&lt;I37,I37/G37-1,G37/I37-1)</f>
        <v>1.0458947368421123E-2</v>
      </c>
      <c r="H44" s="601" t="str">
        <f>IF(OR(G44&gt;=0.3,G44&lt;=-0.3),"超过30%","")</f>
        <v/>
      </c>
      <c r="I44" s="600">
        <f>IF(I37&lt;E37,E37/I37-1,I37/E37-1)</f>
        <v>0.1999200000000001</v>
      </c>
      <c r="J44" s="601" t="str">
        <f>IF(OR(I44&gt;=0.3,I44&lt;=-0.3),"超过30%","")</f>
        <v/>
      </c>
      <c r="K44" s="3124"/>
      <c r="L44" s="1987"/>
      <c r="M44" s="1981"/>
      <c r="N44" s="1981"/>
      <c r="O44" s="1981"/>
      <c r="P44" s="1981"/>
      <c r="Q44" s="1981"/>
      <c r="R44" s="1981"/>
      <c r="S44" s="1981"/>
      <c r="T44" s="1981"/>
      <c r="U44" s="1981"/>
      <c r="V44" s="1981"/>
      <c r="W44" s="1981"/>
      <c r="X44" s="1981"/>
      <c r="Y44" s="1981"/>
      <c r="Z44" s="1981"/>
      <c r="AA44" s="1981"/>
      <c r="AB44" s="1981"/>
      <c r="AC44" s="1981"/>
    </row>
    <row r="45" spans="1:29" s="1252"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4" customFormat="1" ht="15">
      <c r="A48" s="619" t="s">
        <v>512</v>
      </c>
      <c r="B48" s="620"/>
      <c r="C48" s="2440" t="str">
        <f>YEAR(C7)&amp;"-"&amp;MONTH(C7)</f>
        <v>2022-6</v>
      </c>
      <c r="D48" s="2442">
        <f>EDATE(C48,-1)</f>
        <v>44682</v>
      </c>
      <c r="E48" s="2442">
        <f t="shared" ref="E48:O48" si="16">EDATE(D48,-1)</f>
        <v>44652</v>
      </c>
      <c r="F48" s="2442">
        <f t="shared" si="16"/>
        <v>44621</v>
      </c>
      <c r="G48" s="2442">
        <f t="shared" si="16"/>
        <v>44593</v>
      </c>
      <c r="H48" s="2442">
        <f t="shared" si="16"/>
        <v>44562</v>
      </c>
      <c r="I48" s="2442">
        <f t="shared" si="16"/>
        <v>44531</v>
      </c>
      <c r="J48" s="2442">
        <f t="shared" si="16"/>
        <v>44501</v>
      </c>
      <c r="K48" s="2442">
        <f t="shared" si="16"/>
        <v>44470</v>
      </c>
      <c r="L48" s="2442">
        <f t="shared" si="16"/>
        <v>44440</v>
      </c>
      <c r="M48" s="2442">
        <f t="shared" si="16"/>
        <v>44409</v>
      </c>
      <c r="N48" s="2442">
        <f t="shared" si="16"/>
        <v>44378</v>
      </c>
      <c r="O48" s="2442">
        <f t="shared" si="16"/>
        <v>44348</v>
      </c>
      <c r="P48" s="1994"/>
      <c r="Q48" s="1995"/>
      <c r="R48" s="1995"/>
      <c r="S48" s="1995"/>
      <c r="T48" s="1995"/>
      <c r="U48" s="1995"/>
      <c r="V48" s="1995"/>
      <c r="W48" s="1995"/>
      <c r="X48" s="1995"/>
      <c r="Y48" s="1995"/>
      <c r="Z48" s="1995"/>
      <c r="AA48" s="1995"/>
      <c r="AB48" s="1995"/>
      <c r="AC48" s="1995"/>
    </row>
    <row r="49" spans="1:29" s="1165" customFormat="1" ht="15">
      <c r="A49" s="621"/>
      <c r="B49" s="622"/>
      <c r="C49" s="2441">
        <v>100</v>
      </c>
      <c r="D49" s="624">
        <v>100</v>
      </c>
      <c r="E49" s="624">
        <v>100</v>
      </c>
      <c r="F49" s="624">
        <v>100</v>
      </c>
      <c r="G49" s="624">
        <v>100</v>
      </c>
      <c r="H49" s="624">
        <v>100</v>
      </c>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5"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5"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5"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t="str">
        <f>C9</f>
        <v>车库</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5">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7"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7"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7"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7"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5"/>
      <c r="I68" s="905"/>
      <c r="J68" s="905"/>
      <c r="K68" s="905"/>
      <c r="L68" s="905"/>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3450" t="s">
        <v>3239</v>
      </c>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5" customFormat="1" ht="15.75" thickTop="1">
      <c r="A73" s="683"/>
      <c r="B73" s="647">
        <f>B23</f>
        <v>111</v>
      </c>
      <c r="C73" s="517"/>
      <c r="D73" s="517"/>
      <c r="E73" s="517"/>
      <c r="F73" s="517"/>
      <c r="G73" s="662"/>
      <c r="H73" s="662"/>
      <c r="I73" s="662"/>
      <c r="J73" s="662"/>
      <c r="K73" s="662"/>
      <c r="L73" s="860"/>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5" customFormat="1" ht="15.75" thickTop="1">
      <c r="A75" s="683"/>
      <c r="B75" s="647">
        <f>B24</f>
        <v>111</v>
      </c>
      <c r="C75" s="517"/>
      <c r="D75" s="517"/>
      <c r="E75" s="517"/>
      <c r="F75" s="517"/>
      <c r="G75" s="662"/>
      <c r="H75" s="662"/>
      <c r="I75" s="662"/>
      <c r="J75" s="662"/>
      <c r="K75" s="662"/>
      <c r="L75" s="662"/>
      <c r="M75" s="861"/>
      <c r="N75" s="1996"/>
      <c r="O75" s="1996"/>
      <c r="P75" s="1999"/>
      <c r="Q75" s="1992"/>
      <c r="R75" s="1858"/>
      <c r="S75" s="1858"/>
      <c r="T75" s="1858"/>
      <c r="U75" s="1858"/>
      <c r="V75" s="1858"/>
      <c r="W75" s="1858"/>
      <c r="X75" s="1858"/>
      <c r="Y75" s="1858"/>
      <c r="Z75" s="1858"/>
      <c r="AA75" s="1858"/>
      <c r="AB75" s="1858"/>
      <c r="AC75" s="1858"/>
    </row>
    <row r="76" spans="1:29" s="1165"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7"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7"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t="str">
        <f>C26</f>
        <v>住宅</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6"/>
      <c r="D81" s="906"/>
      <c r="E81" s="906"/>
      <c r="F81" s="906"/>
      <c r="G81" s="906"/>
      <c r="H81" s="906"/>
      <c r="I81" s="906"/>
      <c r="J81" s="906"/>
      <c r="K81" s="907"/>
      <c r="L81" s="908"/>
      <c r="M81" s="909"/>
      <c r="N81" s="1996"/>
      <c r="O81" s="1996"/>
      <c r="P81" s="1999"/>
      <c r="Q81" s="1992"/>
      <c r="R81" s="1980"/>
      <c r="S81" s="1980"/>
      <c r="T81" s="1980"/>
      <c r="U81" s="1980"/>
      <c r="V81" s="1980"/>
      <c r="W81" s="1980"/>
      <c r="X81" s="1980"/>
      <c r="Y81" s="1980"/>
      <c r="Z81" s="1980"/>
      <c r="AA81" s="1980"/>
      <c r="AB81" s="1980"/>
      <c r="AC81" s="1980"/>
    </row>
    <row r="82" spans="1:29" s="1247" customFormat="1" ht="15.75" thickBot="1">
      <c r="A82" s="661"/>
      <c r="B82" s="652"/>
      <c r="C82" s="666"/>
      <c r="D82" s="645"/>
      <c r="E82" s="645"/>
      <c r="F82" s="645"/>
      <c r="G82" s="645"/>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4">
        <v>0.5</v>
      </c>
      <c r="D86" s="864">
        <v>0.6</v>
      </c>
      <c r="E86" s="864">
        <v>0.7</v>
      </c>
      <c r="F86" s="864">
        <v>0.8</v>
      </c>
      <c r="G86" s="864">
        <v>0.9</v>
      </c>
      <c r="H86" s="864">
        <v>1.0001</v>
      </c>
      <c r="I86" s="875"/>
      <c r="J86" s="875"/>
      <c r="K86" s="876"/>
      <c r="L86" s="877"/>
      <c r="M86" s="878"/>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7" customFormat="1" ht="15" thickTop="1">
      <c r="A90" s="702"/>
      <c r="B90" s="647" t="s">
        <v>800</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7" customFormat="1">
      <c r="A91" s="702"/>
      <c r="B91" s="655"/>
      <c r="C91" s="704">
        <v>0</v>
      </c>
      <c r="D91" s="704">
        <v>30</v>
      </c>
      <c r="E91" s="704">
        <v>40</v>
      </c>
      <c r="F91" s="704">
        <v>50</v>
      </c>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v>100</v>
      </c>
      <c r="D92" s="645">
        <v>101</v>
      </c>
      <c r="E92" s="645">
        <v>102</v>
      </c>
      <c r="F92" s="645">
        <v>103</v>
      </c>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7">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7"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7"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L14" sqref="L9:Z1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c r="C1" s="480" t="s">
        <v>774</v>
      </c>
      <c r="D1" s="820"/>
      <c r="E1" s="482"/>
      <c r="F1" s="2445"/>
      <c r="G1" s="1486" t="s">
        <v>775</v>
      </c>
      <c r="H1" s="482"/>
      <c r="I1" s="482"/>
      <c r="J1" s="482"/>
      <c r="K1" s="483"/>
      <c r="L1" s="3116"/>
      <c r="M1" s="3117"/>
      <c r="N1" s="3117"/>
      <c r="O1" s="3117"/>
      <c r="P1" s="1967"/>
      <c r="Q1" s="1967"/>
      <c r="R1" s="1967"/>
      <c r="S1" s="1967"/>
      <c r="T1" s="1967"/>
      <c r="U1" s="1967"/>
      <c r="V1" s="1967"/>
      <c r="W1" s="1967"/>
      <c r="X1" s="1967"/>
      <c r="Y1" s="1967"/>
      <c r="Z1" s="1967"/>
      <c r="AA1" s="1967"/>
      <c r="AB1" s="1967"/>
      <c r="AC1" s="3118"/>
    </row>
    <row r="2" spans="1:29" s="1244"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8"/>
    </row>
    <row r="3" spans="1:29" s="1244"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19"/>
      <c r="AC3" s="1897"/>
    </row>
    <row r="4" spans="1:29" ht="15">
      <c r="A4" s="488" t="s">
        <v>779</v>
      </c>
      <c r="B4" s="489"/>
      <c r="C4" s="3668" t="s">
        <v>780</v>
      </c>
      <c r="D4" s="3669"/>
      <c r="E4" s="3690" t="s">
        <v>781</v>
      </c>
      <c r="F4" s="3691"/>
      <c r="G4" s="3668" t="s">
        <v>782</v>
      </c>
      <c r="H4" s="3669"/>
      <c r="I4" s="3668" t="s">
        <v>783</v>
      </c>
      <c r="J4" s="3669"/>
      <c r="K4" s="490" t="s">
        <v>784</v>
      </c>
      <c r="L4" s="1968"/>
      <c r="M4" s="1969"/>
      <c r="N4" s="1969"/>
      <c r="O4" s="1969"/>
      <c r="P4" s="3670" t="s">
        <v>785</v>
      </c>
      <c r="Q4" s="3671"/>
      <c r="R4" s="3654" t="s">
        <v>781</v>
      </c>
      <c r="S4" s="3655"/>
      <c r="T4" s="3654" t="s">
        <v>782</v>
      </c>
      <c r="U4" s="3655"/>
      <c r="V4" s="3676" t="s">
        <v>783</v>
      </c>
      <c r="W4" s="3676"/>
      <c r="X4" s="1456"/>
      <c r="Y4" s="3654" t="s">
        <v>785</v>
      </c>
      <c r="Z4" s="3655"/>
      <c r="AA4" s="3649" t="s">
        <v>781</v>
      </c>
      <c r="AB4" s="3650" t="s">
        <v>782</v>
      </c>
      <c r="AC4" s="3649" t="s">
        <v>783</v>
      </c>
    </row>
    <row r="5" spans="1:29" ht="15">
      <c r="A5" s="491"/>
      <c r="B5" s="492"/>
      <c r="C5" s="3679" t="s">
        <v>2626</v>
      </c>
      <c r="D5" s="3680"/>
      <c r="E5" s="3692" t="s">
        <v>2627</v>
      </c>
      <c r="F5" s="3693"/>
      <c r="G5" s="3679" t="s">
        <v>2628</v>
      </c>
      <c r="H5" s="3680"/>
      <c r="I5" s="3679" t="s">
        <v>2629</v>
      </c>
      <c r="J5" s="3680"/>
      <c r="K5" s="490"/>
      <c r="L5" s="1968"/>
      <c r="M5" s="1969"/>
      <c r="N5" s="1969"/>
      <c r="O5" s="1969"/>
      <c r="P5" s="3672"/>
      <c r="Q5" s="3673"/>
      <c r="R5" s="3656"/>
      <c r="S5" s="3657"/>
      <c r="T5" s="3656"/>
      <c r="U5" s="3657"/>
      <c r="V5" s="3676"/>
      <c r="W5" s="3676"/>
      <c r="X5" s="1456"/>
      <c r="Y5" s="3656"/>
      <c r="Z5" s="3657"/>
      <c r="AA5" s="3650"/>
      <c r="AB5" s="3650"/>
      <c r="AC5" s="3650"/>
    </row>
    <row r="6" spans="1:29" ht="15.75" thickBot="1">
      <c r="A6" s="493"/>
      <c r="B6" s="494"/>
      <c r="C6" s="3694" t="s">
        <v>2630</v>
      </c>
      <c r="D6" s="3678"/>
      <c r="E6" s="3695" t="s">
        <v>2630</v>
      </c>
      <c r="F6" s="3696"/>
      <c r="G6" s="3694" t="s">
        <v>2630</v>
      </c>
      <c r="H6" s="3678"/>
      <c r="I6" s="3694" t="s">
        <v>2630</v>
      </c>
      <c r="J6" s="3678"/>
      <c r="K6" s="490" t="s">
        <v>511</v>
      </c>
      <c r="L6" s="1968"/>
      <c r="M6" s="1969"/>
      <c r="N6" s="1969"/>
      <c r="O6" s="1969"/>
      <c r="P6" s="3674"/>
      <c r="Q6" s="3675"/>
      <c r="R6" s="3656"/>
      <c r="S6" s="3657"/>
      <c r="T6" s="3658"/>
      <c r="U6" s="3659"/>
      <c r="V6" s="3676"/>
      <c r="W6" s="3676"/>
      <c r="X6" s="1456"/>
      <c r="Y6" s="3658"/>
      <c r="Z6" s="3659"/>
      <c r="AA6" s="3651"/>
      <c r="AB6" s="3651"/>
      <c r="AC6" s="3651"/>
    </row>
    <row r="7" spans="1:29" s="1165" customFormat="1" ht="15.75" thickBot="1">
      <c r="A7" s="2550"/>
      <c r="B7" s="2557" t="s">
        <v>512</v>
      </c>
      <c r="C7" s="495">
        <f>'数据-取费表'!B2</f>
        <v>44735</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52" t="s">
        <v>513</v>
      </c>
      <c r="Q7" s="3661"/>
      <c r="R7" s="1457" t="s">
        <v>8</v>
      </c>
      <c r="S7" s="1458">
        <f t="shared" ref="S7:S14" si="0">F7</f>
        <v>0</v>
      </c>
      <c r="T7" s="1457" t="s">
        <v>8</v>
      </c>
      <c r="U7" s="1458">
        <f t="shared" ref="U7:U14" si="1">H7</f>
        <v>0</v>
      </c>
      <c r="V7" s="1457" t="s">
        <v>8</v>
      </c>
      <c r="W7" s="1458">
        <f t="shared" ref="W7:W14" si="2">J7</f>
        <v>0</v>
      </c>
      <c r="X7" s="1459"/>
      <c r="Y7" s="3652" t="s">
        <v>513</v>
      </c>
      <c r="Z7" s="3653"/>
      <c r="AA7" s="1460" t="e">
        <f>D7/F7</f>
        <v>#DIV/0!</v>
      </c>
      <c r="AB7" s="1460" t="e">
        <f>D7/H7</f>
        <v>#DIV/0!</v>
      </c>
      <c r="AC7" s="1460" t="e">
        <f>D7/J7</f>
        <v>#DIV/0!</v>
      </c>
    </row>
    <row r="8" spans="1:29" s="1165" customFormat="1" ht="15.75" thickBot="1">
      <c r="A8" s="2551"/>
      <c r="B8" s="2558"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52" t="s">
        <v>516</v>
      </c>
      <c r="Q8" s="3653"/>
      <c r="R8" s="1457" t="s">
        <v>8</v>
      </c>
      <c r="S8" s="1458">
        <f t="shared" si="0"/>
        <v>0</v>
      </c>
      <c r="T8" s="1457" t="s">
        <v>8</v>
      </c>
      <c r="U8" s="1458">
        <f t="shared" si="1"/>
        <v>0</v>
      </c>
      <c r="V8" s="1457" t="s">
        <v>8</v>
      </c>
      <c r="W8" s="1458">
        <f t="shared" si="2"/>
        <v>0</v>
      </c>
      <c r="X8" s="1459"/>
      <c r="Y8" s="3652" t="s">
        <v>516</v>
      </c>
      <c r="Z8" s="3653"/>
      <c r="AA8" s="1460" t="e">
        <f t="shared" ref="AA8:AA34" si="3">D8/F8</f>
        <v>#DIV/0!</v>
      </c>
      <c r="AB8" s="1460" t="e">
        <f t="shared" ref="AB8:AB34" si="4">D8/H8</f>
        <v>#DIV/0!</v>
      </c>
      <c r="AC8" s="1460" t="e">
        <f t="shared" ref="AC8:AC34" si="5">D8/J8</f>
        <v>#DIV/0!</v>
      </c>
    </row>
    <row r="9" spans="1:29" s="1165" customFormat="1" ht="15">
      <c r="A9" s="2552"/>
      <c r="B9" s="2559"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60" t="s">
        <v>518</v>
      </c>
      <c r="Q9" s="1096" t="str">
        <f t="shared" ref="Q9:Q14" si="6">B9</f>
        <v>用途</v>
      </c>
      <c r="R9" s="1457" t="s">
        <v>8</v>
      </c>
      <c r="S9" s="1458">
        <f t="shared" si="0"/>
        <v>100</v>
      </c>
      <c r="T9" s="1457" t="s">
        <v>8</v>
      </c>
      <c r="U9" s="1458">
        <f t="shared" si="1"/>
        <v>100</v>
      </c>
      <c r="V9" s="1457" t="s">
        <v>8</v>
      </c>
      <c r="W9" s="1458">
        <f t="shared" si="2"/>
        <v>100</v>
      </c>
      <c r="X9" s="1459"/>
      <c r="Y9" s="3608" t="s">
        <v>519</v>
      </c>
      <c r="Z9" s="1095" t="str">
        <f t="shared" ref="Z9:Z14" si="7">Q9</f>
        <v>用途</v>
      </c>
      <c r="AA9" s="1460">
        <f t="shared" si="3"/>
        <v>1</v>
      </c>
      <c r="AB9" s="1460">
        <f t="shared" si="4"/>
        <v>1</v>
      </c>
      <c r="AC9" s="1460">
        <f t="shared" si="5"/>
        <v>1</v>
      </c>
    </row>
    <row r="10" spans="1:29" s="1246" customFormat="1" ht="27">
      <c r="A10" s="2553"/>
      <c r="B10" s="2558"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60"/>
      <c r="Q10" s="1096" t="str">
        <f t="shared" si="6"/>
        <v>土地使用年限（年）</v>
      </c>
      <c r="R10" s="1457" t="s">
        <v>8</v>
      </c>
      <c r="S10" s="1458">
        <f t="shared" si="0"/>
        <v>100</v>
      </c>
      <c r="T10" s="1457" t="s">
        <v>8</v>
      </c>
      <c r="U10" s="1458">
        <f t="shared" si="1"/>
        <v>100</v>
      </c>
      <c r="V10" s="1457" t="s">
        <v>8</v>
      </c>
      <c r="W10" s="1458">
        <f t="shared" si="2"/>
        <v>100</v>
      </c>
      <c r="X10" s="1459"/>
      <c r="Y10" s="3608"/>
      <c r="Z10" s="1095" t="str">
        <f t="shared" si="7"/>
        <v>土地使用年限（年）</v>
      </c>
      <c r="AA10" s="1460">
        <f t="shared" si="3"/>
        <v>1</v>
      </c>
      <c r="AB10" s="1460">
        <f t="shared" si="4"/>
        <v>1</v>
      </c>
      <c r="AC10" s="1460">
        <f t="shared" si="5"/>
        <v>1</v>
      </c>
    </row>
    <row r="11" spans="1:29" ht="15">
      <c r="A11" s="2555"/>
      <c r="B11" s="2561">
        <v>111</v>
      </c>
      <c r="C11" s="504"/>
      <c r="D11" s="252">
        <v>100</v>
      </c>
      <c r="E11" s="850"/>
      <c r="F11" s="252">
        <f>SUMIF(55:55,E11,56:56)-SUMIF(55:55,C11,56:56)+100</f>
        <v>100</v>
      </c>
      <c r="G11" s="850"/>
      <c r="H11" s="252">
        <f>SUMIF(55:55,G11,56:56)-SUMIF(55:55,C11,56:56)+100</f>
        <v>100</v>
      </c>
      <c r="I11" s="850"/>
      <c r="J11" s="252">
        <f>SUMIF(55:55,I11,56:56)-SUMIF(55:55,C11,56:56)+100</f>
        <v>100</v>
      </c>
      <c r="K11" s="557"/>
      <c r="L11" s="1975"/>
      <c r="M11" s="1969"/>
      <c r="N11" s="1969"/>
      <c r="O11" s="1976"/>
      <c r="P11" s="3660"/>
      <c r="Q11" s="1096">
        <f t="shared" si="6"/>
        <v>111</v>
      </c>
      <c r="R11" s="1457" t="s">
        <v>8</v>
      </c>
      <c r="S11" s="1458">
        <f t="shared" si="0"/>
        <v>100</v>
      </c>
      <c r="T11" s="1457" t="s">
        <v>8</v>
      </c>
      <c r="U11" s="1458">
        <f t="shared" si="1"/>
        <v>100</v>
      </c>
      <c r="V11" s="1457" t="s">
        <v>8</v>
      </c>
      <c r="W11" s="1458">
        <f t="shared" si="2"/>
        <v>100</v>
      </c>
      <c r="X11" s="1459"/>
      <c r="Y11" s="3608"/>
      <c r="Z11" s="1095">
        <f t="shared" si="7"/>
        <v>111</v>
      </c>
      <c r="AA11" s="1460">
        <f t="shared" si="3"/>
        <v>1</v>
      </c>
      <c r="AB11" s="1460">
        <f t="shared" si="4"/>
        <v>1</v>
      </c>
      <c r="AC11" s="1460">
        <f t="shared" si="5"/>
        <v>1</v>
      </c>
    </row>
    <row r="12" spans="1:29" s="1165" customFormat="1" ht="15">
      <c r="A12" s="2555"/>
      <c r="B12" s="2561">
        <v>111</v>
      </c>
      <c r="C12" s="504"/>
      <c r="D12" s="514">
        <v>100</v>
      </c>
      <c r="E12" s="850"/>
      <c r="F12" s="252">
        <f>SUMIF(57:57,E12,58:58)-SUMIF(57:57,C12,58:58)+100</f>
        <v>100</v>
      </c>
      <c r="G12" s="850"/>
      <c r="H12" s="252">
        <f>SUMIF(57:57,G12,58:58)-SUMIF(57:57,C12,58:58)+100</f>
        <v>100</v>
      </c>
      <c r="I12" s="850"/>
      <c r="J12" s="252">
        <f>SUMIF(57:57,I12,58:58)-SUMIF(57:57,C12,58:58)+100</f>
        <v>100</v>
      </c>
      <c r="K12" s="557"/>
      <c r="L12" s="1970"/>
      <c r="M12" s="1971"/>
      <c r="N12" s="1971"/>
      <c r="O12" s="1972"/>
      <c r="P12" s="3660"/>
      <c r="Q12" s="1096">
        <f t="shared" si="6"/>
        <v>111</v>
      </c>
      <c r="R12" s="1457" t="s">
        <v>8</v>
      </c>
      <c r="S12" s="1458">
        <f t="shared" si="0"/>
        <v>100</v>
      </c>
      <c r="T12" s="1457" t="s">
        <v>8</v>
      </c>
      <c r="U12" s="1458">
        <f t="shared" si="1"/>
        <v>100</v>
      </c>
      <c r="V12" s="1457" t="s">
        <v>8</v>
      </c>
      <c r="W12" s="1458">
        <f t="shared" si="2"/>
        <v>100</v>
      </c>
      <c r="X12" s="1459"/>
      <c r="Y12" s="3608"/>
      <c r="Z12" s="1095">
        <f t="shared" si="7"/>
        <v>111</v>
      </c>
      <c r="AA12" s="1460">
        <f>D12/F12</f>
        <v>1</v>
      </c>
      <c r="AB12" s="1460">
        <f>D12/H12</f>
        <v>1</v>
      </c>
      <c r="AC12" s="1460">
        <f>D12/J12</f>
        <v>1</v>
      </c>
    </row>
    <row r="13" spans="1:29" ht="15.75" thickBot="1">
      <c r="A13" s="2556"/>
      <c r="B13" s="2562">
        <v>111</v>
      </c>
      <c r="C13" s="515"/>
      <c r="D13" s="516">
        <v>100</v>
      </c>
      <c r="E13" s="850"/>
      <c r="F13" s="252">
        <f>SUMIF(59:59,E13,60:60)-SUMIF(59:59,C13,60:60)+100</f>
        <v>100</v>
      </c>
      <c r="G13" s="850"/>
      <c r="H13" s="516">
        <f>SUMIF(59:59,G13,60:60)-SUMIF(59:59,C13,60:60)+100</f>
        <v>100</v>
      </c>
      <c r="I13" s="850"/>
      <c r="J13" s="516">
        <f>SUMIF(59:59,I13,60:60)-SUMIF(59:59,C13,60:60)+100</f>
        <v>100</v>
      </c>
      <c r="K13" s="557"/>
      <c r="L13" s="1977"/>
      <c r="M13" s="1969"/>
      <c r="N13" s="1969"/>
      <c r="O13" s="1976"/>
      <c r="P13" s="3660"/>
      <c r="Q13" s="1096">
        <f t="shared" si="6"/>
        <v>111</v>
      </c>
      <c r="R13" s="1457" t="s">
        <v>8</v>
      </c>
      <c r="S13" s="1458">
        <f t="shared" si="0"/>
        <v>100</v>
      </c>
      <c r="T13" s="1457" t="s">
        <v>8</v>
      </c>
      <c r="U13" s="1458">
        <f t="shared" si="1"/>
        <v>100</v>
      </c>
      <c r="V13" s="1457" t="s">
        <v>8</v>
      </c>
      <c r="W13" s="1458">
        <f t="shared" si="2"/>
        <v>100</v>
      </c>
      <c r="X13" s="1459"/>
      <c r="Y13" s="3608"/>
      <c r="Z13" s="1095">
        <f t="shared" si="7"/>
        <v>111</v>
      </c>
      <c r="AA13" s="1460">
        <f t="shared" si="3"/>
        <v>1</v>
      </c>
      <c r="AB13" s="1460">
        <f t="shared" si="4"/>
        <v>1</v>
      </c>
      <c r="AC13" s="1460">
        <f t="shared" si="5"/>
        <v>1</v>
      </c>
    </row>
    <row r="14" spans="1:29" ht="15">
      <c r="A14" s="2548" t="s">
        <v>2471</v>
      </c>
      <c r="B14" s="164" t="s">
        <v>526</v>
      </c>
      <c r="C14" s="891">
        <f>IF(B1="工业",估价对象房地状况!G4,估价对象房地状况!C6)</f>
        <v>0</v>
      </c>
      <c r="D14" s="525">
        <v>100</v>
      </c>
      <c r="E14" s="526"/>
      <c r="F14" s="527">
        <f>SUMIF(61:61,E15,62:62)-SUMIF(61:61,C15,62:62)+100</f>
        <v>100</v>
      </c>
      <c r="G14" s="528"/>
      <c r="H14" s="525">
        <f>SUMIF(61:61,G15,62:62)-SUMIF(61:61,C15,62:62)+100</f>
        <v>100</v>
      </c>
      <c r="I14" s="526"/>
      <c r="J14" s="525">
        <f>SUMIF(61:61,I15,62:62)-SUMIF(61:61,C15,62:62)+100</f>
        <v>100</v>
      </c>
      <c r="K14" s="868"/>
      <c r="L14" s="1977"/>
      <c r="M14" s="1969"/>
      <c r="N14" s="1969"/>
      <c r="O14" s="1976"/>
      <c r="P14" s="3662" t="s">
        <v>523</v>
      </c>
      <c r="Q14" s="1461" t="str">
        <f t="shared" si="6"/>
        <v>交通便捷度</v>
      </c>
      <c r="R14" s="1462" t="s">
        <v>8</v>
      </c>
      <c r="S14" s="1463">
        <f t="shared" si="0"/>
        <v>100</v>
      </c>
      <c r="T14" s="1462" t="s">
        <v>8</v>
      </c>
      <c r="U14" s="1463">
        <f t="shared" si="1"/>
        <v>100</v>
      </c>
      <c r="V14" s="1462" t="s">
        <v>8</v>
      </c>
      <c r="W14" s="1463">
        <f t="shared" si="2"/>
        <v>100</v>
      </c>
      <c r="X14" s="1456"/>
      <c r="Y14" s="3662"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69"/>
      <c r="L15" s="1977"/>
      <c r="M15" s="1969"/>
      <c r="N15" s="1969"/>
      <c r="O15" s="1976"/>
      <c r="P15" s="3663"/>
      <c r="Q15" s="1461"/>
      <c r="R15" s="1462"/>
      <c r="S15" s="1463"/>
      <c r="T15" s="1462"/>
      <c r="U15" s="1463"/>
      <c r="V15" s="1462"/>
      <c r="W15" s="1463"/>
      <c r="X15" s="1456"/>
      <c r="Y15" s="3663"/>
      <c r="Z15" s="1464"/>
      <c r="AA15" s="1465">
        <v>1</v>
      </c>
      <c r="AB15" s="1465">
        <v>1</v>
      </c>
      <c r="AC15" s="1465">
        <v>1</v>
      </c>
    </row>
    <row r="16" spans="1:29" ht="15">
      <c r="A16" s="508"/>
      <c r="B16" s="2368" t="s">
        <v>2264</v>
      </c>
      <c r="C16" s="843">
        <f>IF(B1="工业",估价对象房地状况!G5,估价对象房地状况!C7)</f>
        <v>0</v>
      </c>
      <c r="D16" s="541">
        <v>100</v>
      </c>
      <c r="E16" s="546"/>
      <c r="F16" s="547">
        <f>SUMIF(63:63,E17,64:64)-SUMIF(63:63,C17,64:64)+100</f>
        <v>100</v>
      </c>
      <c r="G16" s="548"/>
      <c r="H16" s="541">
        <f>SUMIF(63:63,G17,64:64)-SUMIF(63:63,C17,64:64)+100</f>
        <v>100</v>
      </c>
      <c r="I16" s="546"/>
      <c r="J16" s="541">
        <f>SUMIF(63:63,I17,64:64)-SUMIF(63:63,C17,64:64)+100</f>
        <v>100</v>
      </c>
      <c r="K16" s="868"/>
      <c r="L16" s="1977"/>
      <c r="M16" s="1969"/>
      <c r="N16" s="1969"/>
      <c r="O16" s="1976"/>
      <c r="P16" s="3663"/>
      <c r="Q16" s="1461" t="str">
        <f>B16</f>
        <v>公共配套设施</v>
      </c>
      <c r="R16" s="1462" t="s">
        <v>8</v>
      </c>
      <c r="S16" s="1463">
        <f>F16</f>
        <v>100</v>
      </c>
      <c r="T16" s="1462" t="s">
        <v>8</v>
      </c>
      <c r="U16" s="1463">
        <f>H16</f>
        <v>100</v>
      </c>
      <c r="V16" s="1462" t="s">
        <v>8</v>
      </c>
      <c r="W16" s="1463">
        <f>J16</f>
        <v>100</v>
      </c>
      <c r="X16" s="1456"/>
      <c r="Y16" s="3663"/>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69"/>
      <c r="L17" s="1977"/>
      <c r="M17" s="1969"/>
      <c r="N17" s="1969"/>
      <c r="O17" s="1976"/>
      <c r="P17" s="3663"/>
      <c r="Q17" s="1461"/>
      <c r="R17" s="1462"/>
      <c r="S17" s="1463"/>
      <c r="T17" s="1462"/>
      <c r="U17" s="1463"/>
      <c r="V17" s="1462"/>
      <c r="W17" s="1463"/>
      <c r="X17" s="1456"/>
      <c r="Y17" s="3663"/>
      <c r="Z17" s="1464"/>
      <c r="AA17" s="1465">
        <v>1</v>
      </c>
      <c r="AB17" s="1465">
        <v>1</v>
      </c>
      <c r="AC17" s="1465">
        <v>1</v>
      </c>
    </row>
    <row r="18" spans="1:29" ht="15">
      <c r="A18" s="508"/>
      <c r="B18" s="2356" t="s">
        <v>2276</v>
      </c>
      <c r="C18" s="843">
        <f>IF(B1="工业",估价对象房地状况!G6,估价对象房地状况!C8)</f>
        <v>0</v>
      </c>
      <c r="D18" s="535">
        <v>100</v>
      </c>
      <c r="E18" s="538"/>
      <c r="F18" s="539">
        <f>SUMIF(65:65,E19,66:66)-SUMIF(65:65,C19,66:66)+100</f>
        <v>100</v>
      </c>
      <c r="G18" s="540"/>
      <c r="H18" s="541">
        <f>SUMIF(65:65,G19,66:66)-SUMIF(65:65,C19,66:66)+100</f>
        <v>100</v>
      </c>
      <c r="I18" s="546"/>
      <c r="J18" s="541">
        <f>SUMIF(65:65,I19,66:66)-SUMIF(65:65,C19,66:66)+100</f>
        <v>100</v>
      </c>
      <c r="K18" s="868"/>
      <c r="L18" s="1977"/>
      <c r="M18" s="1969"/>
      <c r="N18" s="1969"/>
      <c r="O18" s="1976"/>
      <c r="P18" s="3663"/>
      <c r="Q18" s="2350" t="str">
        <f>B18</f>
        <v>基础设施水平</v>
      </c>
      <c r="R18" s="1462" t="s">
        <v>8</v>
      </c>
      <c r="S18" s="1463">
        <f>F18</f>
        <v>100</v>
      </c>
      <c r="T18" s="1462" t="s">
        <v>8</v>
      </c>
      <c r="U18" s="1463">
        <f>H18</f>
        <v>100</v>
      </c>
      <c r="V18" s="1462" t="s">
        <v>8</v>
      </c>
      <c r="W18" s="1463">
        <f>J18</f>
        <v>100</v>
      </c>
      <c r="X18" s="2352"/>
      <c r="Y18" s="3663"/>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63"/>
      <c r="Q19" s="2350"/>
      <c r="R19" s="1462"/>
      <c r="S19" s="1463"/>
      <c r="T19" s="1462"/>
      <c r="U19" s="1463"/>
      <c r="V19" s="1462"/>
      <c r="W19" s="1463"/>
      <c r="X19" s="2352"/>
      <c r="Y19" s="3663"/>
      <c r="Z19" s="2351"/>
      <c r="AA19" s="1465">
        <v>1</v>
      </c>
      <c r="AB19" s="1465">
        <v>1</v>
      </c>
      <c r="AC19" s="1465">
        <v>1</v>
      </c>
    </row>
    <row r="20" spans="1:29" ht="15">
      <c r="A20" s="508"/>
      <c r="B20" s="842" t="s">
        <v>786</v>
      </c>
      <c r="C20" s="843">
        <f>IF(B1="工业",估价对象房地状况!G7,估价对象房地状况!C9)</f>
        <v>0</v>
      </c>
      <c r="D20" s="541">
        <v>100</v>
      </c>
      <c r="E20" s="546"/>
      <c r="F20" s="547">
        <f>SUMIF(67:67,E21,68:68)-SUMIF(67:67,C21,68:68)+100</f>
        <v>100</v>
      </c>
      <c r="G20" s="548"/>
      <c r="H20" s="535">
        <f>SUMIF(67:67,G21,68:68)-SUMIF(67:67,C21,68:68)+100</f>
        <v>100</v>
      </c>
      <c r="I20" s="538"/>
      <c r="J20" s="535">
        <f>SUMIF(67:67,I21,68:68)-SUMIF(67:67,C21,68:68)+100</f>
        <v>100</v>
      </c>
      <c r="K20" s="868"/>
      <c r="L20" s="1977"/>
      <c r="M20" s="1969"/>
      <c r="N20" s="1969"/>
      <c r="O20" s="1976"/>
      <c r="P20" s="3663"/>
      <c r="Q20" s="1461" t="str">
        <f>B20</f>
        <v>自然及人文环境</v>
      </c>
      <c r="R20" s="1462" t="s">
        <v>8</v>
      </c>
      <c r="S20" s="1463">
        <f>F20</f>
        <v>100</v>
      </c>
      <c r="T20" s="1462" t="s">
        <v>8</v>
      </c>
      <c r="U20" s="1463">
        <f>H20</f>
        <v>100</v>
      </c>
      <c r="V20" s="1462" t="s">
        <v>8</v>
      </c>
      <c r="W20" s="1463">
        <f>J20</f>
        <v>100</v>
      </c>
      <c r="X20" s="1456"/>
      <c r="Y20" s="3663"/>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7"/>
      <c r="M21" s="1969"/>
      <c r="N21" s="1969"/>
      <c r="O21" s="1976"/>
      <c r="P21" s="3663"/>
      <c r="Q21" s="1461"/>
      <c r="R21" s="1462"/>
      <c r="S21" s="1463"/>
      <c r="T21" s="1462"/>
      <c r="U21" s="1463"/>
      <c r="V21" s="1462"/>
      <c r="W21" s="1463"/>
      <c r="X21" s="1456"/>
      <c r="Y21" s="3663"/>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63"/>
      <c r="Q22" s="1461" t="str">
        <f>B22</f>
        <v>楼层</v>
      </c>
      <c r="R22" s="1462" t="s">
        <v>8</v>
      </c>
      <c r="S22" s="1463">
        <f>F22</f>
        <v>100</v>
      </c>
      <c r="T22" s="1462" t="s">
        <v>8</v>
      </c>
      <c r="U22" s="1463">
        <f>H22</f>
        <v>100</v>
      </c>
      <c r="V22" s="1462" t="s">
        <v>8</v>
      </c>
      <c r="W22" s="1463">
        <f>J22</f>
        <v>100</v>
      </c>
      <c r="X22" s="1456"/>
      <c r="Y22" s="3663"/>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63"/>
      <c r="Q23" s="1461">
        <f>B23</f>
        <v>111</v>
      </c>
      <c r="R23" s="1462" t="s">
        <v>8</v>
      </c>
      <c r="S23" s="1463">
        <f>F23</f>
        <v>100</v>
      </c>
      <c r="T23" s="1462" t="s">
        <v>8</v>
      </c>
      <c r="U23" s="1463">
        <f>H23</f>
        <v>100</v>
      </c>
      <c r="V23" s="1462" t="s">
        <v>8</v>
      </c>
      <c r="W23" s="1463">
        <f>J23</f>
        <v>100</v>
      </c>
      <c r="X23" s="1456"/>
      <c r="Y23" s="3663"/>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63"/>
      <c r="Q24" s="1461">
        <f t="shared" ref="Q24:Q34" si="11">B24</f>
        <v>111</v>
      </c>
      <c r="R24" s="1462" t="s">
        <v>8</v>
      </c>
      <c r="S24" s="1463">
        <f>F24</f>
        <v>100</v>
      </c>
      <c r="T24" s="1462" t="s">
        <v>8</v>
      </c>
      <c r="U24" s="1463">
        <f>H24</f>
        <v>100</v>
      </c>
      <c r="V24" s="1462" t="s">
        <v>8</v>
      </c>
      <c r="W24" s="1463">
        <f>J24</f>
        <v>100</v>
      </c>
      <c r="X24" s="1456"/>
      <c r="Y24" s="3663"/>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70"/>
      <c r="M25" s="1971"/>
      <c r="N25" s="1971"/>
      <c r="O25" s="1972"/>
      <c r="P25" s="3663"/>
      <c r="Q25" s="1096">
        <f t="shared" si="11"/>
        <v>111</v>
      </c>
      <c r="R25" s="1457" t="s">
        <v>8</v>
      </c>
      <c r="S25" s="1458">
        <f>F25</f>
        <v>100</v>
      </c>
      <c r="T25" s="1457" t="s">
        <v>8</v>
      </c>
      <c r="U25" s="1458">
        <f>H25</f>
        <v>100</v>
      </c>
      <c r="V25" s="1457" t="s">
        <v>8</v>
      </c>
      <c r="W25" s="1458">
        <f>J25</f>
        <v>100</v>
      </c>
      <c r="X25" s="1459"/>
      <c r="Y25" s="3663"/>
      <c r="Z25" s="1095">
        <f>Q25</f>
        <v>111</v>
      </c>
      <c r="AA25" s="1465">
        <f>D25/F25</f>
        <v>1</v>
      </c>
      <c r="AB25" s="1465">
        <f>D25/H25</f>
        <v>1</v>
      </c>
      <c r="AC25" s="1465">
        <f>D25/J25</f>
        <v>1</v>
      </c>
    </row>
    <row r="26" spans="1:29" ht="15">
      <c r="A26" s="2545"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7"/>
      <c r="M26" s="1969"/>
      <c r="N26" s="1969"/>
      <c r="O26" s="1976"/>
      <c r="P26" s="3664"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65" t="s">
        <v>803</v>
      </c>
      <c r="Z26" s="1464" t="str">
        <f t="shared" ref="Z26:Z34" si="15">Q26</f>
        <v>公共部分装修</v>
      </c>
      <c r="AA26" s="1465">
        <f t="shared" si="3"/>
        <v>1</v>
      </c>
      <c r="AB26" s="1465">
        <f t="shared" si="4"/>
        <v>1</v>
      </c>
      <c r="AC26" s="1465">
        <f t="shared" si="5"/>
        <v>1</v>
      </c>
    </row>
    <row r="27" spans="1:29" s="1247" customFormat="1" ht="1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5"/>
      <c r="M27" s="2005"/>
      <c r="N27" s="2005"/>
      <c r="O27" s="1978"/>
      <c r="P27" s="3665"/>
      <c r="Q27" s="1490" t="str">
        <f t="shared" si="11"/>
        <v>成新率</v>
      </c>
      <c r="R27" s="1466" t="s">
        <v>8</v>
      </c>
      <c r="S27" s="1467" t="e">
        <f t="shared" si="12"/>
        <v>#N/A</v>
      </c>
      <c r="T27" s="1466" t="s">
        <v>8</v>
      </c>
      <c r="U27" s="1467" t="e">
        <f t="shared" si="13"/>
        <v>#N/A</v>
      </c>
      <c r="V27" s="1466" t="s">
        <v>8</v>
      </c>
      <c r="W27" s="1467" t="e">
        <f t="shared" si="14"/>
        <v>#N/A</v>
      </c>
      <c r="X27" s="1468"/>
      <c r="Y27" s="3665"/>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65"/>
      <c r="Q28" s="1461" t="str">
        <f t="shared" si="11"/>
        <v>物业等级</v>
      </c>
      <c r="R28" s="1462" t="s">
        <v>8</v>
      </c>
      <c r="S28" s="1463">
        <f t="shared" si="12"/>
        <v>100</v>
      </c>
      <c r="T28" s="1462" t="s">
        <v>8</v>
      </c>
      <c r="U28" s="1463">
        <f t="shared" si="13"/>
        <v>100</v>
      </c>
      <c r="V28" s="1462" t="s">
        <v>8</v>
      </c>
      <c r="W28" s="1463">
        <f t="shared" si="14"/>
        <v>100</v>
      </c>
      <c r="X28" s="1456"/>
      <c r="Y28" s="3665"/>
      <c r="Z28" s="1464" t="str">
        <f t="shared" si="15"/>
        <v>物业等级</v>
      </c>
      <c r="AA28" s="1465">
        <f t="shared" si="3"/>
        <v>1</v>
      </c>
      <c r="AB28" s="1465">
        <f t="shared" si="4"/>
        <v>1</v>
      </c>
      <c r="AC28" s="1465">
        <f t="shared" si="5"/>
        <v>1</v>
      </c>
    </row>
    <row r="29" spans="1:29" ht="1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7"/>
      <c r="M29" s="1969"/>
      <c r="N29" s="1969"/>
      <c r="O29" s="1976"/>
      <c r="P29" s="3665"/>
      <c r="Q29" s="1461" t="str">
        <f t="shared" si="11"/>
        <v>有无电梯</v>
      </c>
      <c r="R29" s="1462" t="s">
        <v>8</v>
      </c>
      <c r="S29" s="1463">
        <f t="shared" si="12"/>
        <v>100</v>
      </c>
      <c r="T29" s="1462" t="s">
        <v>8</v>
      </c>
      <c r="U29" s="1463">
        <f t="shared" si="13"/>
        <v>100</v>
      </c>
      <c r="V29" s="1462" t="s">
        <v>8</v>
      </c>
      <c r="W29" s="1463">
        <f t="shared" si="14"/>
        <v>100</v>
      </c>
      <c r="X29" s="1456"/>
      <c r="Y29" s="3665"/>
      <c r="Z29" s="1464" t="str">
        <f t="shared" si="15"/>
        <v>有无电梯</v>
      </c>
      <c r="AA29" s="1465">
        <f t="shared" si="3"/>
        <v>1</v>
      </c>
      <c r="AB29" s="1465">
        <f t="shared" si="4"/>
        <v>1</v>
      </c>
      <c r="AC29" s="1465">
        <f t="shared" si="5"/>
        <v>1</v>
      </c>
    </row>
    <row r="30" spans="1:29" ht="1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7"/>
      <c r="M30" s="1969"/>
      <c r="N30" s="1969"/>
      <c r="O30" s="1976"/>
      <c r="P30" s="3665"/>
      <c r="Q30" s="1461" t="str">
        <f t="shared" si="11"/>
        <v>建筑面积</v>
      </c>
      <c r="R30" s="1462" t="s">
        <v>8</v>
      </c>
      <c r="S30" s="1463" t="e">
        <f t="shared" si="12"/>
        <v>#N/A</v>
      </c>
      <c r="T30" s="1462" t="s">
        <v>8</v>
      </c>
      <c r="U30" s="1463" t="e">
        <f t="shared" si="13"/>
        <v>#N/A</v>
      </c>
      <c r="V30" s="1462" t="s">
        <v>8</v>
      </c>
      <c r="W30" s="1463" t="e">
        <f t="shared" si="14"/>
        <v>#N/A</v>
      </c>
      <c r="X30" s="1456"/>
      <c r="Y30" s="3665"/>
      <c r="Z30" s="1464" t="str">
        <f t="shared" si="15"/>
        <v>建筑面积</v>
      </c>
      <c r="AA30" s="1465" t="e">
        <f t="shared" si="3"/>
        <v>#N/A</v>
      </c>
      <c r="AB30" s="1465" t="e">
        <f t="shared" si="4"/>
        <v>#N/A</v>
      </c>
      <c r="AC30" s="1465" t="e">
        <f t="shared" si="5"/>
        <v>#N/A</v>
      </c>
    </row>
    <row r="31" spans="1:29" s="1165" customFormat="1" ht="1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70"/>
      <c r="M31" s="1971"/>
      <c r="N31" s="1971"/>
      <c r="O31" s="1972"/>
      <c r="P31" s="3665"/>
      <c r="Q31" s="1096" t="str">
        <f t="shared" si="11"/>
        <v>是否封闭</v>
      </c>
      <c r="R31" s="1457" t="s">
        <v>8</v>
      </c>
      <c r="S31" s="1458">
        <f t="shared" si="12"/>
        <v>100</v>
      </c>
      <c r="T31" s="1457" t="s">
        <v>8</v>
      </c>
      <c r="U31" s="1458">
        <f t="shared" si="13"/>
        <v>100</v>
      </c>
      <c r="V31" s="1457" t="s">
        <v>8</v>
      </c>
      <c r="W31" s="1458">
        <f t="shared" si="14"/>
        <v>100</v>
      </c>
      <c r="X31" s="1459"/>
      <c r="Y31" s="3665"/>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7"/>
      <c r="M32" s="1969"/>
      <c r="N32" s="1969"/>
      <c r="O32" s="1976"/>
      <c r="P32" s="3665" t="s">
        <v>533</v>
      </c>
      <c r="Q32" s="1461">
        <f t="shared" si="11"/>
        <v>111</v>
      </c>
      <c r="R32" s="1462" t="s">
        <v>8</v>
      </c>
      <c r="S32" s="1463">
        <f t="shared" si="12"/>
        <v>100</v>
      </c>
      <c r="T32" s="1462" t="s">
        <v>8</v>
      </c>
      <c r="U32" s="1463">
        <f t="shared" si="13"/>
        <v>100</v>
      </c>
      <c r="V32" s="1462" t="s">
        <v>8</v>
      </c>
      <c r="W32" s="1463">
        <f t="shared" si="14"/>
        <v>100</v>
      </c>
      <c r="X32" s="1456"/>
      <c r="Y32" s="3665" t="s">
        <v>533</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7"/>
      <c r="M33" s="1969"/>
      <c r="N33" s="1969"/>
      <c r="O33" s="1976"/>
      <c r="P33" s="3665"/>
      <c r="Q33" s="1461">
        <f t="shared" si="11"/>
        <v>111</v>
      </c>
      <c r="R33" s="1462" t="s">
        <v>8</v>
      </c>
      <c r="S33" s="1463">
        <f t="shared" si="12"/>
        <v>100</v>
      </c>
      <c r="T33" s="1462" t="s">
        <v>8</v>
      </c>
      <c r="U33" s="1463">
        <f t="shared" si="13"/>
        <v>100</v>
      </c>
      <c r="V33" s="1462" t="s">
        <v>8</v>
      </c>
      <c r="W33" s="1463">
        <f t="shared" si="14"/>
        <v>100</v>
      </c>
      <c r="X33" s="1456"/>
      <c r="Y33" s="3665"/>
      <c r="Z33" s="1464">
        <f t="shared" si="15"/>
        <v>111</v>
      </c>
      <c r="AA33" s="1465">
        <f t="shared" si="3"/>
        <v>1</v>
      </c>
      <c r="AB33" s="1465">
        <f t="shared" si="4"/>
        <v>1</v>
      </c>
      <c r="AC33" s="1465">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7"/>
      <c r="M34" s="1969"/>
      <c r="N34" s="1969"/>
      <c r="O34" s="1976"/>
      <c r="P34" s="3665"/>
      <c r="Q34" s="1461">
        <f t="shared" si="11"/>
        <v>111</v>
      </c>
      <c r="R34" s="1462" t="s">
        <v>8</v>
      </c>
      <c r="S34" s="1463">
        <f t="shared" si="12"/>
        <v>100</v>
      </c>
      <c r="T34" s="1462" t="s">
        <v>8</v>
      </c>
      <c r="U34" s="1463">
        <f t="shared" si="13"/>
        <v>100</v>
      </c>
      <c r="V34" s="1462" t="s">
        <v>8</v>
      </c>
      <c r="W34" s="1463">
        <f t="shared" si="14"/>
        <v>100</v>
      </c>
      <c r="X34" s="1456"/>
      <c r="Y34" s="3665"/>
      <c r="Z34" s="1464">
        <f t="shared" si="15"/>
        <v>111</v>
      </c>
      <c r="AA34" s="1465">
        <f t="shared" si="3"/>
        <v>1</v>
      </c>
      <c r="AB34" s="1465">
        <f t="shared" si="4"/>
        <v>1</v>
      </c>
      <c r="AC34" s="1465">
        <f t="shared" si="5"/>
        <v>1</v>
      </c>
    </row>
    <row r="35" spans="1:29" ht="15">
      <c r="A35" s="583" t="s">
        <v>718</v>
      </c>
      <c r="B35" s="857"/>
      <c r="C35" s="2391" t="s">
        <v>1</v>
      </c>
      <c r="D35" s="2392"/>
      <c r="E35" s="2393"/>
      <c r="F35" s="2394"/>
      <c r="G35" s="2395"/>
      <c r="H35" s="2396"/>
      <c r="I35" s="2393"/>
      <c r="J35" s="2396"/>
      <c r="K35" s="1495"/>
      <c r="L35" s="1979"/>
      <c r="M35" s="1980"/>
      <c r="N35" s="1969"/>
      <c r="O35" s="1980"/>
      <c r="P35" s="3660" t="str">
        <f>A35</f>
        <v>成交单价（元/平方米）</v>
      </c>
      <c r="Q35" s="3660"/>
      <c r="R35" s="3778">
        <f>E35</f>
        <v>0</v>
      </c>
      <c r="S35" s="3778"/>
      <c r="T35" s="3778">
        <f>G35</f>
        <v>0</v>
      </c>
      <c r="U35" s="3778"/>
      <c r="V35" s="3778">
        <f>I35</f>
        <v>0</v>
      </c>
      <c r="W35" s="3778"/>
      <c r="X35" s="1451"/>
      <c r="Y35" s="1470"/>
      <c r="Z35" s="1451"/>
      <c r="AA35" s="1451"/>
      <c r="AB35" s="1451"/>
      <c r="AC35" s="1451"/>
    </row>
    <row r="36" spans="1:29" ht="15.75" thickBot="1">
      <c r="A36" s="591" t="s">
        <v>2477</v>
      </c>
      <c r="B36" s="858"/>
      <c r="C36" s="2397" t="e">
        <f>R37</f>
        <v>#DIV/0!</v>
      </c>
      <c r="D36" s="2920" t="s">
        <v>2698</v>
      </c>
      <c r="E36" s="2398" t="e">
        <f>R36</f>
        <v>#DIV/0!</v>
      </c>
      <c r="F36" s="2921"/>
      <c r="G36" s="2397" t="e">
        <f>T36</f>
        <v>#DIV/0!</v>
      </c>
      <c r="H36" s="2921"/>
      <c r="I36" s="2398" t="e">
        <f>V36</f>
        <v>#DIV/0!</v>
      </c>
      <c r="J36" s="2921"/>
      <c r="K36" s="2929">
        <f>F36+H36+J36</f>
        <v>0</v>
      </c>
      <c r="L36" s="1979"/>
      <c r="M36" s="1980"/>
      <c r="N36" s="1969"/>
      <c r="O36" s="1980"/>
      <c r="P36" s="3660" t="str">
        <f>A36</f>
        <v>比较价格（元/平方米）</v>
      </c>
      <c r="Q36" s="3660"/>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1451"/>
      <c r="Y36" s="1451"/>
      <c r="Z36" s="1451"/>
      <c r="AA36" s="1451"/>
      <c r="AB36" s="1451"/>
      <c r="AC36" s="1451"/>
    </row>
    <row r="37" spans="1:29" ht="15.75" thickBot="1">
      <c r="A37" s="595" t="s">
        <v>2632</v>
      </c>
      <c r="B37" s="596"/>
      <c r="C37" s="2399" t="e">
        <f>R37</f>
        <v>#DIV/0!</v>
      </c>
      <c r="D37" s="2399"/>
      <c r="E37" s="2399"/>
      <c r="F37" s="2399"/>
      <c r="G37" s="2399"/>
      <c r="H37" s="2399"/>
      <c r="I37" s="2399"/>
      <c r="J37" s="2399"/>
      <c r="K37" s="1496"/>
      <c r="L37" s="1979"/>
      <c r="M37" s="1980"/>
      <c r="N37" s="1980"/>
      <c r="O37" s="1980"/>
      <c r="P37" s="3666" t="str">
        <f>A37</f>
        <v>估价对象XX用房的比较价格（楼面单价，元/平方米）</v>
      </c>
      <c r="Q37" s="3667"/>
      <c r="R37" s="3777" t="e">
        <f>IF(F1="售价",ROUND(IF(D36="简单平均",AVERAGE(R36:W36),R36*F36+T36*H36+V36*J36),0),ROUND(IF(D36="简单平均",AVERAGE(R36:V36),R36*F36+T36*H36+V36*J36),1))</f>
        <v>#DIV/0!</v>
      </c>
      <c r="S37" s="3777"/>
      <c r="T37" s="3777"/>
      <c r="U37" s="3777"/>
      <c r="V37" s="3777"/>
      <c r="W37" s="3777"/>
      <c r="X37" s="1451"/>
      <c r="Y37" s="1451"/>
      <c r="Z37" s="1451"/>
      <c r="AA37" s="1451"/>
      <c r="AB37" s="1451"/>
      <c r="AC37" s="1451"/>
    </row>
    <row r="38" spans="1:29">
      <c r="A38" s="3120"/>
      <c r="B38" s="3120"/>
      <c r="C38" s="3120"/>
      <c r="D38" s="3120"/>
      <c r="E38" s="3120"/>
      <c r="F38" s="3120"/>
      <c r="G38" s="3122"/>
      <c r="H38" s="3120"/>
      <c r="I38" s="3120"/>
      <c r="J38" s="3120"/>
      <c r="K38" s="3123"/>
      <c r="L38" s="1984"/>
      <c r="M38" s="1980"/>
      <c r="N38" s="1980"/>
      <c r="O38" s="1980"/>
      <c r="P38" s="1980"/>
      <c r="Q38" s="1980"/>
      <c r="R38" s="1980"/>
      <c r="S38" s="1980"/>
      <c r="T38" s="1980"/>
      <c r="U38" s="1980"/>
      <c r="V38" s="1980"/>
      <c r="W38" s="1980"/>
      <c r="X38" s="1980"/>
      <c r="Y38" s="1980"/>
      <c r="Z38" s="1980"/>
      <c r="AA38" s="1980"/>
      <c r="AB38" s="1980"/>
      <c r="AC38" s="1980"/>
    </row>
    <row r="39" spans="1:29">
      <c r="A39" s="3120"/>
      <c r="B39" s="3120"/>
      <c r="C39" s="3120"/>
      <c r="D39" s="3120"/>
      <c r="E39" s="3120"/>
      <c r="F39" s="3120"/>
      <c r="G39" s="3120"/>
      <c r="H39" s="3120"/>
      <c r="I39" s="3120"/>
      <c r="J39" s="3120"/>
      <c r="K39" s="3123"/>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20"/>
      <c r="B40" s="3120"/>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3"/>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20"/>
      <c r="B41" s="3120"/>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3"/>
      <c r="L41" s="1984"/>
      <c r="M41" s="1980"/>
      <c r="N41" s="1980"/>
      <c r="O41" s="1980"/>
      <c r="P41" s="1980"/>
      <c r="Q41" s="1980"/>
      <c r="R41" s="1980"/>
      <c r="S41" s="1980"/>
      <c r="T41" s="1980"/>
      <c r="U41" s="1980"/>
      <c r="V41" s="1980"/>
      <c r="W41" s="1980"/>
      <c r="X41" s="1980"/>
      <c r="Y41" s="1980"/>
      <c r="Z41" s="1980"/>
      <c r="AA41" s="1980"/>
      <c r="AB41" s="1980"/>
      <c r="AC41" s="1980"/>
    </row>
    <row r="42" spans="1:29" s="1252" customFormat="1" ht="13.5" customHeight="1">
      <c r="A42" s="3121"/>
      <c r="B42" s="3121"/>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4"/>
      <c r="L42" s="1987"/>
      <c r="M42" s="1981"/>
      <c r="N42" s="1981"/>
      <c r="O42" s="1981"/>
      <c r="P42" s="1981"/>
      <c r="Q42" s="1981"/>
      <c r="R42" s="1981"/>
      <c r="S42" s="1981"/>
      <c r="T42" s="1981"/>
      <c r="U42" s="1981"/>
      <c r="V42" s="1981"/>
      <c r="W42" s="1981"/>
      <c r="X42" s="1981"/>
      <c r="Y42" s="1981"/>
      <c r="Z42" s="1981"/>
      <c r="AA42" s="1981"/>
      <c r="AB42" s="1981"/>
      <c r="AC42" s="1981"/>
    </row>
    <row r="43" spans="1:29" s="1252"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4" customFormat="1" ht="15">
      <c r="A46" s="619" t="s">
        <v>512</v>
      </c>
      <c r="B46" s="620"/>
      <c r="C46" s="2440" t="str">
        <f>YEAR(C7)&amp;"-"&amp;MONTH(C7)</f>
        <v>2022-6</v>
      </c>
      <c r="D46" s="2442">
        <f>EDATE(C46,-1)</f>
        <v>44682</v>
      </c>
      <c r="E46" s="2442">
        <f t="shared" ref="E46:O46" si="16">EDATE(D46,-1)</f>
        <v>44652</v>
      </c>
      <c r="F46" s="2442">
        <f t="shared" si="16"/>
        <v>44621</v>
      </c>
      <c r="G46" s="2442">
        <f t="shared" si="16"/>
        <v>44593</v>
      </c>
      <c r="H46" s="2442">
        <f t="shared" si="16"/>
        <v>44562</v>
      </c>
      <c r="I46" s="2442">
        <f t="shared" si="16"/>
        <v>44531</v>
      </c>
      <c r="J46" s="2442">
        <f t="shared" si="16"/>
        <v>44501</v>
      </c>
      <c r="K46" s="2442">
        <f t="shared" si="16"/>
        <v>44470</v>
      </c>
      <c r="L46" s="2442">
        <f t="shared" si="16"/>
        <v>44440</v>
      </c>
      <c r="M46" s="2442">
        <f t="shared" si="16"/>
        <v>44409</v>
      </c>
      <c r="N46" s="2442">
        <f t="shared" si="16"/>
        <v>44378</v>
      </c>
      <c r="O46" s="2442">
        <f t="shared" si="16"/>
        <v>44348</v>
      </c>
      <c r="P46" s="1994"/>
      <c r="Q46" s="1995"/>
      <c r="R46" s="1995"/>
      <c r="S46" s="1995"/>
      <c r="T46" s="1995"/>
      <c r="U46" s="1995"/>
      <c r="V46" s="1995"/>
      <c r="W46" s="1995"/>
      <c r="X46" s="1995"/>
      <c r="Y46" s="1995"/>
      <c r="Z46" s="1995"/>
      <c r="AA46" s="1995"/>
      <c r="AB46" s="1995"/>
      <c r="AC46" s="1995"/>
    </row>
    <row r="47" spans="1:29" s="1165"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5"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5"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5"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5">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7"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7"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7"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7"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5" customFormat="1" ht="15.75" thickTop="1">
      <c r="A71" s="683"/>
      <c r="B71" s="647">
        <f>B23</f>
        <v>111</v>
      </c>
      <c r="C71" s="517"/>
      <c r="D71" s="517"/>
      <c r="E71" s="517"/>
      <c r="F71" s="517"/>
      <c r="G71" s="662"/>
      <c r="H71" s="662"/>
      <c r="I71" s="662"/>
      <c r="J71" s="662"/>
      <c r="K71" s="662"/>
      <c r="L71" s="860"/>
      <c r="M71" s="861"/>
      <c r="N71" s="1996"/>
      <c r="O71" s="1996"/>
      <c r="P71" s="1999"/>
      <c r="Q71" s="1992"/>
      <c r="R71" s="1858"/>
      <c r="S71" s="1858"/>
      <c r="T71" s="1858"/>
      <c r="U71" s="1858"/>
      <c r="V71" s="1858"/>
      <c r="W71" s="1858"/>
      <c r="X71" s="1858"/>
      <c r="Y71" s="1858"/>
      <c r="Z71" s="1858"/>
      <c r="AA71" s="1858"/>
      <c r="AB71" s="1858"/>
      <c r="AC71" s="1858"/>
    </row>
    <row r="72" spans="1:29" s="1165"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5" customFormat="1" ht="15.75" thickTop="1">
      <c r="A73" s="683"/>
      <c r="B73" s="647">
        <f>B24</f>
        <v>111</v>
      </c>
      <c r="C73" s="517"/>
      <c r="D73" s="517"/>
      <c r="E73" s="517"/>
      <c r="F73" s="517"/>
      <c r="G73" s="662"/>
      <c r="H73" s="662"/>
      <c r="I73" s="662"/>
      <c r="J73" s="662"/>
      <c r="K73" s="662"/>
      <c r="L73" s="662"/>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7"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7"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4">
        <v>0.5</v>
      </c>
      <c r="D80" s="864">
        <v>0.6</v>
      </c>
      <c r="E80" s="864">
        <v>0.7</v>
      </c>
      <c r="F80" s="864">
        <v>0.8</v>
      </c>
      <c r="G80" s="864">
        <v>0.9</v>
      </c>
      <c r="H80" s="864">
        <v>1.0001</v>
      </c>
      <c r="I80" s="905"/>
      <c r="J80" s="905"/>
      <c r="K80" s="915"/>
      <c r="L80" s="916"/>
      <c r="M80" s="917"/>
      <c r="N80" s="1996"/>
      <c r="O80" s="1996"/>
      <c r="P80" s="1999"/>
      <c r="Q80" s="1992"/>
      <c r="R80" s="1980"/>
      <c r="S80" s="1980"/>
      <c r="T80" s="1980"/>
      <c r="U80" s="1980"/>
      <c r="V80" s="1980"/>
      <c r="W80" s="1980"/>
      <c r="X80" s="1980"/>
      <c r="Y80" s="1980"/>
      <c r="Z80" s="1980"/>
      <c r="AA80" s="1980"/>
      <c r="AB80" s="1980"/>
      <c r="AC80" s="1980"/>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7" customFormat="1" ht="15" thickTop="1">
      <c r="A89" s="702"/>
      <c r="B89" s="647" t="s">
        <v>809</v>
      </c>
      <c r="C89" s="662"/>
      <c r="D89" s="662"/>
      <c r="E89" s="662"/>
      <c r="F89" s="662"/>
      <c r="G89" s="662"/>
      <c r="H89" s="662"/>
      <c r="I89" s="662"/>
      <c r="J89" s="662"/>
      <c r="K89" s="662"/>
      <c r="L89" s="662"/>
      <c r="M89" s="861"/>
      <c r="N89" s="2001"/>
      <c r="O89" s="2001"/>
      <c r="P89" s="2002"/>
      <c r="Q89" s="2003"/>
      <c r="R89" s="2004"/>
      <c r="S89" s="2004"/>
      <c r="T89" s="2004"/>
      <c r="U89" s="2004"/>
      <c r="V89" s="2004"/>
      <c r="W89" s="2004"/>
      <c r="X89" s="2004"/>
      <c r="Y89" s="2004"/>
      <c r="Z89" s="2004"/>
      <c r="AA89" s="2004"/>
      <c r="AB89" s="2004"/>
      <c r="AC89" s="2004"/>
    </row>
    <row r="90" spans="1:29" s="1247"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7">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受贵公司委托，我公司对海南省海口市新埠岛出让国有建设用地使用权抵押价格进行了预评估。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海口市新埠岛出让国有建设用地使用权。根据《国有土地使用证》[]，估价对象（分摊）出让国有建设用地使用权面积为97473.98平方米。根据《建设工程规划许可证》[]、《出让合同》[]，估价对象规划建筑面积为51575.14平方米。</v>
      </c>
    </row>
    <row r="7" spans="1:4" ht="93.75">
      <c r="A7" s="2511" t="s">
        <v>2465</v>
      </c>
    </row>
    <row r="8" spans="1:4" ht="18.75">
      <c r="A8" s="1663" t="s">
        <v>1702</v>
      </c>
    </row>
    <row r="9" spans="1:4" ht="75">
      <c r="A9" s="1665" t="str">
        <f>IF(项目基本情况!B8="抵押",IF(项目基本情况!B5=项目基本情况!B6,定义!C51,定义!B51),定义!D51)</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2022年6月23日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根据《国有土地使用证》[]，估价对象（分摊）出让国有建设用地使用权面积为97473.98平方米。根据《建设工程规划许可证》[]、《出让合同》[]，估价对象规划建筑面积为51575.14平方米。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93.75">
      <c r="A25" s="1660" t="str">
        <f>定义!C53</f>
        <v>本次估价的“出让国有建设用地使用权价格”是指在估价对象土地所有权为国家所有，使用权性质为出让，在公开市场条件下、于估价期日2022年6月23日，在规划利用条件下、设定土地开发程度为红线外“七通”、宗地内场地平整，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L14" sqref="L9:Z14"/>
      <selection pane="bottomLeft" activeCell="L14" sqref="L9:Z14"/>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7" t="s">
        <v>2093</v>
      </c>
      <c r="C1" s="3787" t="s">
        <v>2094</v>
      </c>
      <c r="D1" s="3788"/>
      <c r="E1" s="3788"/>
      <c r="F1" s="3788"/>
      <c r="G1" s="3788"/>
      <c r="H1" s="3788"/>
      <c r="I1" s="3788"/>
      <c r="J1" s="3788"/>
      <c r="K1" s="3788"/>
      <c r="L1" s="3788"/>
      <c r="M1" s="3788"/>
      <c r="N1" s="3788"/>
      <c r="O1" s="3788"/>
      <c r="P1" s="3788"/>
      <c r="Q1" s="3788"/>
      <c r="R1" s="3788"/>
      <c r="S1" s="3789"/>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6"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9" t="str">
        <f>S3&amp;"(含)"&amp;"-"</f>
        <v>(含)-</v>
      </c>
      <c r="T2" s="921"/>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2"/>
      <c r="C3" s="923"/>
      <c r="D3" s="924"/>
      <c r="E3" s="924"/>
      <c r="F3" s="924"/>
      <c r="G3" s="924"/>
      <c r="H3" s="924"/>
      <c r="I3" s="924"/>
      <c r="J3" s="925"/>
      <c r="K3" s="925"/>
      <c r="L3" s="926"/>
      <c r="M3" s="2072"/>
      <c r="N3" s="2073"/>
      <c r="O3" s="924"/>
      <c r="P3" s="924"/>
      <c r="Q3" s="924"/>
      <c r="R3" s="924"/>
      <c r="S3" s="2074"/>
      <c r="T3" s="927"/>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3" t="s">
        <v>2625</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5" t="s">
        <v>2624</v>
      </c>
      <c r="C7" s="1828"/>
      <c r="D7" s="1829"/>
      <c r="E7" s="1829"/>
      <c r="F7" s="1829"/>
      <c r="G7" s="1829"/>
      <c r="H7" s="1829"/>
      <c r="I7" s="1829"/>
      <c r="J7" s="1829"/>
      <c r="K7" s="1829"/>
      <c r="L7" s="1829"/>
      <c r="M7" s="2092"/>
      <c r="N7" s="2093"/>
      <c r="O7" s="2094"/>
      <c r="P7" s="2095"/>
      <c r="Q7" s="2096"/>
      <c r="R7" s="2097"/>
      <c r="S7" s="2098"/>
      <c r="T7" s="928"/>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5" t="s">
        <v>2623</v>
      </c>
      <c r="C9" s="1828"/>
      <c r="D9" s="1829"/>
      <c r="E9" s="1829"/>
      <c r="F9" s="1829"/>
      <c r="G9" s="1829"/>
      <c r="H9" s="1829"/>
      <c r="I9" s="1829"/>
      <c r="J9" s="1829"/>
      <c r="K9" s="1829"/>
      <c r="L9" s="1830"/>
      <c r="M9" s="2092"/>
      <c r="N9" s="2093"/>
      <c r="O9" s="2094"/>
      <c r="P9" s="2095"/>
      <c r="Q9" s="2096"/>
      <c r="R9" s="2097"/>
      <c r="S9" s="2098"/>
      <c r="T9" s="928"/>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4"/>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3" t="s">
        <v>2636</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3" t="s">
        <v>2622</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3" t="s">
        <v>2621</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8"/>
      <c r="C19" s="1855"/>
      <c r="D19" s="1855"/>
      <c r="E19" s="1855"/>
      <c r="F19" s="1855"/>
      <c r="G19" s="1855"/>
      <c r="H19" s="1855"/>
      <c r="I19" s="1855"/>
      <c r="J19" s="1855"/>
      <c r="K19" s="1855"/>
      <c r="L19" s="1855"/>
      <c r="M19" s="1855"/>
      <c r="N19" s="1855"/>
      <c r="O19" s="1855"/>
      <c r="P19" s="1855"/>
      <c r="Q19" s="1855"/>
      <c r="R19" s="2058"/>
      <c r="S19" s="1864"/>
    </row>
    <row r="20" spans="1:45" ht="15.75">
      <c r="A20" s="929"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29"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3">
        <f>SUM(B24:B10000)</f>
        <v>0</v>
      </c>
      <c r="C22" s="3784" t="s">
        <v>20</v>
      </c>
      <c r="D22" s="3785"/>
      <c r="E22" s="3785"/>
      <c r="F22" s="3785"/>
      <c r="G22" s="3785"/>
      <c r="H22" s="3785"/>
      <c r="I22" s="3785"/>
      <c r="J22" s="3785"/>
      <c r="K22" s="3785"/>
      <c r="L22" s="3785"/>
      <c r="M22" s="3785"/>
      <c r="N22" s="3785"/>
      <c r="O22" s="3785"/>
      <c r="P22" s="3785"/>
      <c r="Q22" s="3786"/>
      <c r="R22" s="473" t="e">
        <f>ROUND(S22*10000/B22,0)</f>
        <v>#DIV/0!</v>
      </c>
      <c r="S22" s="53">
        <f>SUM(S24:S10000)</f>
        <v>0</v>
      </c>
    </row>
    <row r="23" spans="1:45" s="1497" customFormat="1" ht="24">
      <c r="A23" s="17" t="s">
        <v>812</v>
      </c>
      <c r="B23" s="2777" t="s">
        <v>2644</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0" t="s">
        <v>816</v>
      </c>
      <c r="B24" s="930"/>
      <c r="C24" s="3182">
        <v>1</v>
      </c>
      <c r="D24" s="3183"/>
      <c r="E24" s="3182">
        <v>1</v>
      </c>
      <c r="F24" s="3183"/>
      <c r="G24" s="3182">
        <v>1</v>
      </c>
      <c r="H24" s="3183"/>
      <c r="I24" s="3182">
        <v>1</v>
      </c>
      <c r="J24" s="3183"/>
      <c r="K24" s="3182">
        <v>1</v>
      </c>
      <c r="L24" s="3183"/>
      <c r="M24" s="3182">
        <v>1</v>
      </c>
      <c r="N24" s="3183"/>
      <c r="O24" s="3182">
        <v>1</v>
      </c>
      <c r="P24" s="3183"/>
      <c r="Q24" s="3182">
        <v>1</v>
      </c>
      <c r="R24" s="933"/>
      <c r="S24" s="931">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9"/>
      <c r="S525" s="254"/>
    </row>
    <row r="526" spans="1:19">
      <c r="A526" s="254"/>
      <c r="B526" s="57"/>
      <c r="C526" s="57"/>
      <c r="D526" s="57"/>
      <c r="E526" s="57"/>
      <c r="F526" s="57"/>
      <c r="G526" s="57"/>
      <c r="H526" s="57"/>
      <c r="I526" s="57"/>
      <c r="J526" s="57"/>
      <c r="K526" s="57"/>
      <c r="L526" s="57"/>
      <c r="M526" s="57"/>
      <c r="N526" s="57"/>
      <c r="O526" s="57"/>
      <c r="P526" s="57"/>
      <c r="Q526" s="57"/>
      <c r="R526" s="2059"/>
      <c r="S526" s="254"/>
    </row>
    <row r="527" spans="1:19">
      <c r="A527" s="254"/>
      <c r="B527" s="57"/>
      <c r="C527" s="57"/>
      <c r="D527" s="57"/>
      <c r="E527" s="57"/>
      <c r="F527" s="57"/>
      <c r="G527" s="57"/>
      <c r="H527" s="57"/>
      <c r="I527" s="57"/>
      <c r="J527" s="57"/>
      <c r="K527" s="57"/>
      <c r="L527" s="57"/>
      <c r="M527" s="57"/>
      <c r="N527" s="57"/>
      <c r="O527" s="57"/>
      <c r="P527" s="57"/>
      <c r="Q527" s="57"/>
      <c r="R527" s="2059"/>
      <c r="S527" s="254"/>
    </row>
    <row r="528" spans="1:19">
      <c r="A528" s="254"/>
      <c r="B528" s="57"/>
      <c r="C528" s="57"/>
      <c r="D528" s="57"/>
      <c r="E528" s="57"/>
      <c r="F528" s="57"/>
      <c r="G528" s="57"/>
      <c r="H528" s="57"/>
      <c r="I528" s="57"/>
      <c r="J528" s="57"/>
      <c r="K528" s="57"/>
      <c r="L528" s="57"/>
      <c r="M528" s="57"/>
      <c r="N528" s="57"/>
      <c r="O528" s="57"/>
      <c r="P528" s="57"/>
      <c r="Q528" s="57"/>
      <c r="R528" s="2059"/>
      <c r="S528" s="254"/>
    </row>
    <row r="529" spans="1:19">
      <c r="A529" s="254"/>
      <c r="B529" s="57"/>
      <c r="C529" s="57"/>
      <c r="D529" s="57"/>
      <c r="E529" s="57"/>
      <c r="F529" s="57"/>
      <c r="G529" s="57"/>
      <c r="H529" s="57"/>
      <c r="I529" s="57"/>
      <c r="J529" s="57"/>
      <c r="K529" s="57"/>
      <c r="L529" s="57"/>
      <c r="M529" s="57"/>
      <c r="N529" s="57"/>
      <c r="O529" s="57"/>
      <c r="P529" s="57"/>
      <c r="Q529" s="57"/>
      <c r="R529" s="2059"/>
      <c r="S529" s="254"/>
    </row>
    <row r="530" spans="1:19">
      <c r="A530" s="254"/>
      <c r="B530" s="57"/>
      <c r="C530" s="57"/>
      <c r="D530" s="57"/>
      <c r="E530" s="57"/>
      <c r="F530" s="57"/>
      <c r="G530" s="57"/>
      <c r="H530" s="57"/>
      <c r="I530" s="57"/>
      <c r="J530" s="57"/>
      <c r="K530" s="57"/>
      <c r="L530" s="57"/>
      <c r="M530" s="57"/>
      <c r="N530" s="57"/>
      <c r="O530" s="57"/>
      <c r="P530" s="57"/>
      <c r="Q530" s="57"/>
      <c r="R530" s="2059"/>
      <c r="S530" s="254"/>
    </row>
    <row r="531" spans="1:19">
      <c r="A531" s="254"/>
      <c r="B531" s="57"/>
      <c r="C531" s="57"/>
      <c r="D531" s="57"/>
      <c r="E531" s="57"/>
      <c r="F531" s="57"/>
      <c r="G531" s="57"/>
      <c r="H531" s="57"/>
      <c r="I531" s="57"/>
      <c r="J531" s="57"/>
      <c r="K531" s="57"/>
      <c r="L531" s="57"/>
      <c r="M531" s="57"/>
      <c r="N531" s="57"/>
      <c r="O531" s="57"/>
      <c r="P531" s="57"/>
      <c r="Q531" s="57"/>
      <c r="R531" s="2059"/>
      <c r="S531" s="254"/>
    </row>
    <row r="532" spans="1:19">
      <c r="A532" s="254"/>
      <c r="B532" s="57"/>
      <c r="C532" s="57"/>
      <c r="D532" s="57"/>
      <c r="E532" s="57"/>
      <c r="F532" s="57"/>
      <c r="G532" s="57"/>
      <c r="H532" s="57"/>
      <c r="I532" s="57"/>
      <c r="J532" s="57"/>
      <c r="K532" s="57"/>
      <c r="L532" s="57"/>
      <c r="M532" s="57"/>
      <c r="N532" s="57"/>
      <c r="O532" s="57"/>
      <c r="P532" s="57"/>
      <c r="Q532" s="57"/>
      <c r="R532" s="2059"/>
      <c r="S532" s="254"/>
    </row>
    <row r="533" spans="1:19">
      <c r="A533" s="254"/>
      <c r="B533" s="57"/>
      <c r="C533" s="57"/>
      <c r="D533" s="57"/>
      <c r="E533" s="57"/>
      <c r="F533" s="57"/>
      <c r="G533" s="57"/>
      <c r="H533" s="57"/>
      <c r="I533" s="57"/>
      <c r="J533" s="57"/>
      <c r="K533" s="57"/>
      <c r="L533" s="57"/>
      <c r="M533" s="57"/>
      <c r="N533" s="57"/>
      <c r="O533" s="57"/>
      <c r="P533" s="57"/>
      <c r="Q533" s="57"/>
      <c r="R533" s="2059"/>
      <c r="S533" s="254"/>
    </row>
    <row r="534" spans="1:19">
      <c r="A534" s="254"/>
      <c r="B534" s="57"/>
      <c r="C534" s="57"/>
      <c r="D534" s="57"/>
      <c r="E534" s="57"/>
      <c r="F534" s="57"/>
      <c r="G534" s="57"/>
      <c r="H534" s="57"/>
      <c r="I534" s="57"/>
      <c r="J534" s="57"/>
      <c r="K534" s="57"/>
      <c r="L534" s="57"/>
      <c r="M534" s="57"/>
      <c r="N534" s="57"/>
      <c r="O534" s="57"/>
      <c r="P534" s="57"/>
      <c r="Q534" s="57"/>
      <c r="R534" s="2059"/>
      <c r="S534" s="254"/>
    </row>
    <row r="535" spans="1:19">
      <c r="A535" s="254"/>
      <c r="B535" s="57"/>
      <c r="C535" s="57"/>
      <c r="D535" s="57"/>
      <c r="E535" s="57"/>
      <c r="F535" s="57"/>
      <c r="G535" s="57"/>
      <c r="H535" s="57"/>
      <c r="I535" s="57"/>
      <c r="J535" s="57"/>
      <c r="K535" s="57"/>
      <c r="L535" s="57"/>
      <c r="M535" s="57"/>
      <c r="N535" s="57"/>
      <c r="O535" s="57"/>
      <c r="P535" s="57"/>
      <c r="Q535" s="57"/>
      <c r="R535" s="2059"/>
      <c r="S535" s="254"/>
    </row>
    <row r="536" spans="1:19">
      <c r="A536" s="254"/>
      <c r="B536" s="57"/>
      <c r="C536" s="57"/>
      <c r="D536" s="57"/>
      <c r="E536" s="57"/>
      <c r="F536" s="57"/>
      <c r="G536" s="57"/>
      <c r="H536" s="57"/>
      <c r="I536" s="57"/>
      <c r="J536" s="57"/>
      <c r="K536" s="57"/>
      <c r="L536" s="57"/>
      <c r="M536" s="57"/>
      <c r="N536" s="57"/>
      <c r="O536" s="57"/>
      <c r="P536" s="57"/>
      <c r="Q536" s="57"/>
      <c r="R536" s="2059"/>
      <c r="S536" s="254"/>
    </row>
    <row r="537" spans="1:19">
      <c r="A537" s="254"/>
      <c r="B537" s="57"/>
      <c r="C537" s="57"/>
      <c r="D537" s="57"/>
      <c r="E537" s="57"/>
      <c r="F537" s="57"/>
      <c r="G537" s="57"/>
      <c r="H537" s="57"/>
      <c r="I537" s="57"/>
      <c r="J537" s="57"/>
      <c r="K537" s="57"/>
      <c r="L537" s="57"/>
      <c r="M537" s="57"/>
      <c r="N537" s="57"/>
      <c r="O537" s="57"/>
      <c r="P537" s="57"/>
      <c r="Q537" s="57"/>
      <c r="R537" s="2059"/>
      <c r="S537" s="254"/>
    </row>
    <row r="538" spans="1:19">
      <c r="A538" s="254"/>
      <c r="B538" s="57"/>
      <c r="C538" s="57"/>
      <c r="D538" s="57"/>
      <c r="E538" s="57"/>
      <c r="F538" s="57"/>
      <c r="G538" s="57"/>
      <c r="H538" s="57"/>
      <c r="I538" s="57"/>
      <c r="J538" s="57"/>
      <c r="K538" s="57"/>
      <c r="L538" s="57"/>
      <c r="M538" s="57"/>
      <c r="N538" s="57"/>
      <c r="O538" s="57"/>
      <c r="P538" s="57"/>
      <c r="Q538" s="57"/>
      <c r="R538" s="2059"/>
      <c r="S538" s="254"/>
    </row>
    <row r="539" spans="1:19">
      <c r="A539" s="254"/>
      <c r="B539" s="57"/>
      <c r="C539" s="57"/>
      <c r="D539" s="57"/>
      <c r="E539" s="57"/>
      <c r="F539" s="57"/>
      <c r="G539" s="57"/>
      <c r="H539" s="57"/>
      <c r="I539" s="57"/>
      <c r="J539" s="57"/>
      <c r="K539" s="57"/>
      <c r="L539" s="57"/>
      <c r="M539" s="57"/>
      <c r="N539" s="57"/>
      <c r="O539" s="57"/>
      <c r="P539" s="57"/>
      <c r="Q539" s="57"/>
      <c r="R539" s="2059"/>
      <c r="S539" s="254"/>
    </row>
    <row r="540" spans="1:19">
      <c r="A540" s="254"/>
      <c r="B540" s="57"/>
      <c r="C540" s="57"/>
      <c r="D540" s="57"/>
      <c r="E540" s="57"/>
      <c r="F540" s="57"/>
      <c r="G540" s="57"/>
      <c r="H540" s="57"/>
      <c r="I540" s="57"/>
      <c r="J540" s="57"/>
      <c r="K540" s="57"/>
      <c r="L540" s="57"/>
      <c r="M540" s="57"/>
      <c r="N540" s="57"/>
      <c r="O540" s="57"/>
      <c r="P540" s="57"/>
      <c r="Q540" s="57"/>
      <c r="R540" s="2059"/>
      <c r="S540" s="254"/>
    </row>
    <row r="541" spans="1:19">
      <c r="A541" s="254"/>
      <c r="B541" s="57"/>
      <c r="C541" s="57"/>
      <c r="D541" s="57"/>
      <c r="E541" s="57"/>
      <c r="F541" s="57"/>
      <c r="G541" s="57"/>
      <c r="H541" s="57"/>
      <c r="I541" s="57"/>
      <c r="J541" s="57"/>
      <c r="K541" s="57"/>
      <c r="L541" s="57"/>
      <c r="M541" s="57"/>
      <c r="N541" s="57"/>
      <c r="O541" s="57"/>
      <c r="P541" s="57"/>
      <c r="Q541" s="57"/>
      <c r="R541" s="2059"/>
      <c r="S541" s="254"/>
    </row>
    <row r="542" spans="1:19">
      <c r="A542" s="254"/>
      <c r="B542" s="57"/>
      <c r="C542" s="57"/>
      <c r="D542" s="57"/>
      <c r="E542" s="57"/>
      <c r="F542" s="57"/>
      <c r="G542" s="57"/>
      <c r="H542" s="57"/>
      <c r="I542" s="57"/>
      <c r="J542" s="57"/>
      <c r="K542" s="57"/>
      <c r="L542" s="57"/>
      <c r="M542" s="57"/>
      <c r="N542" s="57"/>
      <c r="O542" s="57"/>
      <c r="P542" s="57"/>
      <c r="Q542" s="57"/>
      <c r="R542" s="2059"/>
      <c r="S542" s="254"/>
    </row>
    <row r="543" spans="1:19">
      <c r="A543" s="254"/>
      <c r="B543" s="57"/>
      <c r="C543" s="57"/>
      <c r="D543" s="57"/>
      <c r="E543" s="57"/>
      <c r="F543" s="57"/>
      <c r="G543" s="57"/>
      <c r="H543" s="57"/>
      <c r="I543" s="57"/>
      <c r="J543" s="57"/>
      <c r="K543" s="57"/>
      <c r="L543" s="57"/>
      <c r="M543" s="57"/>
      <c r="N543" s="57"/>
      <c r="O543" s="57"/>
      <c r="P543" s="57"/>
      <c r="Q543" s="57"/>
      <c r="R543" s="2059"/>
      <c r="S543" s="254"/>
    </row>
    <row r="544" spans="1:19">
      <c r="A544" s="254"/>
      <c r="B544" s="57"/>
      <c r="C544" s="57"/>
      <c r="D544" s="57"/>
      <c r="E544" s="57"/>
      <c r="F544" s="57"/>
      <c r="G544" s="57"/>
      <c r="H544" s="57"/>
      <c r="I544" s="57"/>
      <c r="J544" s="57"/>
      <c r="K544" s="57"/>
      <c r="L544" s="57"/>
      <c r="M544" s="57"/>
      <c r="N544" s="57"/>
      <c r="O544" s="57"/>
      <c r="P544" s="57"/>
      <c r="Q544" s="57"/>
      <c r="R544" s="2059"/>
      <c r="S544" s="254"/>
    </row>
    <row r="545" spans="1:19">
      <c r="A545" s="254"/>
      <c r="B545" s="57"/>
      <c r="C545" s="57"/>
      <c r="D545" s="57"/>
      <c r="E545" s="57"/>
      <c r="F545" s="57"/>
      <c r="G545" s="57"/>
      <c r="H545" s="57"/>
      <c r="I545" s="57"/>
      <c r="J545" s="57"/>
      <c r="K545" s="57"/>
      <c r="L545" s="57"/>
      <c r="M545" s="57"/>
      <c r="N545" s="57"/>
      <c r="O545" s="57"/>
      <c r="P545" s="57"/>
      <c r="Q545" s="57"/>
      <c r="R545" s="2059"/>
      <c r="S545" s="254"/>
    </row>
    <row r="546" spans="1:19">
      <c r="A546" s="254"/>
      <c r="B546" s="57"/>
      <c r="C546" s="57"/>
      <c r="D546" s="57"/>
      <c r="E546" s="57"/>
      <c r="F546" s="57"/>
      <c r="G546" s="57"/>
      <c r="H546" s="57"/>
      <c r="I546" s="57"/>
      <c r="J546" s="57"/>
      <c r="K546" s="57"/>
      <c r="L546" s="57"/>
      <c r="M546" s="57"/>
      <c r="N546" s="57"/>
      <c r="O546" s="57"/>
      <c r="P546" s="57"/>
      <c r="Q546" s="57"/>
      <c r="R546" s="2059"/>
      <c r="S546" s="254"/>
    </row>
    <row r="547" spans="1:19">
      <c r="A547" s="254"/>
      <c r="B547" s="57"/>
      <c r="C547" s="57"/>
      <c r="D547" s="57"/>
      <c r="E547" s="57"/>
      <c r="F547" s="57"/>
      <c r="G547" s="57"/>
      <c r="H547" s="57"/>
      <c r="I547" s="57"/>
      <c r="J547" s="57"/>
      <c r="K547" s="57"/>
      <c r="L547" s="57"/>
      <c r="M547" s="57"/>
      <c r="N547" s="57"/>
      <c r="O547" s="57"/>
      <c r="P547" s="57"/>
      <c r="Q547" s="57"/>
      <c r="R547" s="2059"/>
      <c r="S547" s="254"/>
    </row>
    <row r="548" spans="1:19">
      <c r="A548" s="254"/>
      <c r="B548" s="57"/>
      <c r="C548" s="57"/>
      <c r="D548" s="57"/>
      <c r="E548" s="57"/>
      <c r="F548" s="57"/>
      <c r="G548" s="57"/>
      <c r="H548" s="57"/>
      <c r="I548" s="57"/>
      <c r="J548" s="57"/>
      <c r="K548" s="57"/>
      <c r="L548" s="57"/>
      <c r="M548" s="57"/>
      <c r="N548" s="57"/>
      <c r="O548" s="57"/>
      <c r="P548" s="57"/>
      <c r="Q548" s="57"/>
      <c r="R548" s="2059"/>
      <c r="S548" s="254"/>
    </row>
    <row r="549" spans="1:19">
      <c r="A549" s="254"/>
      <c r="B549" s="57"/>
      <c r="C549" s="57"/>
      <c r="D549" s="57"/>
      <c r="E549" s="57"/>
      <c r="F549" s="57"/>
      <c r="G549" s="57"/>
      <c r="H549" s="57"/>
      <c r="I549" s="57"/>
      <c r="J549" s="57"/>
      <c r="K549" s="57"/>
      <c r="L549" s="57"/>
      <c r="M549" s="57"/>
      <c r="N549" s="57"/>
      <c r="O549" s="57"/>
      <c r="P549" s="57"/>
      <c r="Q549" s="57"/>
      <c r="R549" s="2059"/>
      <c r="S549" s="254"/>
    </row>
    <row r="550" spans="1:19">
      <c r="A550" s="254"/>
      <c r="B550" s="57"/>
      <c r="C550" s="57"/>
      <c r="D550" s="57"/>
      <c r="E550" s="57"/>
      <c r="F550" s="57"/>
      <c r="G550" s="57"/>
      <c r="H550" s="57"/>
      <c r="I550" s="57"/>
      <c r="J550" s="57"/>
      <c r="K550" s="57"/>
      <c r="L550" s="57"/>
      <c r="M550" s="57"/>
      <c r="N550" s="57"/>
      <c r="O550" s="57"/>
      <c r="P550" s="57"/>
      <c r="Q550" s="57"/>
      <c r="R550" s="2059"/>
      <c r="S550" s="254"/>
    </row>
    <row r="551" spans="1:19">
      <c r="A551" s="254"/>
      <c r="B551" s="57"/>
      <c r="C551" s="57"/>
      <c r="D551" s="57"/>
      <c r="E551" s="57"/>
      <c r="F551" s="57"/>
      <c r="G551" s="57"/>
      <c r="H551" s="57"/>
      <c r="I551" s="57"/>
      <c r="J551" s="57"/>
      <c r="K551" s="57"/>
      <c r="L551" s="57"/>
      <c r="M551" s="57"/>
      <c r="N551" s="57"/>
      <c r="O551" s="57"/>
      <c r="P551" s="57"/>
      <c r="Q551" s="57"/>
      <c r="R551" s="2059"/>
      <c r="S551" s="254"/>
    </row>
    <row r="552" spans="1:19">
      <c r="A552" s="254"/>
      <c r="B552" s="57"/>
      <c r="C552" s="57"/>
      <c r="D552" s="57"/>
      <c r="E552" s="57"/>
      <c r="F552" s="57"/>
      <c r="G552" s="57"/>
      <c r="H552" s="57"/>
      <c r="I552" s="57"/>
      <c r="J552" s="57"/>
      <c r="K552" s="57"/>
      <c r="L552" s="57"/>
      <c r="M552" s="57"/>
      <c r="N552" s="57"/>
      <c r="O552" s="57"/>
      <c r="P552" s="57"/>
      <c r="Q552" s="57"/>
      <c r="R552" s="2059"/>
      <c r="S552" s="254"/>
    </row>
    <row r="553" spans="1:19">
      <c r="A553" s="254"/>
      <c r="B553" s="57"/>
      <c r="C553" s="57"/>
      <c r="D553" s="57"/>
      <c r="E553" s="57"/>
      <c r="F553" s="57"/>
      <c r="G553" s="57"/>
      <c r="H553" s="57"/>
      <c r="I553" s="57"/>
      <c r="J553" s="57"/>
      <c r="K553" s="57"/>
      <c r="L553" s="57"/>
      <c r="M553" s="57"/>
      <c r="N553" s="57"/>
      <c r="O553" s="57"/>
      <c r="P553" s="57"/>
      <c r="Q553" s="57"/>
      <c r="R553" s="2059"/>
      <c r="S553" s="254"/>
    </row>
    <row r="554" spans="1:19">
      <c r="A554" s="254"/>
      <c r="B554" s="57"/>
      <c r="C554" s="57"/>
      <c r="D554" s="57"/>
      <c r="E554" s="57"/>
      <c r="F554" s="57"/>
      <c r="G554" s="57"/>
      <c r="H554" s="57"/>
      <c r="I554" s="57"/>
      <c r="J554" s="57"/>
      <c r="K554" s="57"/>
      <c r="L554" s="57"/>
      <c r="M554" s="57"/>
      <c r="N554" s="57"/>
      <c r="O554" s="57"/>
      <c r="P554" s="57"/>
      <c r="Q554" s="57"/>
      <c r="R554" s="2059"/>
      <c r="S554" s="254"/>
    </row>
    <row r="555" spans="1:19">
      <c r="A555" s="254"/>
      <c r="B555" s="57"/>
      <c r="C555" s="57"/>
      <c r="D555" s="57"/>
      <c r="E555" s="57"/>
      <c r="F555" s="57"/>
      <c r="G555" s="57"/>
      <c r="H555" s="57"/>
      <c r="I555" s="57"/>
      <c r="J555" s="57"/>
      <c r="K555" s="57"/>
      <c r="L555" s="57"/>
      <c r="M555" s="57"/>
      <c r="N555" s="57"/>
      <c r="O555" s="57"/>
      <c r="P555" s="57"/>
      <c r="Q555" s="57"/>
      <c r="R555" s="2059"/>
      <c r="S555" s="254"/>
    </row>
    <row r="556" spans="1:19">
      <c r="A556" s="254"/>
      <c r="B556" s="57"/>
      <c r="C556" s="57"/>
      <c r="D556" s="57"/>
      <c r="E556" s="57"/>
      <c r="F556" s="57"/>
      <c r="G556" s="57"/>
      <c r="H556" s="57"/>
      <c r="I556" s="57"/>
      <c r="J556" s="57"/>
      <c r="K556" s="57"/>
      <c r="L556" s="57"/>
      <c r="M556" s="57"/>
      <c r="N556" s="57"/>
      <c r="O556" s="57"/>
      <c r="P556" s="57"/>
      <c r="Q556" s="57"/>
      <c r="R556" s="2059"/>
      <c r="S556" s="254"/>
    </row>
    <row r="557" spans="1:19">
      <c r="A557" s="254"/>
      <c r="B557" s="57"/>
      <c r="C557" s="57"/>
      <c r="D557" s="57"/>
      <c r="E557" s="57"/>
      <c r="F557" s="57"/>
      <c r="G557" s="57"/>
      <c r="H557" s="57"/>
      <c r="I557" s="57"/>
      <c r="J557" s="57"/>
      <c r="K557" s="57"/>
      <c r="L557" s="57"/>
      <c r="M557" s="57"/>
      <c r="N557" s="57"/>
      <c r="O557" s="57"/>
      <c r="P557" s="57"/>
      <c r="Q557" s="57"/>
      <c r="R557" s="2059"/>
      <c r="S557" s="254"/>
    </row>
    <row r="558" spans="1:19">
      <c r="A558" s="254"/>
      <c r="B558" s="57"/>
      <c r="C558" s="57"/>
      <c r="D558" s="57"/>
      <c r="E558" s="57"/>
      <c r="F558" s="57"/>
      <c r="G558" s="57"/>
      <c r="H558" s="57"/>
      <c r="I558" s="57"/>
      <c r="J558" s="57"/>
      <c r="K558" s="57"/>
      <c r="L558" s="57"/>
      <c r="M558" s="57"/>
      <c r="N558" s="57"/>
      <c r="O558" s="57"/>
      <c r="P558" s="57"/>
      <c r="Q558" s="57"/>
      <c r="R558" s="2059"/>
      <c r="S558" s="254"/>
    </row>
    <row r="559" spans="1:19">
      <c r="A559" s="254"/>
      <c r="B559" s="57"/>
      <c r="C559" s="57"/>
      <c r="D559" s="57"/>
      <c r="E559" s="57"/>
      <c r="F559" s="57"/>
      <c r="G559" s="57"/>
      <c r="H559" s="57"/>
      <c r="I559" s="57"/>
      <c r="J559" s="57"/>
      <c r="K559" s="57"/>
      <c r="L559" s="57"/>
      <c r="M559" s="57"/>
      <c r="N559" s="57"/>
      <c r="O559" s="57"/>
      <c r="P559" s="57"/>
      <c r="Q559" s="57"/>
      <c r="R559" s="2059"/>
      <c r="S559" s="254"/>
    </row>
    <row r="560" spans="1:19">
      <c r="A560" s="254"/>
      <c r="B560" s="57"/>
      <c r="C560" s="57"/>
      <c r="D560" s="57"/>
      <c r="E560" s="57"/>
      <c r="F560" s="57"/>
      <c r="G560" s="57"/>
      <c r="H560" s="57"/>
      <c r="I560" s="57"/>
      <c r="J560" s="57"/>
      <c r="K560" s="57"/>
      <c r="L560" s="57"/>
      <c r="M560" s="57"/>
      <c r="N560" s="57"/>
      <c r="O560" s="57"/>
      <c r="P560" s="57"/>
      <c r="Q560" s="57"/>
      <c r="R560" s="2059"/>
      <c r="S560" s="254"/>
    </row>
    <row r="561" spans="1:19">
      <c r="A561" s="254"/>
      <c r="B561" s="57"/>
      <c r="C561" s="57"/>
      <c r="D561" s="57"/>
      <c r="E561" s="57"/>
      <c r="F561" s="57"/>
      <c r="G561" s="57"/>
      <c r="H561" s="57"/>
      <c r="I561" s="57"/>
      <c r="J561" s="57"/>
      <c r="K561" s="57"/>
      <c r="L561" s="57"/>
      <c r="M561" s="57"/>
      <c r="N561" s="57"/>
      <c r="O561" s="57"/>
      <c r="P561" s="57"/>
      <c r="Q561" s="57"/>
      <c r="R561" s="2059"/>
      <c r="S561" s="254"/>
    </row>
    <row r="562" spans="1:19">
      <c r="A562" s="254"/>
      <c r="B562" s="57"/>
      <c r="C562" s="57"/>
      <c r="D562" s="57"/>
      <c r="E562" s="57"/>
      <c r="F562" s="57"/>
      <c r="G562" s="57"/>
      <c r="H562" s="57"/>
      <c r="I562" s="57"/>
      <c r="J562" s="57"/>
      <c r="K562" s="57"/>
      <c r="L562" s="57"/>
      <c r="M562" s="57"/>
      <c r="N562" s="57"/>
      <c r="O562" s="57"/>
      <c r="P562" s="57"/>
      <c r="Q562" s="57"/>
      <c r="R562" s="2059"/>
      <c r="S562" s="254"/>
    </row>
    <row r="563" spans="1:19">
      <c r="A563" s="254"/>
      <c r="B563" s="57"/>
      <c r="C563" s="57"/>
      <c r="D563" s="57"/>
      <c r="E563" s="57"/>
      <c r="F563" s="57"/>
      <c r="G563" s="57"/>
      <c r="H563" s="57"/>
      <c r="I563" s="57"/>
      <c r="J563" s="57"/>
      <c r="K563" s="57"/>
      <c r="L563" s="57"/>
      <c r="M563" s="57"/>
      <c r="N563" s="57"/>
      <c r="O563" s="57"/>
      <c r="P563" s="57"/>
      <c r="Q563" s="57"/>
      <c r="R563" s="2059"/>
      <c r="S563" s="254"/>
    </row>
    <row r="564" spans="1:19">
      <c r="A564" s="254"/>
      <c r="B564" s="57"/>
      <c r="C564" s="57"/>
      <c r="D564" s="57"/>
      <c r="E564" s="57"/>
      <c r="F564" s="57"/>
      <c r="G564" s="57"/>
      <c r="H564" s="57"/>
      <c r="I564" s="57"/>
      <c r="J564" s="57"/>
      <c r="K564" s="57"/>
      <c r="L564" s="57"/>
      <c r="M564" s="57"/>
      <c r="N564" s="57"/>
      <c r="O564" s="57"/>
      <c r="P564" s="57"/>
      <c r="Q564" s="57"/>
      <c r="R564" s="2059"/>
      <c r="S564" s="254"/>
    </row>
    <row r="565" spans="1:19">
      <c r="A565" s="254"/>
      <c r="B565" s="57"/>
      <c r="C565" s="57"/>
      <c r="D565" s="57"/>
      <c r="E565" s="57"/>
      <c r="F565" s="57"/>
      <c r="G565" s="57"/>
      <c r="H565" s="57"/>
      <c r="I565" s="57"/>
      <c r="J565" s="57"/>
      <c r="K565" s="57"/>
      <c r="L565" s="57"/>
      <c r="M565" s="57"/>
      <c r="N565" s="57"/>
      <c r="O565" s="57"/>
      <c r="P565" s="57"/>
      <c r="Q565" s="57"/>
      <c r="R565" s="2059"/>
      <c r="S565" s="254"/>
    </row>
    <row r="566" spans="1:19">
      <c r="A566" s="254"/>
      <c r="B566" s="57"/>
      <c r="C566" s="57"/>
      <c r="D566" s="57"/>
      <c r="E566" s="57"/>
      <c r="F566" s="57"/>
      <c r="G566" s="57"/>
      <c r="H566" s="57"/>
      <c r="I566" s="57"/>
      <c r="J566" s="57"/>
      <c r="K566" s="57"/>
      <c r="L566" s="57"/>
      <c r="M566" s="57"/>
      <c r="N566" s="57"/>
      <c r="O566" s="57"/>
      <c r="P566" s="57"/>
      <c r="Q566" s="57"/>
      <c r="R566" s="2059"/>
      <c r="S566" s="254"/>
    </row>
    <row r="567" spans="1:19">
      <c r="A567" s="254"/>
      <c r="B567" s="57"/>
      <c r="C567" s="57"/>
      <c r="D567" s="57"/>
      <c r="E567" s="57"/>
      <c r="F567" s="57"/>
      <c r="G567" s="57"/>
      <c r="H567" s="57"/>
      <c r="I567" s="57"/>
      <c r="J567" s="57"/>
      <c r="K567" s="57"/>
      <c r="L567" s="57"/>
      <c r="M567" s="57"/>
      <c r="N567" s="57"/>
      <c r="O567" s="57"/>
      <c r="P567" s="57"/>
      <c r="Q567" s="57"/>
      <c r="R567" s="2059"/>
      <c r="S567" s="254"/>
    </row>
    <row r="568" spans="1:19">
      <c r="A568" s="254"/>
      <c r="B568" s="57"/>
      <c r="C568" s="57"/>
      <c r="D568" s="57"/>
      <c r="E568" s="57"/>
      <c r="F568" s="57"/>
      <c r="G568" s="57"/>
      <c r="H568" s="57"/>
      <c r="I568" s="57"/>
      <c r="J568" s="57"/>
      <c r="K568" s="57"/>
      <c r="L568" s="57"/>
      <c r="M568" s="57"/>
      <c r="N568" s="57"/>
      <c r="O568" s="57"/>
      <c r="P568" s="57"/>
      <c r="Q568" s="57"/>
      <c r="R568" s="2059"/>
      <c r="S568" s="254"/>
    </row>
    <row r="569" spans="1:19">
      <c r="A569" s="254"/>
      <c r="B569" s="57"/>
      <c r="C569" s="57"/>
      <c r="D569" s="57"/>
      <c r="E569" s="57"/>
      <c r="F569" s="57"/>
      <c r="G569" s="57"/>
      <c r="H569" s="57"/>
      <c r="I569" s="57"/>
      <c r="J569" s="57"/>
      <c r="K569" s="57"/>
      <c r="L569" s="57"/>
      <c r="M569" s="57"/>
      <c r="N569" s="57"/>
      <c r="O569" s="57"/>
      <c r="P569" s="57"/>
      <c r="Q569" s="57"/>
      <c r="R569" s="2059"/>
      <c r="S569" s="254"/>
    </row>
    <row r="570" spans="1:19">
      <c r="A570" s="254"/>
      <c r="B570" s="57"/>
      <c r="C570" s="57"/>
      <c r="D570" s="57"/>
      <c r="E570" s="57"/>
      <c r="F570" s="57"/>
      <c r="G570" s="57"/>
      <c r="H570" s="57"/>
      <c r="I570" s="57"/>
      <c r="J570" s="57"/>
      <c r="K570" s="57"/>
      <c r="L570" s="57"/>
      <c r="M570" s="57"/>
      <c r="N570" s="57"/>
      <c r="O570" s="57"/>
      <c r="P570" s="57"/>
      <c r="Q570" s="57"/>
      <c r="R570" s="2059"/>
      <c r="S570" s="254"/>
    </row>
    <row r="571" spans="1:19">
      <c r="A571" s="254"/>
      <c r="B571" s="57"/>
      <c r="C571" s="57"/>
      <c r="D571" s="57"/>
      <c r="E571" s="57"/>
      <c r="F571" s="57"/>
      <c r="G571" s="57"/>
      <c r="H571" s="57"/>
      <c r="I571" s="57"/>
      <c r="J571" s="57"/>
      <c r="K571" s="57"/>
      <c r="L571" s="57"/>
      <c r="M571" s="57"/>
      <c r="N571" s="57"/>
      <c r="O571" s="57"/>
      <c r="P571" s="57"/>
      <c r="Q571" s="57"/>
      <c r="R571" s="2059"/>
      <c r="S571" s="254"/>
    </row>
    <row r="572" spans="1:19">
      <c r="A572" s="254"/>
      <c r="B572" s="57"/>
      <c r="C572" s="57"/>
      <c r="D572" s="57"/>
      <c r="E572" s="57"/>
      <c r="F572" s="57"/>
      <c r="G572" s="57"/>
      <c r="H572" s="57"/>
      <c r="I572" s="57"/>
      <c r="J572" s="57"/>
      <c r="K572" s="57"/>
      <c r="L572" s="57"/>
      <c r="M572" s="57"/>
      <c r="N572" s="57"/>
      <c r="O572" s="57"/>
      <c r="P572" s="57"/>
      <c r="Q572" s="57"/>
      <c r="R572" s="2059"/>
      <c r="S572" s="254"/>
    </row>
    <row r="573" spans="1:19">
      <c r="A573" s="254"/>
      <c r="B573" s="57"/>
      <c r="C573" s="57"/>
      <c r="D573" s="57"/>
      <c r="E573" s="57"/>
      <c r="F573" s="57"/>
      <c r="G573" s="57"/>
      <c r="H573" s="57"/>
      <c r="I573" s="57"/>
      <c r="J573" s="57"/>
      <c r="K573" s="57"/>
      <c r="L573" s="57"/>
      <c r="M573" s="57"/>
      <c r="N573" s="57"/>
      <c r="O573" s="57"/>
      <c r="P573" s="57"/>
      <c r="Q573" s="57"/>
      <c r="R573" s="2059"/>
      <c r="S573" s="254"/>
    </row>
    <row r="574" spans="1:19">
      <c r="A574" s="254"/>
      <c r="B574" s="57"/>
      <c r="C574" s="57"/>
      <c r="D574" s="57"/>
      <c r="E574" s="57"/>
      <c r="F574" s="57"/>
      <c r="G574" s="57"/>
      <c r="H574" s="57"/>
      <c r="I574" s="57"/>
      <c r="J574" s="57"/>
      <c r="K574" s="57"/>
      <c r="L574" s="57"/>
      <c r="M574" s="57"/>
      <c r="N574" s="57"/>
      <c r="O574" s="57"/>
      <c r="P574" s="57"/>
      <c r="Q574" s="57"/>
      <c r="R574" s="2059"/>
      <c r="S574" s="254"/>
    </row>
    <row r="575" spans="1:19">
      <c r="A575" s="254"/>
      <c r="B575" s="57"/>
      <c r="C575" s="57"/>
      <c r="D575" s="57"/>
      <c r="E575" s="57"/>
      <c r="F575" s="57"/>
      <c r="G575" s="57"/>
      <c r="H575" s="57"/>
      <c r="I575" s="57"/>
      <c r="J575" s="57"/>
      <c r="K575" s="57"/>
      <c r="L575" s="57"/>
      <c r="M575" s="57"/>
      <c r="N575" s="57"/>
      <c r="O575" s="57"/>
      <c r="P575" s="57"/>
      <c r="Q575" s="57"/>
      <c r="R575" s="2059"/>
      <c r="S575" s="254"/>
    </row>
    <row r="576" spans="1:19">
      <c r="A576" s="254"/>
      <c r="B576" s="57"/>
      <c r="C576" s="57"/>
      <c r="D576" s="57"/>
      <c r="E576" s="57"/>
      <c r="F576" s="57"/>
      <c r="G576" s="57"/>
      <c r="H576" s="57"/>
      <c r="I576" s="57"/>
      <c r="J576" s="57"/>
      <c r="K576" s="57"/>
      <c r="L576" s="57"/>
      <c r="M576" s="57"/>
      <c r="N576" s="57"/>
      <c r="O576" s="57"/>
      <c r="P576" s="57"/>
      <c r="Q576" s="57"/>
      <c r="R576" s="2059"/>
      <c r="S576" s="254"/>
    </row>
    <row r="577" spans="1:19">
      <c r="A577" s="254"/>
      <c r="B577" s="57"/>
      <c r="C577" s="57"/>
      <c r="D577" s="57"/>
      <c r="E577" s="57"/>
      <c r="F577" s="57"/>
      <c r="G577" s="57"/>
      <c r="H577" s="57"/>
      <c r="I577" s="57"/>
      <c r="J577" s="57"/>
      <c r="K577" s="57"/>
      <c r="L577" s="57"/>
      <c r="M577" s="57"/>
      <c r="N577" s="57"/>
      <c r="O577" s="57"/>
      <c r="P577" s="57"/>
      <c r="Q577" s="57"/>
      <c r="R577" s="2059"/>
      <c r="S577" s="254"/>
    </row>
    <row r="578" spans="1:19">
      <c r="A578" s="254"/>
      <c r="B578" s="57"/>
      <c r="C578" s="57"/>
      <c r="D578" s="57"/>
      <c r="E578" s="57"/>
      <c r="F578" s="57"/>
      <c r="G578" s="57"/>
      <c r="H578" s="57"/>
      <c r="I578" s="57"/>
      <c r="J578" s="57"/>
      <c r="K578" s="57"/>
      <c r="L578" s="57"/>
      <c r="M578" s="57"/>
      <c r="N578" s="57"/>
      <c r="O578" s="57"/>
      <c r="P578" s="57"/>
      <c r="Q578" s="57"/>
      <c r="R578" s="2059"/>
      <c r="S578" s="254"/>
    </row>
    <row r="579" spans="1:19">
      <c r="A579" s="254"/>
      <c r="B579" s="57"/>
      <c r="C579" s="57"/>
      <c r="D579" s="57"/>
      <c r="E579" s="57"/>
      <c r="F579" s="57"/>
      <c r="G579" s="57"/>
      <c r="H579" s="57"/>
      <c r="I579" s="57"/>
      <c r="J579" s="57"/>
      <c r="K579" s="57"/>
      <c r="L579" s="57"/>
      <c r="M579" s="57"/>
      <c r="N579" s="57"/>
      <c r="O579" s="57"/>
      <c r="P579" s="57"/>
      <c r="Q579" s="57"/>
      <c r="R579" s="2059"/>
      <c r="S579" s="254"/>
    </row>
    <row r="580" spans="1:19">
      <c r="A580" s="254"/>
      <c r="B580" s="57"/>
      <c r="C580" s="57"/>
      <c r="D580" s="57"/>
      <c r="E580" s="57"/>
      <c r="F580" s="57"/>
      <c r="G580" s="57"/>
      <c r="H580" s="57"/>
      <c r="I580" s="57"/>
      <c r="J580" s="57"/>
      <c r="K580" s="57"/>
      <c r="L580" s="57"/>
      <c r="M580" s="57"/>
      <c r="N580" s="57"/>
      <c r="O580" s="57"/>
      <c r="P580" s="57"/>
      <c r="Q580" s="57"/>
      <c r="R580" s="2059"/>
      <c r="S580" s="254"/>
    </row>
    <row r="581" spans="1:19">
      <c r="A581" s="254"/>
      <c r="B581" s="57"/>
      <c r="C581" s="57"/>
      <c r="D581" s="57"/>
      <c r="E581" s="57"/>
      <c r="F581" s="57"/>
      <c r="G581" s="57"/>
      <c r="H581" s="57"/>
      <c r="I581" s="57"/>
      <c r="J581" s="57"/>
      <c r="K581" s="57"/>
      <c r="L581" s="57"/>
      <c r="M581" s="57"/>
      <c r="N581" s="57"/>
      <c r="O581" s="57"/>
      <c r="P581" s="57"/>
      <c r="Q581" s="57"/>
      <c r="R581" s="2059"/>
      <c r="S581" s="254"/>
    </row>
    <row r="582" spans="1:19">
      <c r="A582" s="254"/>
      <c r="B582" s="57"/>
      <c r="C582" s="57"/>
      <c r="D582" s="57"/>
      <c r="E582" s="57"/>
      <c r="F582" s="57"/>
      <c r="G582" s="57"/>
      <c r="H582" s="57"/>
      <c r="I582" s="57"/>
      <c r="J582" s="57"/>
      <c r="K582" s="57"/>
      <c r="L582" s="57"/>
      <c r="M582" s="57"/>
      <c r="N582" s="57"/>
      <c r="O582" s="57"/>
      <c r="P582" s="57"/>
      <c r="Q582" s="57"/>
      <c r="R582" s="2059"/>
      <c r="S582" s="254"/>
    </row>
    <row r="583" spans="1:19">
      <c r="A583" s="254"/>
      <c r="B583" s="57"/>
      <c r="C583" s="57"/>
      <c r="D583" s="57"/>
      <c r="E583" s="57"/>
      <c r="F583" s="57"/>
      <c r="G583" s="57"/>
      <c r="H583" s="57"/>
      <c r="I583" s="57"/>
      <c r="J583" s="57"/>
      <c r="K583" s="57"/>
      <c r="L583" s="57"/>
      <c r="M583" s="57"/>
      <c r="N583" s="57"/>
      <c r="O583" s="57"/>
      <c r="P583" s="57"/>
      <c r="Q583" s="57"/>
      <c r="R583" s="2059"/>
      <c r="S583" s="254"/>
    </row>
    <row r="584" spans="1:19">
      <c r="A584" s="254"/>
      <c r="B584" s="57"/>
      <c r="C584" s="57"/>
      <c r="D584" s="57"/>
      <c r="E584" s="57"/>
      <c r="F584" s="57"/>
      <c r="G584" s="57"/>
      <c r="H584" s="57"/>
      <c r="I584" s="57"/>
      <c r="J584" s="57"/>
      <c r="K584" s="57"/>
      <c r="L584" s="57"/>
      <c r="M584" s="57"/>
      <c r="N584" s="57"/>
      <c r="O584" s="57"/>
      <c r="P584" s="57"/>
      <c r="Q584" s="57"/>
      <c r="R584" s="2059"/>
      <c r="S584" s="254"/>
    </row>
    <row r="585" spans="1:19">
      <c r="A585" s="254"/>
      <c r="B585" s="57"/>
      <c r="C585" s="57"/>
      <c r="D585" s="57"/>
      <c r="E585" s="57"/>
      <c r="F585" s="57"/>
      <c r="G585" s="57"/>
      <c r="H585" s="57"/>
      <c r="I585" s="57"/>
      <c r="J585" s="57"/>
      <c r="K585" s="57"/>
      <c r="L585" s="57"/>
      <c r="M585" s="57"/>
      <c r="N585" s="57"/>
      <c r="O585" s="57"/>
      <c r="P585" s="57"/>
      <c r="Q585" s="57"/>
      <c r="R585" s="2059"/>
      <c r="S585" s="254"/>
    </row>
    <row r="586" spans="1:19">
      <c r="A586" s="254"/>
      <c r="B586" s="57"/>
      <c r="C586" s="57"/>
      <c r="D586" s="57"/>
      <c r="E586" s="57"/>
      <c r="F586" s="57"/>
      <c r="G586" s="57"/>
      <c r="H586" s="57"/>
      <c r="I586" s="57"/>
      <c r="J586" s="57"/>
      <c r="K586" s="57"/>
      <c r="L586" s="57"/>
      <c r="M586" s="57"/>
      <c r="N586" s="57"/>
      <c r="O586" s="57"/>
      <c r="P586" s="57"/>
      <c r="Q586" s="57"/>
      <c r="R586" s="2059"/>
      <c r="S586" s="254"/>
    </row>
    <row r="587" spans="1:19">
      <c r="A587" s="254"/>
      <c r="B587" s="57"/>
      <c r="C587" s="57"/>
      <c r="D587" s="57"/>
      <c r="E587" s="57"/>
      <c r="F587" s="57"/>
      <c r="G587" s="57"/>
      <c r="H587" s="57"/>
      <c r="I587" s="57"/>
      <c r="J587" s="57"/>
      <c r="K587" s="57"/>
      <c r="L587" s="57"/>
      <c r="M587" s="57"/>
      <c r="N587" s="57"/>
      <c r="O587" s="57"/>
      <c r="P587" s="57"/>
      <c r="Q587" s="57"/>
      <c r="R587" s="2059"/>
      <c r="S587" s="254"/>
    </row>
    <row r="588" spans="1:19">
      <c r="A588" s="254"/>
      <c r="B588" s="57"/>
      <c r="C588" s="57"/>
      <c r="D588" s="57"/>
      <c r="E588" s="57"/>
      <c r="F588" s="57"/>
      <c r="G588" s="57"/>
      <c r="H588" s="57"/>
      <c r="I588" s="57"/>
      <c r="J588" s="57"/>
      <c r="K588" s="57"/>
      <c r="L588" s="57"/>
      <c r="M588" s="57"/>
      <c r="N588" s="57"/>
      <c r="O588" s="57"/>
      <c r="P588" s="57"/>
      <c r="Q588" s="57"/>
      <c r="R588" s="2059"/>
      <c r="S588" s="254"/>
    </row>
    <row r="589" spans="1:19">
      <c r="A589" s="254"/>
      <c r="B589" s="57"/>
      <c r="C589" s="57"/>
      <c r="D589" s="57"/>
      <c r="E589" s="57"/>
      <c r="F589" s="57"/>
      <c r="G589" s="57"/>
      <c r="H589" s="57"/>
      <c r="I589" s="57"/>
      <c r="J589" s="57"/>
      <c r="K589" s="57"/>
      <c r="L589" s="57"/>
      <c r="M589" s="57"/>
      <c r="N589" s="57"/>
      <c r="O589" s="57"/>
      <c r="P589" s="57"/>
      <c r="Q589" s="57"/>
      <c r="R589" s="2059"/>
      <c r="S589" s="254"/>
    </row>
    <row r="590" spans="1:19">
      <c r="A590" s="254"/>
      <c r="B590" s="57"/>
      <c r="C590" s="57"/>
      <c r="D590" s="57"/>
      <c r="E590" s="57"/>
      <c r="F590" s="57"/>
      <c r="G590" s="57"/>
      <c r="H590" s="57"/>
      <c r="I590" s="57"/>
      <c r="J590" s="57"/>
      <c r="K590" s="57"/>
      <c r="L590" s="57"/>
      <c r="M590" s="57"/>
      <c r="N590" s="57"/>
      <c r="O590" s="57"/>
      <c r="P590" s="57"/>
      <c r="Q590" s="57"/>
      <c r="R590" s="2059"/>
      <c r="S590" s="254"/>
    </row>
    <row r="591" spans="1:19">
      <c r="A591" s="254"/>
      <c r="B591" s="57"/>
      <c r="C591" s="57"/>
      <c r="D591" s="57"/>
      <c r="E591" s="57"/>
      <c r="F591" s="57"/>
      <c r="G591" s="57"/>
      <c r="H591" s="57"/>
      <c r="I591" s="57"/>
      <c r="J591" s="57"/>
      <c r="K591" s="57"/>
      <c r="L591" s="57"/>
      <c r="M591" s="57"/>
      <c r="N591" s="57"/>
      <c r="O591" s="57"/>
      <c r="P591" s="57"/>
      <c r="Q591" s="57"/>
      <c r="R591" s="2059"/>
      <c r="S591" s="254"/>
    </row>
    <row r="592" spans="1:19">
      <c r="A592" s="254"/>
      <c r="B592" s="57"/>
      <c r="C592" s="57"/>
      <c r="D592" s="57"/>
      <c r="E592" s="57"/>
      <c r="F592" s="57"/>
      <c r="G592" s="57"/>
      <c r="H592" s="57"/>
      <c r="I592" s="57"/>
      <c r="J592" s="57"/>
      <c r="K592" s="57"/>
      <c r="L592" s="57"/>
      <c r="M592" s="57"/>
      <c r="N592" s="57"/>
      <c r="O592" s="57"/>
      <c r="P592" s="57"/>
      <c r="Q592" s="57"/>
      <c r="R592" s="2059"/>
      <c r="S592" s="254"/>
    </row>
    <row r="593" spans="1:19">
      <c r="A593" s="254"/>
      <c r="B593" s="57"/>
      <c r="C593" s="57"/>
      <c r="D593" s="57"/>
      <c r="E593" s="57"/>
      <c r="F593" s="57"/>
      <c r="G593" s="57"/>
      <c r="H593" s="57"/>
      <c r="I593" s="57"/>
      <c r="J593" s="57"/>
      <c r="K593" s="57"/>
      <c r="L593" s="57"/>
      <c r="M593" s="57"/>
      <c r="N593" s="57"/>
      <c r="O593" s="57"/>
      <c r="P593" s="57"/>
      <c r="Q593" s="57"/>
      <c r="R593" s="2059"/>
      <c r="S593" s="254"/>
    </row>
    <row r="594" spans="1:19">
      <c r="A594" s="254"/>
      <c r="B594" s="57"/>
      <c r="C594" s="57"/>
      <c r="D594" s="57"/>
      <c r="E594" s="57"/>
      <c r="F594" s="57"/>
      <c r="G594" s="57"/>
      <c r="H594" s="57"/>
      <c r="I594" s="57"/>
      <c r="J594" s="57"/>
      <c r="K594" s="57"/>
      <c r="L594" s="57"/>
      <c r="M594" s="57"/>
      <c r="N594" s="57"/>
      <c r="O594" s="57"/>
      <c r="P594" s="57"/>
      <c r="Q594" s="57"/>
      <c r="R594" s="2059"/>
      <c r="S594" s="254"/>
    </row>
    <row r="595" spans="1:19">
      <c r="A595" s="254"/>
      <c r="B595" s="57"/>
      <c r="C595" s="57"/>
      <c r="D595" s="57"/>
      <c r="E595" s="57"/>
      <c r="F595" s="57"/>
      <c r="G595" s="57"/>
      <c r="H595" s="57"/>
      <c r="I595" s="57"/>
      <c r="J595" s="57"/>
      <c r="K595" s="57"/>
      <c r="L595" s="57"/>
      <c r="M595" s="57"/>
      <c r="N595" s="57"/>
      <c r="O595" s="57"/>
      <c r="P595" s="57"/>
      <c r="Q595" s="57"/>
      <c r="R595" s="2059"/>
      <c r="S595" s="254"/>
    </row>
    <row r="596" spans="1:19">
      <c r="A596" s="254"/>
      <c r="B596" s="57"/>
      <c r="C596" s="57"/>
      <c r="D596" s="57"/>
      <c r="E596" s="57"/>
      <c r="F596" s="57"/>
      <c r="G596" s="57"/>
      <c r="H596" s="57"/>
      <c r="I596" s="57"/>
      <c r="J596" s="57"/>
      <c r="K596" s="57"/>
      <c r="L596" s="57"/>
      <c r="M596" s="57"/>
      <c r="N596" s="57"/>
      <c r="O596" s="57"/>
      <c r="P596" s="57"/>
      <c r="Q596" s="57"/>
      <c r="R596" s="2059"/>
      <c r="S596" s="254"/>
    </row>
    <row r="597" spans="1:19">
      <c r="A597" s="254"/>
      <c r="B597" s="57"/>
      <c r="C597" s="57"/>
      <c r="D597" s="57"/>
      <c r="E597" s="57"/>
      <c r="F597" s="57"/>
      <c r="G597" s="57"/>
      <c r="H597" s="57"/>
      <c r="I597" s="57"/>
      <c r="J597" s="57"/>
      <c r="K597" s="57"/>
      <c r="L597" s="57"/>
      <c r="M597" s="57"/>
      <c r="N597" s="57"/>
      <c r="O597" s="57"/>
      <c r="P597" s="57"/>
      <c r="Q597" s="57"/>
      <c r="R597" s="2059"/>
      <c r="S597" s="254"/>
    </row>
    <row r="598" spans="1:19">
      <c r="A598" s="254"/>
      <c r="B598" s="57"/>
      <c r="C598" s="57"/>
      <c r="D598" s="57"/>
      <c r="E598" s="57"/>
      <c r="F598" s="57"/>
      <c r="G598" s="57"/>
      <c r="H598" s="57"/>
      <c r="I598" s="57"/>
      <c r="J598" s="57"/>
      <c r="K598" s="57"/>
      <c r="L598" s="57"/>
      <c r="M598" s="57"/>
      <c r="N598" s="57"/>
      <c r="O598" s="57"/>
      <c r="P598" s="57"/>
      <c r="Q598" s="57"/>
      <c r="R598" s="2059"/>
      <c r="S598" s="254"/>
    </row>
    <row r="599" spans="1:19">
      <c r="A599" s="254"/>
      <c r="B599" s="57"/>
      <c r="C599" s="57"/>
      <c r="D599" s="57"/>
      <c r="E599" s="57"/>
      <c r="F599" s="57"/>
      <c r="G599" s="57"/>
      <c r="H599" s="57"/>
      <c r="I599" s="57"/>
      <c r="J599" s="57"/>
      <c r="K599" s="57"/>
      <c r="L599" s="57"/>
      <c r="M599" s="57"/>
      <c r="N599" s="57"/>
      <c r="O599" s="57"/>
      <c r="P599" s="57"/>
      <c r="Q599" s="57"/>
      <c r="R599" s="2059"/>
      <c r="S599" s="254"/>
    </row>
    <row r="600" spans="1:19">
      <c r="A600" s="254"/>
      <c r="B600" s="57"/>
      <c r="C600" s="57"/>
      <c r="D600" s="57"/>
      <c r="E600" s="57"/>
      <c r="F600" s="57"/>
      <c r="G600" s="57"/>
      <c r="H600" s="57"/>
      <c r="I600" s="57"/>
      <c r="J600" s="57"/>
      <c r="K600" s="57"/>
      <c r="L600" s="57"/>
      <c r="M600" s="57"/>
      <c r="N600" s="57"/>
      <c r="O600" s="57"/>
      <c r="P600" s="57"/>
      <c r="Q600" s="57"/>
      <c r="R600" s="2059"/>
      <c r="S600" s="254"/>
    </row>
    <row r="601" spans="1:19">
      <c r="A601" s="254"/>
      <c r="B601" s="57"/>
      <c r="C601" s="57"/>
      <c r="D601" s="57"/>
      <c r="E601" s="57"/>
      <c r="F601" s="57"/>
      <c r="G601" s="57"/>
      <c r="H601" s="57"/>
      <c r="I601" s="57"/>
      <c r="J601" s="57"/>
      <c r="K601" s="57"/>
      <c r="L601" s="57"/>
      <c r="M601" s="57"/>
      <c r="N601" s="57"/>
      <c r="O601" s="57"/>
      <c r="P601" s="57"/>
      <c r="Q601" s="57"/>
      <c r="R601" s="2059"/>
      <c r="S601" s="254"/>
    </row>
    <row r="602" spans="1:19">
      <c r="A602" s="254"/>
      <c r="B602" s="57"/>
      <c r="C602" s="57"/>
      <c r="D602" s="57"/>
      <c r="E602" s="57"/>
      <c r="F602" s="57"/>
      <c r="G602" s="57"/>
      <c r="H602" s="57"/>
      <c r="I602" s="57"/>
      <c r="J602" s="57"/>
      <c r="K602" s="57"/>
      <c r="L602" s="57"/>
      <c r="M602" s="57"/>
      <c r="N602" s="57"/>
      <c r="O602" s="57"/>
      <c r="P602" s="57"/>
      <c r="Q602" s="57"/>
      <c r="R602" s="2059"/>
      <c r="S602" s="254"/>
    </row>
    <row r="603" spans="1:19">
      <c r="A603" s="254"/>
      <c r="B603" s="57"/>
      <c r="C603" s="57"/>
      <c r="D603" s="57"/>
      <c r="E603" s="57"/>
      <c r="F603" s="57"/>
      <c r="G603" s="57"/>
      <c r="H603" s="57"/>
      <c r="I603" s="57"/>
      <c r="J603" s="57"/>
      <c r="K603" s="57"/>
      <c r="L603" s="57"/>
      <c r="M603" s="57"/>
      <c r="N603" s="57"/>
      <c r="O603" s="57"/>
      <c r="P603" s="57"/>
      <c r="Q603" s="57"/>
      <c r="R603" s="2059"/>
      <c r="S603" s="254"/>
    </row>
    <row r="604" spans="1:19">
      <c r="A604" s="254"/>
      <c r="B604" s="57"/>
      <c r="C604" s="57"/>
      <c r="D604" s="57"/>
      <c r="E604" s="57"/>
      <c r="F604" s="57"/>
      <c r="G604" s="57"/>
      <c r="H604" s="57"/>
      <c r="I604" s="57"/>
      <c r="J604" s="57"/>
      <c r="K604" s="57"/>
      <c r="L604" s="57"/>
      <c r="M604" s="57"/>
      <c r="N604" s="57"/>
      <c r="O604" s="57"/>
      <c r="P604" s="57"/>
      <c r="Q604" s="57"/>
      <c r="R604" s="2059"/>
      <c r="S604" s="254"/>
    </row>
    <row r="605" spans="1:19">
      <c r="A605" s="254"/>
      <c r="B605" s="57"/>
      <c r="C605" s="57"/>
      <c r="D605" s="57"/>
      <c r="E605" s="57"/>
      <c r="F605" s="57"/>
      <c r="G605" s="57"/>
      <c r="H605" s="57"/>
      <c r="I605" s="57"/>
      <c r="J605" s="57"/>
      <c r="K605" s="57"/>
      <c r="L605" s="57"/>
      <c r="M605" s="57"/>
      <c r="N605" s="57"/>
      <c r="O605" s="57"/>
      <c r="P605" s="57"/>
      <c r="Q605" s="57"/>
      <c r="R605" s="2059"/>
      <c r="S605" s="254"/>
    </row>
    <row r="606" spans="1:19">
      <c r="A606" s="254"/>
      <c r="B606" s="57"/>
      <c r="C606" s="57"/>
      <c r="D606" s="57"/>
      <c r="E606" s="57"/>
      <c r="F606" s="57"/>
      <c r="G606" s="57"/>
      <c r="H606" s="57"/>
      <c r="I606" s="57"/>
      <c r="J606" s="57"/>
      <c r="K606" s="57"/>
      <c r="L606" s="57"/>
      <c r="M606" s="57"/>
      <c r="N606" s="57"/>
      <c r="O606" s="57"/>
      <c r="P606" s="57"/>
      <c r="Q606" s="57"/>
      <c r="R606" s="2059"/>
      <c r="S606" s="254"/>
    </row>
    <row r="607" spans="1:19">
      <c r="A607" s="254"/>
      <c r="B607" s="57"/>
      <c r="C607" s="57"/>
      <c r="D607" s="57"/>
      <c r="E607" s="57"/>
      <c r="F607" s="57"/>
      <c r="G607" s="57"/>
      <c r="H607" s="57"/>
      <c r="I607" s="57"/>
      <c r="J607" s="57"/>
      <c r="K607" s="57"/>
      <c r="L607" s="57"/>
      <c r="M607" s="57"/>
      <c r="N607" s="57"/>
      <c r="O607" s="57"/>
      <c r="P607" s="57"/>
      <c r="Q607" s="57"/>
      <c r="R607" s="2059"/>
      <c r="S607" s="254"/>
    </row>
    <row r="608" spans="1:19">
      <c r="A608" s="254"/>
      <c r="B608" s="57"/>
      <c r="C608" s="57"/>
      <c r="D608" s="57"/>
      <c r="E608" s="57"/>
      <c r="F608" s="57"/>
      <c r="G608" s="57"/>
      <c r="H608" s="57"/>
      <c r="I608" s="57"/>
      <c r="J608" s="57"/>
      <c r="K608" s="57"/>
      <c r="L608" s="57"/>
      <c r="M608" s="57"/>
      <c r="N608" s="57"/>
      <c r="O608" s="57"/>
      <c r="P608" s="57"/>
      <c r="Q608" s="57"/>
      <c r="R608" s="2059"/>
      <c r="S608" s="254"/>
    </row>
    <row r="609" spans="1:19">
      <c r="A609" s="254"/>
      <c r="B609" s="57"/>
      <c r="C609" s="57"/>
      <c r="D609" s="57"/>
      <c r="E609" s="57"/>
      <c r="F609" s="57"/>
      <c r="G609" s="57"/>
      <c r="H609" s="57"/>
      <c r="I609" s="57"/>
      <c r="J609" s="57"/>
      <c r="K609" s="57"/>
      <c r="L609" s="57"/>
      <c r="M609" s="57"/>
      <c r="N609" s="57"/>
      <c r="O609" s="57"/>
      <c r="P609" s="57"/>
      <c r="Q609" s="57"/>
      <c r="R609" s="2059"/>
      <c r="S609" s="254"/>
    </row>
    <row r="610" spans="1:19">
      <c r="A610" s="254"/>
      <c r="B610" s="57"/>
      <c r="C610" s="57"/>
      <c r="D610" s="57"/>
      <c r="E610" s="57"/>
      <c r="F610" s="57"/>
      <c r="G610" s="57"/>
      <c r="H610" s="57"/>
      <c r="I610" s="57"/>
      <c r="J610" s="57"/>
      <c r="K610" s="57"/>
      <c r="L610" s="57"/>
      <c r="M610" s="57"/>
      <c r="N610" s="57"/>
      <c r="O610" s="57"/>
      <c r="P610" s="57"/>
      <c r="Q610" s="57"/>
      <c r="R610" s="2059"/>
      <c r="S610" s="254"/>
    </row>
    <row r="611" spans="1:19">
      <c r="A611" s="254"/>
      <c r="B611" s="57"/>
      <c r="C611" s="57"/>
      <c r="D611" s="57"/>
      <c r="E611" s="57"/>
      <c r="F611" s="57"/>
      <c r="G611" s="57"/>
      <c r="H611" s="57"/>
      <c r="I611" s="57"/>
      <c r="J611" s="57"/>
      <c r="K611" s="57"/>
      <c r="L611" s="57"/>
      <c r="M611" s="57"/>
      <c r="N611" s="57"/>
      <c r="O611" s="57"/>
      <c r="P611" s="57"/>
      <c r="Q611" s="57"/>
      <c r="R611" s="2059"/>
      <c r="S611" s="254"/>
    </row>
    <row r="612" spans="1:19">
      <c r="A612" s="254"/>
      <c r="B612" s="57"/>
      <c r="C612" s="57"/>
      <c r="D612" s="57"/>
      <c r="E612" s="57"/>
      <c r="F612" s="57"/>
      <c r="G612" s="57"/>
      <c r="H612" s="57"/>
      <c r="I612" s="57"/>
      <c r="J612" s="57"/>
      <c r="K612" s="57"/>
      <c r="L612" s="57"/>
      <c r="M612" s="57"/>
      <c r="N612" s="57"/>
      <c r="O612" s="57"/>
      <c r="P612" s="57"/>
      <c r="Q612" s="57"/>
      <c r="R612" s="2059"/>
      <c r="S612" s="254"/>
    </row>
    <row r="613" spans="1:19">
      <c r="A613" s="254"/>
      <c r="B613" s="57"/>
      <c r="C613" s="57"/>
      <c r="D613" s="57"/>
      <c r="E613" s="57"/>
      <c r="F613" s="57"/>
      <c r="G613" s="57"/>
      <c r="H613" s="57"/>
      <c r="I613" s="57"/>
      <c r="J613" s="57"/>
      <c r="K613" s="57"/>
      <c r="L613" s="57"/>
      <c r="M613" s="57"/>
      <c r="N613" s="57"/>
      <c r="O613" s="57"/>
      <c r="P613" s="57"/>
      <c r="Q613" s="57"/>
      <c r="R613" s="2059"/>
      <c r="S613" s="254"/>
    </row>
    <row r="614" spans="1:19">
      <c r="A614" s="254"/>
      <c r="B614" s="57"/>
      <c r="C614" s="57"/>
      <c r="D614" s="57"/>
      <c r="E614" s="57"/>
      <c r="F614" s="57"/>
      <c r="G614" s="57"/>
      <c r="H614" s="57"/>
      <c r="I614" s="57"/>
      <c r="J614" s="57"/>
      <c r="K614" s="57"/>
      <c r="L614" s="57"/>
      <c r="M614" s="57"/>
      <c r="N614" s="57"/>
      <c r="O614" s="57"/>
      <c r="P614" s="57"/>
      <c r="Q614" s="57"/>
      <c r="R614" s="2059"/>
      <c r="S614" s="254"/>
    </row>
    <row r="615" spans="1:19">
      <c r="A615" s="254"/>
      <c r="B615" s="57"/>
      <c r="C615" s="57"/>
      <c r="D615" s="57"/>
      <c r="E615" s="57"/>
      <c r="F615" s="57"/>
      <c r="G615" s="57"/>
      <c r="H615" s="57"/>
      <c r="I615" s="57"/>
      <c r="J615" s="57"/>
      <c r="K615" s="57"/>
      <c r="L615" s="57"/>
      <c r="M615" s="57"/>
      <c r="N615" s="57"/>
      <c r="O615" s="57"/>
      <c r="P615" s="57"/>
      <c r="Q615" s="57"/>
      <c r="R615" s="2059"/>
      <c r="S615" s="254"/>
    </row>
    <row r="616" spans="1:19">
      <c r="A616" s="254"/>
      <c r="B616" s="57"/>
      <c r="C616" s="57"/>
      <c r="D616" s="57"/>
      <c r="E616" s="57"/>
      <c r="F616" s="57"/>
      <c r="G616" s="57"/>
      <c r="H616" s="57"/>
      <c r="I616" s="57"/>
      <c r="J616" s="57"/>
      <c r="K616" s="57"/>
      <c r="L616" s="57"/>
      <c r="M616" s="57"/>
      <c r="N616" s="57"/>
      <c r="O616" s="57"/>
      <c r="P616" s="57"/>
      <c r="Q616" s="57"/>
      <c r="R616" s="2059"/>
      <c r="S616" s="254"/>
    </row>
    <row r="617" spans="1:19">
      <c r="A617" s="254"/>
      <c r="B617" s="57"/>
      <c r="C617" s="57"/>
      <c r="D617" s="57"/>
      <c r="E617" s="57"/>
      <c r="F617" s="57"/>
      <c r="G617" s="57"/>
      <c r="H617" s="57"/>
      <c r="I617" s="57"/>
      <c r="J617" s="57"/>
      <c r="K617" s="57"/>
      <c r="L617" s="57"/>
      <c r="M617" s="57"/>
      <c r="N617" s="57"/>
      <c r="O617" s="57"/>
      <c r="P617" s="57"/>
      <c r="Q617" s="57"/>
      <c r="R617" s="2059"/>
      <c r="S617" s="254"/>
    </row>
    <row r="618" spans="1:19">
      <c r="A618" s="254"/>
      <c r="B618" s="57"/>
      <c r="C618" s="57"/>
      <c r="D618" s="57"/>
      <c r="E618" s="57"/>
      <c r="F618" s="57"/>
      <c r="G618" s="57"/>
      <c r="H618" s="57"/>
      <c r="I618" s="57"/>
      <c r="J618" s="57"/>
      <c r="K618" s="57"/>
      <c r="L618" s="57"/>
      <c r="M618" s="57"/>
      <c r="N618" s="57"/>
      <c r="O618" s="57"/>
      <c r="P618" s="57"/>
      <c r="Q618" s="57"/>
      <c r="R618" s="2059"/>
      <c r="S618" s="254"/>
    </row>
    <row r="619" spans="1:19">
      <c r="A619" s="254"/>
      <c r="B619" s="57"/>
      <c r="C619" s="57"/>
      <c r="D619" s="57"/>
      <c r="E619" s="57"/>
      <c r="F619" s="57"/>
      <c r="G619" s="57"/>
      <c r="H619" s="57"/>
      <c r="I619" s="57"/>
      <c r="J619" s="57"/>
      <c r="K619" s="57"/>
      <c r="L619" s="57"/>
      <c r="M619" s="57"/>
      <c r="N619" s="57"/>
      <c r="O619" s="57"/>
      <c r="P619" s="57"/>
      <c r="Q619" s="57"/>
      <c r="R619" s="2059"/>
      <c r="S619" s="254"/>
    </row>
    <row r="620" spans="1:19">
      <c r="A620" s="254"/>
      <c r="B620" s="57"/>
      <c r="C620" s="57"/>
      <c r="D620" s="57"/>
      <c r="E620" s="57"/>
      <c r="F620" s="57"/>
      <c r="G620" s="57"/>
      <c r="H620" s="57"/>
      <c r="I620" s="57"/>
      <c r="J620" s="57"/>
      <c r="K620" s="57"/>
      <c r="L620" s="57"/>
      <c r="M620" s="57"/>
      <c r="N620" s="57"/>
      <c r="O620" s="57"/>
      <c r="P620" s="57"/>
      <c r="Q620" s="57"/>
      <c r="R620" s="2059"/>
      <c r="S620" s="254"/>
    </row>
    <row r="621" spans="1:19">
      <c r="A621" s="254"/>
      <c r="B621" s="57"/>
      <c r="C621" s="57"/>
      <c r="D621" s="57"/>
      <c r="E621" s="57"/>
      <c r="F621" s="57"/>
      <c r="G621" s="57"/>
      <c r="H621" s="57"/>
      <c r="I621" s="57"/>
      <c r="J621" s="57"/>
      <c r="K621" s="57"/>
      <c r="L621" s="57"/>
      <c r="M621" s="57"/>
      <c r="N621" s="57"/>
      <c r="O621" s="57"/>
      <c r="P621" s="57"/>
      <c r="Q621" s="57"/>
      <c r="R621" s="2059"/>
      <c r="S621" s="254"/>
    </row>
    <row r="622" spans="1:19">
      <c r="A622" s="254"/>
      <c r="B622" s="57"/>
      <c r="C622" s="57"/>
      <c r="D622" s="57"/>
      <c r="E622" s="57"/>
      <c r="F622" s="57"/>
      <c r="G622" s="57"/>
      <c r="H622" s="57"/>
      <c r="I622" s="57"/>
      <c r="J622" s="57"/>
      <c r="K622" s="57"/>
      <c r="L622" s="57"/>
      <c r="M622" s="57"/>
      <c r="N622" s="57"/>
      <c r="O622" s="57"/>
      <c r="P622" s="57"/>
      <c r="Q622" s="57"/>
      <c r="R622" s="2059"/>
      <c r="S622" s="254"/>
    </row>
    <row r="623" spans="1:19">
      <c r="A623" s="254"/>
      <c r="B623" s="57"/>
      <c r="C623" s="57"/>
      <c r="D623" s="57"/>
      <c r="E623" s="57"/>
      <c r="F623" s="57"/>
      <c r="G623" s="57"/>
      <c r="H623" s="57"/>
      <c r="I623" s="57"/>
      <c r="J623" s="57"/>
      <c r="K623" s="57"/>
      <c r="L623" s="57"/>
      <c r="M623" s="57"/>
      <c r="N623" s="57"/>
      <c r="O623" s="57"/>
      <c r="P623" s="57"/>
      <c r="Q623" s="57"/>
      <c r="R623" s="2059"/>
      <c r="S623" s="254"/>
    </row>
    <row r="624" spans="1:19">
      <c r="A624" s="254"/>
      <c r="B624" s="57"/>
      <c r="C624" s="57"/>
      <c r="D624" s="57"/>
      <c r="E624" s="57"/>
      <c r="F624" s="57"/>
      <c r="G624" s="57"/>
      <c r="H624" s="57"/>
      <c r="I624" s="57"/>
      <c r="J624" s="57"/>
      <c r="K624" s="57"/>
      <c r="L624" s="57"/>
      <c r="M624" s="57"/>
      <c r="N624" s="57"/>
      <c r="O624" s="57"/>
      <c r="P624" s="57"/>
      <c r="Q624" s="57"/>
      <c r="R624" s="2059"/>
      <c r="S624" s="254"/>
    </row>
    <row r="625" spans="1:19">
      <c r="A625" s="254"/>
      <c r="B625" s="57"/>
      <c r="C625" s="57"/>
      <c r="D625" s="57"/>
      <c r="E625" s="57"/>
      <c r="F625" s="57"/>
      <c r="G625" s="57"/>
      <c r="H625" s="57"/>
      <c r="I625" s="57"/>
      <c r="J625" s="57"/>
      <c r="K625" s="57"/>
      <c r="L625" s="57"/>
      <c r="M625" s="57"/>
      <c r="N625" s="57"/>
      <c r="O625" s="57"/>
      <c r="P625" s="57"/>
      <c r="Q625" s="57"/>
      <c r="R625" s="2059"/>
      <c r="S625" s="254"/>
    </row>
    <row r="626" spans="1:19">
      <c r="A626" s="254"/>
      <c r="B626" s="57"/>
      <c r="C626" s="57"/>
      <c r="D626" s="57"/>
      <c r="E626" s="57"/>
      <c r="F626" s="57"/>
      <c r="G626" s="57"/>
      <c r="H626" s="57"/>
      <c r="I626" s="57"/>
      <c r="J626" s="57"/>
      <c r="K626" s="57"/>
      <c r="L626" s="57"/>
      <c r="M626" s="57"/>
      <c r="N626" s="57"/>
      <c r="O626" s="57"/>
      <c r="P626" s="57"/>
      <c r="Q626" s="57"/>
      <c r="R626" s="2059"/>
      <c r="S626" s="254"/>
    </row>
    <row r="627" spans="1:19">
      <c r="A627" s="254"/>
      <c r="B627" s="57"/>
      <c r="C627" s="57"/>
      <c r="D627" s="57"/>
      <c r="E627" s="57"/>
      <c r="F627" s="57"/>
      <c r="G627" s="57"/>
      <c r="H627" s="57"/>
      <c r="I627" s="57"/>
      <c r="J627" s="57"/>
      <c r="K627" s="57"/>
      <c r="L627" s="57"/>
      <c r="M627" s="57"/>
      <c r="N627" s="57"/>
      <c r="O627" s="57"/>
      <c r="P627" s="57"/>
      <c r="Q627" s="57"/>
      <c r="R627" s="2059"/>
      <c r="S627" s="254"/>
    </row>
    <row r="628" spans="1:19">
      <c r="A628" s="254"/>
      <c r="B628" s="57"/>
      <c r="C628" s="57"/>
      <c r="D628" s="57"/>
      <c r="E628" s="57"/>
      <c r="F628" s="57"/>
      <c r="G628" s="57"/>
      <c r="H628" s="57"/>
      <c r="I628" s="57"/>
      <c r="J628" s="57"/>
      <c r="K628" s="57"/>
      <c r="L628" s="57"/>
      <c r="M628" s="57"/>
      <c r="N628" s="57"/>
      <c r="O628" s="57"/>
      <c r="P628" s="57"/>
      <c r="Q628" s="57"/>
      <c r="R628" s="2059"/>
      <c r="S628" s="254"/>
    </row>
    <row r="629" spans="1:19">
      <c r="A629" s="254"/>
      <c r="B629" s="57"/>
      <c r="C629" s="57"/>
      <c r="D629" s="57"/>
      <c r="E629" s="57"/>
      <c r="F629" s="57"/>
      <c r="G629" s="57"/>
      <c r="H629" s="57"/>
      <c r="I629" s="57"/>
      <c r="J629" s="57"/>
      <c r="K629" s="57"/>
      <c r="L629" s="57"/>
      <c r="M629" s="57"/>
      <c r="N629" s="57"/>
      <c r="O629" s="57"/>
      <c r="P629" s="57"/>
      <c r="Q629" s="57"/>
      <c r="R629" s="2059"/>
      <c r="S629" s="254"/>
    </row>
    <row r="630" spans="1:19">
      <c r="A630" s="254"/>
      <c r="B630" s="57"/>
      <c r="C630" s="57"/>
      <c r="D630" s="57"/>
      <c r="E630" s="57"/>
      <c r="F630" s="57"/>
      <c r="G630" s="57"/>
      <c r="H630" s="57"/>
      <c r="I630" s="57"/>
      <c r="J630" s="57"/>
      <c r="K630" s="57"/>
      <c r="L630" s="57"/>
      <c r="M630" s="57"/>
      <c r="N630" s="57"/>
      <c r="O630" s="57"/>
      <c r="P630" s="57"/>
      <c r="Q630" s="57"/>
      <c r="R630" s="2059"/>
      <c r="S630" s="254"/>
    </row>
    <row r="631" spans="1:19">
      <c r="A631" s="254"/>
      <c r="B631" s="57"/>
      <c r="C631" s="57"/>
      <c r="D631" s="57"/>
      <c r="E631" s="57"/>
      <c r="F631" s="57"/>
      <c r="G631" s="57"/>
      <c r="H631" s="57"/>
      <c r="I631" s="57"/>
      <c r="J631" s="57"/>
      <c r="K631" s="57"/>
      <c r="L631" s="57"/>
      <c r="M631" s="57"/>
      <c r="N631" s="57"/>
      <c r="O631" s="57"/>
      <c r="P631" s="57"/>
      <c r="Q631" s="57"/>
      <c r="R631" s="2059"/>
      <c r="S631" s="254"/>
    </row>
    <row r="632" spans="1:19">
      <c r="A632" s="254"/>
      <c r="B632" s="57"/>
      <c r="C632" s="57"/>
      <c r="D632" s="57"/>
      <c r="E632" s="57"/>
      <c r="F632" s="57"/>
      <c r="G632" s="57"/>
      <c r="H632" s="57"/>
      <c r="I632" s="57"/>
      <c r="J632" s="57"/>
      <c r="K632" s="57"/>
      <c r="L632" s="57"/>
      <c r="M632" s="57"/>
      <c r="N632" s="57"/>
      <c r="O632" s="57"/>
      <c r="P632" s="57"/>
      <c r="Q632" s="57"/>
      <c r="R632" s="2059"/>
      <c r="S632" s="254"/>
    </row>
    <row r="633" spans="1:19">
      <c r="A633" s="254"/>
      <c r="B633" s="57"/>
      <c r="C633" s="57"/>
      <c r="D633" s="57"/>
      <c r="E633" s="57"/>
      <c r="F633" s="57"/>
      <c r="G633" s="57"/>
      <c r="H633" s="57"/>
      <c r="I633" s="57"/>
      <c r="J633" s="57"/>
      <c r="K633" s="57"/>
      <c r="L633" s="57"/>
      <c r="M633" s="57"/>
      <c r="N633" s="57"/>
      <c r="O633" s="57"/>
      <c r="P633" s="57"/>
      <c r="Q633" s="57"/>
      <c r="R633" s="2059"/>
      <c r="S633" s="254"/>
    </row>
    <row r="634" spans="1:19">
      <c r="A634" s="254"/>
      <c r="B634" s="57"/>
      <c r="C634" s="57"/>
      <c r="D634" s="57"/>
      <c r="E634" s="57"/>
      <c r="F634" s="57"/>
      <c r="G634" s="57"/>
      <c r="H634" s="57"/>
      <c r="I634" s="57"/>
      <c r="J634" s="57"/>
      <c r="K634" s="57"/>
      <c r="L634" s="57"/>
      <c r="M634" s="57"/>
      <c r="N634" s="57"/>
      <c r="O634" s="57"/>
      <c r="P634" s="57"/>
      <c r="Q634" s="57"/>
      <c r="R634" s="2059"/>
      <c r="S634" s="254"/>
    </row>
    <row r="635" spans="1:19">
      <c r="A635" s="254"/>
      <c r="B635" s="57"/>
      <c r="C635" s="57"/>
      <c r="D635" s="57"/>
      <c r="E635" s="57"/>
      <c r="F635" s="57"/>
      <c r="G635" s="57"/>
      <c r="H635" s="57"/>
      <c r="I635" s="57"/>
      <c r="J635" s="57"/>
      <c r="K635" s="57"/>
      <c r="L635" s="57"/>
      <c r="M635" s="57"/>
      <c r="N635" s="57"/>
      <c r="O635" s="57"/>
      <c r="P635" s="57"/>
      <c r="Q635" s="57"/>
      <c r="R635" s="2059"/>
      <c r="S635" s="254"/>
    </row>
    <row r="636" spans="1:19">
      <c r="A636" s="254"/>
      <c r="B636" s="57"/>
      <c r="C636" s="57"/>
      <c r="D636" s="57"/>
      <c r="E636" s="57"/>
      <c r="F636" s="57"/>
      <c r="G636" s="57"/>
      <c r="H636" s="57"/>
      <c r="I636" s="57"/>
      <c r="J636" s="57"/>
      <c r="K636" s="57"/>
      <c r="L636" s="57"/>
      <c r="M636" s="57"/>
      <c r="N636" s="57"/>
      <c r="O636" s="57"/>
      <c r="P636" s="57"/>
      <c r="Q636" s="57"/>
      <c r="R636" s="2059"/>
      <c r="S636" s="254"/>
    </row>
    <row r="637" spans="1:19">
      <c r="A637" s="254"/>
      <c r="B637" s="57"/>
      <c r="C637" s="57"/>
      <c r="D637" s="57"/>
      <c r="E637" s="57"/>
      <c r="F637" s="57"/>
      <c r="G637" s="57"/>
      <c r="H637" s="57"/>
      <c r="I637" s="57"/>
      <c r="J637" s="57"/>
      <c r="K637" s="57"/>
      <c r="L637" s="57"/>
      <c r="M637" s="57"/>
      <c r="N637" s="57"/>
      <c r="O637" s="57"/>
      <c r="P637" s="57"/>
      <c r="Q637" s="57"/>
      <c r="R637" s="2059"/>
      <c r="S637" s="254"/>
    </row>
    <row r="638" spans="1:19">
      <c r="A638" s="254"/>
      <c r="B638" s="57"/>
      <c r="C638" s="57"/>
      <c r="D638" s="57"/>
      <c r="E638" s="57"/>
      <c r="F638" s="57"/>
      <c r="G638" s="57"/>
      <c r="H638" s="57"/>
      <c r="I638" s="57"/>
      <c r="J638" s="57"/>
      <c r="K638" s="57"/>
      <c r="L638" s="57"/>
      <c r="M638" s="57"/>
      <c r="N638" s="57"/>
      <c r="O638" s="57"/>
      <c r="P638" s="57"/>
      <c r="Q638" s="57"/>
      <c r="R638" s="2059"/>
      <c r="S638" s="254"/>
    </row>
    <row r="639" spans="1:19">
      <c r="A639" s="254"/>
      <c r="B639" s="57"/>
      <c r="C639" s="57"/>
      <c r="D639" s="57"/>
      <c r="E639" s="57"/>
      <c r="F639" s="57"/>
      <c r="G639" s="57"/>
      <c r="H639" s="57"/>
      <c r="I639" s="57"/>
      <c r="J639" s="57"/>
      <c r="K639" s="57"/>
      <c r="L639" s="57"/>
      <c r="M639" s="57"/>
      <c r="N639" s="57"/>
      <c r="O639" s="57"/>
      <c r="P639" s="57"/>
      <c r="Q639" s="57"/>
      <c r="R639" s="2059"/>
      <c r="S639" s="254"/>
    </row>
    <row r="640" spans="1:19">
      <c r="A640" s="254"/>
      <c r="B640" s="57"/>
      <c r="C640" s="57"/>
      <c r="D640" s="57"/>
      <c r="E640" s="57"/>
      <c r="F640" s="57"/>
      <c r="G640" s="57"/>
      <c r="H640" s="57"/>
      <c r="I640" s="57"/>
      <c r="J640" s="57"/>
      <c r="K640" s="57"/>
      <c r="L640" s="57"/>
      <c r="M640" s="57"/>
      <c r="N640" s="57"/>
      <c r="O640" s="57"/>
      <c r="P640" s="57"/>
      <c r="Q640" s="57"/>
      <c r="R640" s="2059"/>
      <c r="S640" s="254"/>
    </row>
    <row r="641" spans="1:19">
      <c r="A641" s="254"/>
      <c r="B641" s="57"/>
      <c r="C641" s="57"/>
      <c r="D641" s="57"/>
      <c r="E641" s="57"/>
      <c r="F641" s="57"/>
      <c r="G641" s="57"/>
      <c r="H641" s="57"/>
      <c r="I641" s="57"/>
      <c r="J641" s="57"/>
      <c r="K641" s="57"/>
      <c r="L641" s="57"/>
      <c r="M641" s="57"/>
      <c r="N641" s="57"/>
      <c r="O641" s="57"/>
      <c r="P641" s="57"/>
      <c r="Q641" s="57"/>
      <c r="R641" s="2059"/>
      <c r="S641" s="254"/>
    </row>
    <row r="642" spans="1:19">
      <c r="A642" s="254"/>
      <c r="B642" s="57"/>
      <c r="C642" s="57"/>
      <c r="D642" s="57"/>
      <c r="E642" s="57"/>
      <c r="F642" s="57"/>
      <c r="G642" s="57"/>
      <c r="H642" s="57"/>
      <c r="I642" s="57"/>
      <c r="J642" s="57"/>
      <c r="K642" s="57"/>
      <c r="L642" s="57"/>
      <c r="M642" s="57"/>
      <c r="N642" s="57"/>
      <c r="O642" s="57"/>
      <c r="P642" s="57"/>
      <c r="Q642" s="57"/>
      <c r="R642" s="2059"/>
      <c r="S642" s="254"/>
    </row>
    <row r="643" spans="1:19">
      <c r="A643" s="254"/>
      <c r="B643" s="57"/>
      <c r="C643" s="57"/>
      <c r="D643" s="57"/>
      <c r="E643" s="57"/>
      <c r="F643" s="57"/>
      <c r="G643" s="57"/>
      <c r="H643" s="57"/>
      <c r="I643" s="57"/>
      <c r="J643" s="57"/>
      <c r="K643" s="57"/>
      <c r="L643" s="57"/>
      <c r="M643" s="57"/>
      <c r="N643" s="57"/>
      <c r="O643" s="57"/>
      <c r="P643" s="57"/>
      <c r="Q643" s="57"/>
      <c r="R643" s="2059"/>
      <c r="S643" s="254"/>
    </row>
    <row r="644" spans="1:19">
      <c r="A644" s="254"/>
      <c r="B644" s="57"/>
      <c r="C644" s="57"/>
      <c r="D644" s="57"/>
      <c r="E644" s="57"/>
      <c r="F644" s="57"/>
      <c r="G644" s="57"/>
      <c r="H644" s="57"/>
      <c r="I644" s="57"/>
      <c r="J644" s="57"/>
      <c r="K644" s="57"/>
      <c r="L644" s="57"/>
      <c r="M644" s="57"/>
      <c r="N644" s="57"/>
      <c r="O644" s="57"/>
      <c r="P644" s="57"/>
      <c r="Q644" s="57"/>
      <c r="R644" s="2059"/>
      <c r="S644" s="254"/>
    </row>
    <row r="645" spans="1:19">
      <c r="A645" s="254"/>
      <c r="B645" s="57"/>
      <c r="C645" s="57"/>
      <c r="D645" s="57"/>
      <c r="E645" s="57"/>
      <c r="F645" s="57"/>
      <c r="G645" s="57"/>
      <c r="H645" s="57"/>
      <c r="I645" s="57"/>
      <c r="J645" s="57"/>
      <c r="K645" s="57"/>
      <c r="L645" s="57"/>
      <c r="M645" s="57"/>
      <c r="N645" s="57"/>
      <c r="O645" s="57"/>
      <c r="P645" s="57"/>
      <c r="Q645" s="57"/>
      <c r="R645" s="2059"/>
      <c r="S645" s="254"/>
    </row>
    <row r="646" spans="1:19">
      <c r="A646" s="254"/>
      <c r="B646" s="57"/>
      <c r="C646" s="57"/>
      <c r="D646" s="57"/>
      <c r="E646" s="57"/>
      <c r="F646" s="57"/>
      <c r="G646" s="57"/>
      <c r="H646" s="57"/>
      <c r="I646" s="57"/>
      <c r="J646" s="57"/>
      <c r="K646" s="57"/>
      <c r="L646" s="57"/>
      <c r="M646" s="57"/>
      <c r="N646" s="57"/>
      <c r="O646" s="57"/>
      <c r="P646" s="57"/>
      <c r="Q646" s="57"/>
      <c r="R646" s="2059"/>
      <c r="S646" s="254"/>
    </row>
    <row r="647" spans="1:19">
      <c r="A647" s="254"/>
      <c r="B647" s="57"/>
      <c r="C647" s="57"/>
      <c r="D647" s="57"/>
      <c r="E647" s="57"/>
      <c r="F647" s="57"/>
      <c r="G647" s="57"/>
      <c r="H647" s="57"/>
      <c r="I647" s="57"/>
      <c r="J647" s="57"/>
      <c r="K647" s="57"/>
      <c r="L647" s="57"/>
      <c r="M647" s="57"/>
      <c r="N647" s="57"/>
      <c r="O647" s="57"/>
      <c r="P647" s="57"/>
      <c r="Q647" s="57"/>
      <c r="R647" s="2059"/>
      <c r="S647" s="254"/>
    </row>
    <row r="648" spans="1:19">
      <c r="A648" s="254"/>
      <c r="B648" s="57"/>
      <c r="C648" s="57"/>
      <c r="D648" s="57"/>
      <c r="E648" s="57"/>
      <c r="F648" s="57"/>
      <c r="G648" s="57"/>
      <c r="H648" s="57"/>
      <c r="I648" s="57"/>
      <c r="J648" s="57"/>
      <c r="K648" s="57"/>
      <c r="L648" s="57"/>
      <c r="M648" s="57"/>
      <c r="N648" s="57"/>
      <c r="O648" s="57"/>
      <c r="P648" s="57"/>
      <c r="Q648" s="57"/>
      <c r="R648" s="2059"/>
      <c r="S648" s="254"/>
    </row>
    <row r="649" spans="1:19">
      <c r="A649" s="254"/>
      <c r="B649" s="57"/>
      <c r="C649" s="57"/>
      <c r="D649" s="57"/>
      <c r="E649" s="57"/>
      <c r="F649" s="57"/>
      <c r="G649" s="57"/>
      <c r="H649" s="57"/>
      <c r="I649" s="57"/>
      <c r="J649" s="57"/>
      <c r="K649" s="57"/>
      <c r="L649" s="57"/>
      <c r="M649" s="57"/>
      <c r="N649" s="57"/>
      <c r="O649" s="57"/>
      <c r="P649" s="57"/>
      <c r="Q649" s="57"/>
      <c r="R649" s="2059"/>
      <c r="S649" s="254"/>
    </row>
    <row r="650" spans="1:19">
      <c r="A650" s="254"/>
      <c r="B650" s="57"/>
      <c r="C650" s="57"/>
      <c r="D650" s="57"/>
      <c r="E650" s="57"/>
      <c r="F650" s="57"/>
      <c r="G650" s="57"/>
      <c r="H650" s="57"/>
      <c r="I650" s="57"/>
      <c r="J650" s="57"/>
      <c r="K650" s="57"/>
      <c r="L650" s="57"/>
      <c r="M650" s="57"/>
      <c r="N650" s="57"/>
      <c r="O650" s="57"/>
      <c r="P650" s="57"/>
      <c r="Q650" s="57"/>
      <c r="R650" s="2059"/>
      <c r="S650" s="254"/>
    </row>
    <row r="651" spans="1:19">
      <c r="A651" s="254"/>
      <c r="B651" s="57"/>
      <c r="C651" s="57"/>
      <c r="D651" s="57"/>
      <c r="E651" s="57"/>
      <c r="F651" s="57"/>
      <c r="G651" s="57"/>
      <c r="H651" s="57"/>
      <c r="I651" s="57"/>
      <c r="J651" s="57"/>
      <c r="K651" s="57"/>
      <c r="L651" s="57"/>
      <c r="M651" s="57"/>
      <c r="N651" s="57"/>
      <c r="O651" s="57"/>
      <c r="P651" s="57"/>
      <c r="Q651" s="57"/>
      <c r="R651" s="2059"/>
      <c r="S651" s="254"/>
    </row>
    <row r="652" spans="1:19">
      <c r="A652" s="254"/>
      <c r="B652" s="57"/>
      <c r="C652" s="57"/>
      <c r="D652" s="57"/>
      <c r="E652" s="57"/>
      <c r="F652" s="57"/>
      <c r="G652" s="57"/>
      <c r="H652" s="57"/>
      <c r="I652" s="57"/>
      <c r="J652" s="57"/>
      <c r="K652" s="57"/>
      <c r="L652" s="57"/>
      <c r="M652" s="57"/>
      <c r="N652" s="57"/>
      <c r="O652" s="57"/>
      <c r="P652" s="57"/>
      <c r="Q652" s="57"/>
      <c r="R652" s="2059"/>
      <c r="S652" s="254"/>
    </row>
    <row r="653" spans="1:19">
      <c r="A653" s="254"/>
      <c r="B653" s="57"/>
      <c r="C653" s="57"/>
      <c r="D653" s="57"/>
      <c r="E653" s="57"/>
      <c r="F653" s="57"/>
      <c r="G653" s="57"/>
      <c r="H653" s="57"/>
      <c r="I653" s="57"/>
      <c r="J653" s="57"/>
      <c r="K653" s="57"/>
      <c r="L653" s="57"/>
      <c r="M653" s="57"/>
      <c r="N653" s="57"/>
      <c r="O653" s="57"/>
      <c r="P653" s="57"/>
      <c r="Q653" s="57"/>
      <c r="R653" s="2059"/>
      <c r="S653" s="254"/>
    </row>
    <row r="654" spans="1:19">
      <c r="A654" s="254"/>
      <c r="B654" s="57"/>
      <c r="C654" s="57"/>
      <c r="D654" s="57"/>
      <c r="E654" s="57"/>
      <c r="F654" s="57"/>
      <c r="G654" s="57"/>
      <c r="H654" s="57"/>
      <c r="I654" s="57"/>
      <c r="J654" s="57"/>
      <c r="K654" s="57"/>
      <c r="L654" s="57"/>
      <c r="M654" s="57"/>
      <c r="N654" s="57"/>
      <c r="O654" s="57"/>
      <c r="P654" s="57"/>
      <c r="Q654" s="57"/>
      <c r="R654" s="2059"/>
      <c r="S654" s="254"/>
    </row>
    <row r="655" spans="1:19">
      <c r="A655" s="254"/>
      <c r="B655" s="57"/>
      <c r="C655" s="57"/>
      <c r="D655" s="57"/>
      <c r="E655" s="57"/>
      <c r="F655" s="57"/>
      <c r="G655" s="57"/>
      <c r="H655" s="57"/>
      <c r="I655" s="57"/>
      <c r="J655" s="57"/>
      <c r="K655" s="57"/>
      <c r="L655" s="57"/>
      <c r="M655" s="57"/>
      <c r="N655" s="57"/>
      <c r="O655" s="57"/>
      <c r="P655" s="57"/>
      <c r="Q655" s="57"/>
      <c r="R655" s="2059"/>
      <c r="S655" s="254"/>
    </row>
    <row r="656" spans="1:19">
      <c r="A656" s="254"/>
      <c r="B656" s="57"/>
      <c r="C656" s="57"/>
      <c r="D656" s="57"/>
      <c r="E656" s="57"/>
      <c r="F656" s="57"/>
      <c r="G656" s="57"/>
      <c r="H656" s="57"/>
      <c r="I656" s="57"/>
      <c r="J656" s="57"/>
      <c r="K656" s="57"/>
      <c r="L656" s="57"/>
      <c r="M656" s="57"/>
      <c r="N656" s="57"/>
      <c r="O656" s="57"/>
      <c r="P656" s="57"/>
      <c r="Q656" s="57"/>
      <c r="R656" s="2059"/>
      <c r="S656" s="254"/>
    </row>
    <row r="657" spans="1:19">
      <c r="A657" s="254"/>
      <c r="B657" s="57"/>
      <c r="C657" s="57"/>
      <c r="D657" s="57"/>
      <c r="E657" s="57"/>
      <c r="F657" s="57"/>
      <c r="G657" s="57"/>
      <c r="H657" s="57"/>
      <c r="I657" s="57"/>
      <c r="J657" s="57"/>
      <c r="K657" s="57"/>
      <c r="L657" s="57"/>
      <c r="M657" s="57"/>
      <c r="N657" s="57"/>
      <c r="O657" s="57"/>
      <c r="P657" s="57"/>
      <c r="Q657" s="57"/>
      <c r="R657" s="2059"/>
      <c r="S657" s="254"/>
    </row>
    <row r="658" spans="1:19">
      <c r="A658" s="254"/>
      <c r="B658" s="57"/>
      <c r="C658" s="57"/>
      <c r="D658" s="57"/>
      <c r="E658" s="57"/>
      <c r="F658" s="57"/>
      <c r="G658" s="57"/>
      <c r="H658" s="57"/>
      <c r="I658" s="57"/>
      <c r="J658" s="57"/>
      <c r="K658" s="57"/>
      <c r="L658" s="57"/>
      <c r="M658" s="57"/>
      <c r="N658" s="57"/>
      <c r="O658" s="57"/>
      <c r="P658" s="57"/>
      <c r="Q658" s="57"/>
      <c r="R658" s="2059"/>
      <c r="S658" s="254"/>
    </row>
    <row r="659" spans="1:19">
      <c r="A659" s="254"/>
      <c r="B659" s="57"/>
      <c r="C659" s="57"/>
      <c r="D659" s="57"/>
      <c r="E659" s="57"/>
      <c r="F659" s="57"/>
      <c r="G659" s="57"/>
      <c r="H659" s="57"/>
      <c r="I659" s="57"/>
      <c r="J659" s="57"/>
      <c r="K659" s="57"/>
      <c r="L659" s="57"/>
      <c r="M659" s="57"/>
      <c r="N659" s="57"/>
      <c r="O659" s="57"/>
      <c r="P659" s="57"/>
      <c r="Q659" s="57"/>
      <c r="R659" s="2059"/>
      <c r="S659" s="254"/>
    </row>
    <row r="660" spans="1:19">
      <c r="A660" s="254"/>
      <c r="B660" s="57"/>
      <c r="C660" s="57"/>
      <c r="D660" s="57"/>
      <c r="E660" s="57"/>
      <c r="F660" s="57"/>
      <c r="G660" s="57"/>
      <c r="H660" s="57"/>
      <c r="I660" s="57"/>
      <c r="J660" s="57"/>
      <c r="K660" s="57"/>
      <c r="L660" s="57"/>
      <c r="M660" s="57"/>
      <c r="N660" s="57"/>
      <c r="O660" s="57"/>
      <c r="P660" s="57"/>
      <c r="Q660" s="57"/>
      <c r="R660" s="2059"/>
      <c r="S660" s="254"/>
    </row>
    <row r="661" spans="1:19">
      <c r="A661" s="254"/>
      <c r="B661" s="57"/>
      <c r="C661" s="57"/>
      <c r="D661" s="57"/>
      <c r="E661" s="57"/>
      <c r="F661" s="57"/>
      <c r="G661" s="57"/>
      <c r="H661" s="57"/>
      <c r="I661" s="57"/>
      <c r="J661" s="57"/>
      <c r="K661" s="57"/>
      <c r="L661" s="57"/>
      <c r="M661" s="57"/>
      <c r="N661" s="57"/>
      <c r="O661" s="57"/>
      <c r="P661" s="57"/>
      <c r="Q661" s="57"/>
      <c r="R661" s="2059"/>
      <c r="S661" s="254"/>
    </row>
    <row r="662" spans="1:19">
      <c r="A662" s="254"/>
      <c r="B662" s="57"/>
      <c r="C662" s="57"/>
      <c r="D662" s="57"/>
      <c r="E662" s="57"/>
      <c r="F662" s="57"/>
      <c r="G662" s="57"/>
      <c r="H662" s="57"/>
      <c r="I662" s="57"/>
      <c r="J662" s="57"/>
      <c r="K662" s="57"/>
      <c r="L662" s="57"/>
      <c r="M662" s="57"/>
      <c r="N662" s="57"/>
      <c r="O662" s="57"/>
      <c r="P662" s="57"/>
      <c r="Q662" s="57"/>
      <c r="R662" s="2059"/>
      <c r="S662" s="254"/>
    </row>
    <row r="663" spans="1:19">
      <c r="A663" s="254"/>
      <c r="B663" s="57"/>
      <c r="C663" s="57"/>
      <c r="D663" s="57"/>
      <c r="E663" s="57"/>
      <c r="F663" s="57"/>
      <c r="G663" s="57"/>
      <c r="H663" s="57"/>
      <c r="I663" s="57"/>
      <c r="J663" s="57"/>
      <c r="K663" s="57"/>
      <c r="L663" s="57"/>
      <c r="M663" s="57"/>
      <c r="N663" s="57"/>
      <c r="O663" s="57"/>
      <c r="P663" s="57"/>
      <c r="Q663" s="57"/>
      <c r="R663" s="2059"/>
      <c r="S663" s="254"/>
    </row>
    <row r="664" spans="1:19">
      <c r="A664" s="254"/>
      <c r="B664" s="57"/>
      <c r="C664" s="57"/>
      <c r="D664" s="57"/>
      <c r="E664" s="57"/>
      <c r="F664" s="57"/>
      <c r="G664" s="57"/>
      <c r="H664" s="57"/>
      <c r="I664" s="57"/>
      <c r="J664" s="57"/>
      <c r="K664" s="57"/>
      <c r="L664" s="57"/>
      <c r="M664" s="57"/>
      <c r="N664" s="57"/>
      <c r="O664" s="57"/>
      <c r="P664" s="57"/>
      <c r="Q664" s="57"/>
      <c r="R664" s="2059"/>
      <c r="S664" s="254"/>
    </row>
    <row r="665" spans="1:19">
      <c r="A665" s="254"/>
      <c r="B665" s="57"/>
      <c r="C665" s="57"/>
      <c r="D665" s="57"/>
      <c r="E665" s="57"/>
      <c r="F665" s="57"/>
      <c r="G665" s="57"/>
      <c r="H665" s="57"/>
      <c r="I665" s="57"/>
      <c r="J665" s="57"/>
      <c r="K665" s="57"/>
      <c r="L665" s="57"/>
      <c r="M665" s="57"/>
      <c r="N665" s="57"/>
      <c r="O665" s="57"/>
      <c r="P665" s="57"/>
      <c r="Q665" s="57"/>
      <c r="R665" s="2059"/>
      <c r="S665" s="254"/>
    </row>
    <row r="666" spans="1:19">
      <c r="A666" s="254"/>
      <c r="B666" s="57"/>
      <c r="C666" s="57"/>
      <c r="D666" s="57"/>
      <c r="E666" s="57"/>
      <c r="F666" s="57"/>
      <c r="G666" s="57"/>
      <c r="H666" s="57"/>
      <c r="I666" s="57"/>
      <c r="J666" s="57"/>
      <c r="K666" s="57"/>
      <c r="L666" s="57"/>
      <c r="M666" s="57"/>
      <c r="N666" s="57"/>
      <c r="O666" s="57"/>
      <c r="P666" s="57"/>
      <c r="Q666" s="57"/>
      <c r="R666" s="2059"/>
      <c r="S666" s="254"/>
    </row>
    <row r="667" spans="1:19">
      <c r="A667" s="254"/>
      <c r="B667" s="57"/>
      <c r="C667" s="57"/>
      <c r="D667" s="57"/>
      <c r="E667" s="57"/>
      <c r="F667" s="57"/>
      <c r="G667" s="57"/>
      <c r="H667" s="57"/>
      <c r="I667" s="57"/>
      <c r="J667" s="57"/>
      <c r="K667" s="57"/>
      <c r="L667" s="57"/>
      <c r="M667" s="57"/>
      <c r="N667" s="57"/>
      <c r="O667" s="57"/>
      <c r="P667" s="57"/>
      <c r="Q667" s="57"/>
      <c r="R667" s="2059"/>
      <c r="S667" s="254"/>
    </row>
    <row r="668" spans="1:19">
      <c r="A668" s="254"/>
      <c r="B668" s="57"/>
      <c r="C668" s="57"/>
      <c r="D668" s="57"/>
      <c r="E668" s="57"/>
      <c r="F668" s="57"/>
      <c r="G668" s="57"/>
      <c r="H668" s="57"/>
      <c r="I668" s="57"/>
      <c r="J668" s="57"/>
      <c r="K668" s="57"/>
      <c r="L668" s="57"/>
      <c r="M668" s="57"/>
      <c r="N668" s="57"/>
      <c r="O668" s="57"/>
      <c r="P668" s="57"/>
      <c r="Q668" s="57"/>
      <c r="R668" s="2059"/>
      <c r="S668" s="254"/>
    </row>
    <row r="669" spans="1:19">
      <c r="A669" s="254"/>
      <c r="B669" s="57"/>
      <c r="C669" s="57"/>
      <c r="D669" s="57"/>
      <c r="E669" s="57"/>
      <c r="F669" s="57"/>
      <c r="G669" s="57"/>
      <c r="H669" s="57"/>
      <c r="I669" s="57"/>
      <c r="J669" s="57"/>
      <c r="K669" s="57"/>
      <c r="L669" s="57"/>
      <c r="M669" s="57"/>
      <c r="N669" s="57"/>
      <c r="O669" s="57"/>
      <c r="P669" s="57"/>
      <c r="Q669" s="57"/>
      <c r="R669" s="2059"/>
      <c r="S669" s="254"/>
    </row>
    <row r="670" spans="1:19">
      <c r="A670" s="254"/>
      <c r="B670" s="57"/>
      <c r="C670" s="57"/>
      <c r="D670" s="57"/>
      <c r="E670" s="57"/>
      <c r="F670" s="57"/>
      <c r="G670" s="57"/>
      <c r="H670" s="57"/>
      <c r="I670" s="57"/>
      <c r="J670" s="57"/>
      <c r="K670" s="57"/>
      <c r="L670" s="57"/>
      <c r="M670" s="57"/>
      <c r="N670" s="57"/>
      <c r="O670" s="57"/>
      <c r="P670" s="57"/>
      <c r="Q670" s="57"/>
      <c r="R670" s="2059"/>
      <c r="S670" s="254"/>
    </row>
    <row r="671" spans="1:19">
      <c r="A671" s="254"/>
      <c r="B671" s="57"/>
      <c r="C671" s="57"/>
      <c r="D671" s="57"/>
      <c r="E671" s="57"/>
      <c r="F671" s="57"/>
      <c r="G671" s="57"/>
      <c r="H671" s="57"/>
      <c r="I671" s="57"/>
      <c r="J671" s="57"/>
      <c r="K671" s="57"/>
      <c r="L671" s="57"/>
      <c r="M671" s="57"/>
      <c r="N671" s="57"/>
      <c r="O671" s="57"/>
      <c r="P671" s="57"/>
      <c r="Q671" s="57"/>
      <c r="R671" s="2059"/>
      <c r="S671" s="254"/>
    </row>
    <row r="672" spans="1:19">
      <c r="A672" s="254"/>
      <c r="B672" s="57"/>
      <c r="C672" s="57"/>
      <c r="D672" s="57"/>
      <c r="E672" s="57"/>
      <c r="F672" s="57"/>
      <c r="G672" s="57"/>
      <c r="H672" s="57"/>
      <c r="I672" s="57"/>
      <c r="J672" s="57"/>
      <c r="K672" s="57"/>
      <c r="L672" s="57"/>
      <c r="M672" s="57"/>
      <c r="N672" s="57"/>
      <c r="O672" s="57"/>
      <c r="P672" s="57"/>
      <c r="Q672" s="57"/>
      <c r="R672" s="2059"/>
      <c r="S672" s="254"/>
    </row>
    <row r="673" spans="1:19">
      <c r="A673" s="254"/>
      <c r="B673" s="57"/>
      <c r="C673" s="57"/>
      <c r="D673" s="57"/>
      <c r="E673" s="57"/>
      <c r="F673" s="57"/>
      <c r="G673" s="57"/>
      <c r="H673" s="57"/>
      <c r="I673" s="57"/>
      <c r="J673" s="57"/>
      <c r="K673" s="57"/>
      <c r="L673" s="57"/>
      <c r="M673" s="57"/>
      <c r="N673" s="57"/>
      <c r="O673" s="57"/>
      <c r="P673" s="57"/>
      <c r="Q673" s="57"/>
      <c r="R673" s="2059"/>
      <c r="S673" s="254"/>
    </row>
    <row r="674" spans="1:19">
      <c r="A674" s="254"/>
      <c r="B674" s="57"/>
      <c r="C674" s="57"/>
      <c r="D674" s="57"/>
      <c r="E674" s="57"/>
      <c r="F674" s="57"/>
      <c r="G674" s="57"/>
      <c r="H674" s="57"/>
      <c r="I674" s="57"/>
      <c r="J674" s="57"/>
      <c r="K674" s="57"/>
      <c r="L674" s="57"/>
      <c r="M674" s="57"/>
      <c r="N674" s="57"/>
      <c r="O674" s="57"/>
      <c r="P674" s="57"/>
      <c r="Q674" s="57"/>
      <c r="R674" s="2059"/>
      <c r="S674" s="254"/>
    </row>
    <row r="675" spans="1:19">
      <c r="A675" s="254"/>
      <c r="B675" s="57"/>
      <c r="C675" s="57"/>
      <c r="D675" s="57"/>
      <c r="E675" s="57"/>
      <c r="F675" s="57"/>
      <c r="G675" s="57"/>
      <c r="H675" s="57"/>
      <c r="I675" s="57"/>
      <c r="J675" s="57"/>
      <c r="K675" s="57"/>
      <c r="L675" s="57"/>
      <c r="M675" s="57"/>
      <c r="N675" s="57"/>
      <c r="O675" s="57"/>
      <c r="P675" s="57"/>
      <c r="Q675" s="57"/>
      <c r="R675" s="2059"/>
      <c r="S675" s="254"/>
    </row>
    <row r="676" spans="1:19">
      <c r="A676" s="254"/>
      <c r="B676" s="57"/>
      <c r="C676" s="57"/>
      <c r="D676" s="57"/>
      <c r="E676" s="57"/>
      <c r="F676" s="57"/>
      <c r="G676" s="57"/>
      <c r="H676" s="57"/>
      <c r="I676" s="57"/>
      <c r="J676" s="57"/>
      <c r="K676" s="57"/>
      <c r="L676" s="57"/>
      <c r="M676" s="57"/>
      <c r="N676" s="57"/>
      <c r="O676" s="57"/>
      <c r="P676" s="57"/>
      <c r="Q676" s="57"/>
      <c r="R676" s="2059"/>
      <c r="S676" s="254"/>
    </row>
    <row r="677" spans="1:19">
      <c r="A677" s="254"/>
      <c r="B677" s="57"/>
      <c r="C677" s="57"/>
      <c r="D677" s="57"/>
      <c r="E677" s="57"/>
      <c r="F677" s="57"/>
      <c r="G677" s="57"/>
      <c r="H677" s="57"/>
      <c r="I677" s="57"/>
      <c r="J677" s="57"/>
      <c r="K677" s="57"/>
      <c r="L677" s="57"/>
      <c r="M677" s="57"/>
      <c r="N677" s="57"/>
      <c r="O677" s="57"/>
      <c r="P677" s="57"/>
      <c r="Q677" s="57"/>
      <c r="R677" s="2059"/>
      <c r="S677" s="254"/>
    </row>
    <row r="678" spans="1:19">
      <c r="A678" s="254"/>
      <c r="B678" s="57"/>
      <c r="C678" s="57"/>
      <c r="D678" s="57"/>
      <c r="E678" s="57"/>
      <c r="F678" s="57"/>
      <c r="G678" s="57"/>
      <c r="H678" s="57"/>
      <c r="I678" s="57"/>
      <c r="J678" s="57"/>
      <c r="K678" s="57"/>
      <c r="L678" s="57"/>
      <c r="M678" s="57"/>
      <c r="N678" s="57"/>
      <c r="O678" s="57"/>
      <c r="P678" s="57"/>
      <c r="Q678" s="57"/>
      <c r="R678" s="2059"/>
      <c r="S678" s="254"/>
    </row>
    <row r="679" spans="1:19">
      <c r="A679" s="254"/>
      <c r="B679" s="57"/>
      <c r="C679" s="57"/>
      <c r="D679" s="57"/>
      <c r="E679" s="57"/>
      <c r="F679" s="57"/>
      <c r="G679" s="57"/>
      <c r="H679" s="57"/>
      <c r="I679" s="57"/>
      <c r="J679" s="57"/>
      <c r="K679" s="57"/>
      <c r="L679" s="57"/>
      <c r="M679" s="57"/>
      <c r="N679" s="57"/>
      <c r="O679" s="57"/>
      <c r="P679" s="57"/>
      <c r="Q679" s="57"/>
      <c r="R679" s="2059"/>
      <c r="S679" s="254"/>
    </row>
    <row r="680" spans="1:19">
      <c r="A680" s="254"/>
      <c r="B680" s="57"/>
      <c r="C680" s="57"/>
      <c r="D680" s="57"/>
      <c r="E680" s="57"/>
      <c r="F680" s="57"/>
      <c r="G680" s="57"/>
      <c r="H680" s="57"/>
      <c r="I680" s="57"/>
      <c r="J680" s="57"/>
      <c r="K680" s="57"/>
      <c r="L680" s="57"/>
      <c r="M680" s="57"/>
      <c r="N680" s="57"/>
      <c r="O680" s="57"/>
      <c r="P680" s="57"/>
      <c r="Q680" s="57"/>
      <c r="R680" s="2059"/>
      <c r="S680" s="254"/>
    </row>
    <row r="681" spans="1:19">
      <c r="A681" s="254"/>
      <c r="B681" s="57"/>
      <c r="C681" s="57"/>
      <c r="D681" s="57"/>
      <c r="E681" s="57"/>
      <c r="F681" s="57"/>
      <c r="G681" s="57"/>
      <c r="H681" s="57"/>
      <c r="I681" s="57"/>
      <c r="J681" s="57"/>
      <c r="K681" s="57"/>
      <c r="L681" s="57"/>
      <c r="M681" s="57"/>
      <c r="N681" s="57"/>
      <c r="O681" s="57"/>
      <c r="P681" s="57"/>
      <c r="Q681" s="57"/>
      <c r="R681" s="2059"/>
      <c r="S681" s="254"/>
    </row>
    <row r="682" spans="1:19">
      <c r="A682" s="254"/>
      <c r="B682" s="57"/>
      <c r="C682" s="57"/>
      <c r="D682" s="57"/>
      <c r="E682" s="57"/>
      <c r="F682" s="57"/>
      <c r="G682" s="57"/>
      <c r="H682" s="57"/>
      <c r="I682" s="57"/>
      <c r="J682" s="57"/>
      <c r="K682" s="57"/>
      <c r="L682" s="57"/>
      <c r="M682" s="57"/>
      <c r="N682" s="57"/>
      <c r="O682" s="57"/>
      <c r="P682" s="57"/>
      <c r="Q682" s="57"/>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2504</v>
      </c>
      <c r="C1" s="2641">
        <f>项目基本情况!D3</f>
        <v>44735</v>
      </c>
      <c r="H1" s="2576">
        <f>IF(C1&gt;C13,0,MATCH(C1,C$13:C$107,-1))+IF(SUMIF(C13:C107,C1,D13:D107)=0,13,12)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2535</v>
      </c>
      <c r="C2" s="2642">
        <f>'数据-取费表'!B22</f>
        <v>2.5</v>
      </c>
      <c r="D2" s="2637" t="s">
        <v>2505</v>
      </c>
      <c r="E2" s="2640">
        <f ca="1">INDIRECT("I"&amp;$I$1)/100</f>
        <v>3.7000000000000005E-2</v>
      </c>
      <c r="G2" s="2578"/>
      <c r="H2" s="2578"/>
      <c r="I2" s="2578" t="s">
        <v>2506</v>
      </c>
      <c r="K2" s="2578"/>
      <c r="L2" s="2578"/>
      <c r="M2" s="2578"/>
      <c r="N2" s="2578" t="s">
        <v>2507</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2537</v>
      </c>
      <c r="C3" s="2639">
        <f>'数据-取费表'!B19</f>
        <v>0</v>
      </c>
      <c r="D3" s="2637" t="s">
        <v>2505</v>
      </c>
      <c r="E3" s="2640">
        <f ca="1">INDIRECT("J"&amp;$J$1)/100</f>
        <v>0</v>
      </c>
      <c r="G3" s="2580" t="s">
        <v>2508</v>
      </c>
      <c r="H3" s="2581">
        <v>0</v>
      </c>
      <c r="I3" s="2582">
        <f ca="1">INDIRECT("d"&amp;$H$1)</f>
        <v>3.7</v>
      </c>
      <c r="J3" s="2582">
        <f ca="1">INDIRECT("d"&amp;$H$1)</f>
        <v>3.7</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2536</v>
      </c>
      <c r="C4" s="2640">
        <f ca="1">N4/100</f>
        <v>1.4999999999999999E-2</v>
      </c>
      <c r="G4" s="2586" t="s">
        <v>2509</v>
      </c>
      <c r="H4" s="2587">
        <v>0.5</v>
      </c>
      <c r="I4" s="2588">
        <f ca="1">INDIRECT("e"&amp;$H$1)</f>
        <v>3.7</v>
      </c>
      <c r="J4" s="2588">
        <f ca="1">INDIRECT("e"&amp;$H$1)</f>
        <v>3.7</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2510</v>
      </c>
      <c r="H5" s="2587">
        <v>1</v>
      </c>
      <c r="I5" s="2588">
        <f ca="1">INDIRECT("f"&amp;$H$1)</f>
        <v>3.7</v>
      </c>
      <c r="J5" s="2588">
        <f ca="1">INDIRECT("f"&amp;$H$1)</f>
        <v>3.7</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2511</v>
      </c>
      <c r="H6" s="2587">
        <v>3</v>
      </c>
      <c r="I6" s="2588">
        <f ca="1">INDIRECT("g"&amp;$H$1)</f>
        <v>3.7</v>
      </c>
      <c r="J6" s="2588">
        <f ca="1">INDIRECT("g"&amp;$H$1)</f>
        <v>3.7</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2512</v>
      </c>
      <c r="H7" s="2592">
        <v>5</v>
      </c>
      <c r="I7" s="2593">
        <f ca="1">INDIRECT("h"&amp;$H$1)</f>
        <v>4.5999999999999996</v>
      </c>
      <c r="J7" s="2593">
        <f ca="1">INDIRECT("h"&amp;$H$1)</f>
        <v>4.5999999999999996</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2513</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2514</v>
      </c>
      <c r="C10" s="2605"/>
      <c r="D10" s="2605"/>
      <c r="E10" s="2605"/>
      <c r="F10" s="2605"/>
      <c r="G10" s="2605"/>
      <c r="H10" s="2605"/>
      <c r="I10" s="2579"/>
      <c r="J10" s="2579"/>
      <c r="K10" s="2605"/>
      <c r="L10" s="2606" t="s">
        <v>2515</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2516</v>
      </c>
      <c r="C11" s="2610" t="s">
        <v>2517</v>
      </c>
      <c r="D11" s="2611" t="s">
        <v>2518</v>
      </c>
      <c r="E11" s="2612"/>
      <c r="F11" s="2611" t="s">
        <v>2519</v>
      </c>
      <c r="G11" s="2613"/>
      <c r="H11" s="2612"/>
      <c r="I11" s="2611" t="s">
        <v>2520</v>
      </c>
      <c r="J11" s="2612"/>
      <c r="K11" s="2608"/>
      <c r="L11" s="2609" t="s">
        <v>2516</v>
      </c>
      <c r="M11" s="2610" t="s">
        <v>2517</v>
      </c>
      <c r="N11" s="2609" t="s">
        <v>2521</v>
      </c>
      <c r="O11" s="2611" t="s">
        <v>2522</v>
      </c>
      <c r="P11" s="2613"/>
      <c r="Q11" s="2613"/>
      <c r="R11" s="2613"/>
      <c r="S11" s="2613"/>
      <c r="T11" s="2612"/>
      <c r="U11" s="2611" t="s">
        <v>2523</v>
      </c>
      <c r="V11" s="2613"/>
      <c r="W11" s="2612"/>
      <c r="X11" s="2609" t="s">
        <v>2524</v>
      </c>
      <c r="Y11" s="2609" t="s">
        <v>2525</v>
      </c>
      <c r="Z11" s="2609" t="s">
        <v>2526</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2527</v>
      </c>
      <c r="E12" s="2618" t="s">
        <v>2528</v>
      </c>
      <c r="F12" s="2618" t="s">
        <v>2529</v>
      </c>
      <c r="G12" s="2618" t="s">
        <v>2530</v>
      </c>
      <c r="H12" s="2618" t="s">
        <v>2512</v>
      </c>
      <c r="I12" s="2619" t="s">
        <v>2531</v>
      </c>
      <c r="J12" s="2619" t="s">
        <v>2531</v>
      </c>
      <c r="K12" s="2615"/>
      <c r="L12" s="2616"/>
      <c r="M12" s="2617"/>
      <c r="N12" s="2616"/>
      <c r="O12" s="2619" t="s">
        <v>2532</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2533</v>
      </c>
      <c r="C13" s="2623">
        <v>44581</v>
      </c>
      <c r="D13" s="2624">
        <v>3.7</v>
      </c>
      <c r="E13" s="2624">
        <f>D13</f>
        <v>3.7</v>
      </c>
      <c r="F13" s="2624">
        <f>D13</f>
        <v>3.7</v>
      </c>
      <c r="G13" s="2624">
        <f>D13</f>
        <v>3.7</v>
      </c>
      <c r="H13" s="2624">
        <v>4.5999999999999996</v>
      </c>
      <c r="I13" s="2624"/>
      <c r="J13" s="2624"/>
      <c r="K13" s="2621"/>
      <c r="L13" s="2622" t="s">
        <v>2533</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9">
        <v>44550</v>
      </c>
      <c r="D14" s="2628">
        <v>3.8</v>
      </c>
      <c r="E14" s="2628">
        <f>D14</f>
        <v>3.8</v>
      </c>
      <c r="F14" s="2628">
        <f>D14</f>
        <v>3.8</v>
      </c>
      <c r="G14" s="2628">
        <f>D14</f>
        <v>3.8</v>
      </c>
      <c r="H14" s="2628">
        <v>4.6500000000000004</v>
      </c>
      <c r="I14" s="2624"/>
      <c r="J14" s="2624"/>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8"/>
      <c r="C15" s="2629">
        <v>43941</v>
      </c>
      <c r="D15" s="2628">
        <v>3.85</v>
      </c>
      <c r="E15" s="2628">
        <v>3.85</v>
      </c>
      <c r="F15" s="2628">
        <v>3.85</v>
      </c>
      <c r="G15" s="2628">
        <v>3.85</v>
      </c>
      <c r="H15" s="2628">
        <v>4.6500000000000004</v>
      </c>
      <c r="I15" s="2628"/>
      <c r="J15" s="2628"/>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8"/>
      <c r="C16" s="2629">
        <v>43881</v>
      </c>
      <c r="D16" s="2628">
        <v>4.05</v>
      </c>
      <c r="E16" s="2628">
        <v>4.05</v>
      </c>
      <c r="F16" s="2628">
        <v>4.05</v>
      </c>
      <c r="G16" s="2628">
        <v>4.05</v>
      </c>
      <c r="H16" s="2628">
        <v>4.75</v>
      </c>
      <c r="I16" s="2628"/>
      <c r="J16" s="2628"/>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43789</v>
      </c>
      <c r="D17" s="2628">
        <v>4.1500000000000004</v>
      </c>
      <c r="E17" s="2628">
        <v>4.1500000000000004</v>
      </c>
      <c r="F17" s="2628">
        <v>4.1500000000000004</v>
      </c>
      <c r="G17" s="2628">
        <v>4.1500000000000004</v>
      </c>
      <c r="H17" s="2628">
        <v>4.8</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43728</v>
      </c>
      <c r="D18" s="2628">
        <v>4.2</v>
      </c>
      <c r="E18" s="2628">
        <v>4.2</v>
      </c>
      <c r="F18" s="2628">
        <v>4.2</v>
      </c>
      <c r="G18" s="2628">
        <v>4.2</v>
      </c>
      <c r="H18" s="2628">
        <v>4.8499999999999996</v>
      </c>
      <c r="I18" s="2628"/>
      <c r="J18" s="2628"/>
      <c r="L18" s="3190"/>
      <c r="M18" s="3189">
        <v>41965</v>
      </c>
      <c r="N18" s="3190">
        <v>0.35</v>
      </c>
      <c r="O18" s="3190">
        <v>2.35</v>
      </c>
      <c r="P18" s="3190">
        <v>2.5499999999999998</v>
      </c>
      <c r="Q18" s="3190">
        <v>2.75</v>
      </c>
      <c r="R18" s="3190">
        <v>3.35</v>
      </c>
      <c r="S18" s="3190">
        <v>4</v>
      </c>
      <c r="T18" s="3190">
        <v>4.75</v>
      </c>
      <c r="U18" s="3191">
        <v>2.35</v>
      </c>
      <c r="V18" s="3191">
        <v>2.5499999999999998</v>
      </c>
      <c r="W18" s="3191">
        <v>2.75</v>
      </c>
      <c r="X18" s="3190"/>
      <c r="Y18" s="3191">
        <v>0.8</v>
      </c>
      <c r="Z18" s="3191">
        <v>1.35</v>
      </c>
    </row>
    <row r="19" spans="1:256" s="3192" customFormat="1" ht="14.25">
      <c r="A19" s="2621"/>
      <c r="B19" s="2622" t="s">
        <v>2727</v>
      </c>
      <c r="C19" s="2630">
        <v>43697</v>
      </c>
      <c r="D19" s="3184">
        <v>4.25</v>
      </c>
      <c r="E19" s="3184">
        <v>4.25</v>
      </c>
      <c r="F19" s="3184">
        <v>4.25</v>
      </c>
      <c r="G19" s="3184">
        <v>4.25</v>
      </c>
      <c r="H19" s="3184">
        <v>4.8499999999999996</v>
      </c>
      <c r="I19" s="3184"/>
      <c r="J19" s="3184"/>
      <c r="K19" s="2615"/>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3187"/>
      <c r="B20" s="3188"/>
      <c r="C20" s="3189">
        <v>42301</v>
      </c>
      <c r="D20" s="3190">
        <v>4.3499999999999996</v>
      </c>
      <c r="E20" s="3190">
        <v>4.3499999999999996</v>
      </c>
      <c r="F20" s="3190">
        <v>4.75</v>
      </c>
      <c r="G20" s="3190">
        <v>4.75</v>
      </c>
      <c r="H20" s="3190">
        <v>4.9000000000000004</v>
      </c>
      <c r="I20" s="3190"/>
      <c r="J20" s="3190"/>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c r="B21" s="2628"/>
      <c r="C21" s="2629">
        <v>42242</v>
      </c>
      <c r="D21" s="2628">
        <v>4.5999999999999996</v>
      </c>
      <c r="E21" s="2628">
        <v>4.5999999999999996</v>
      </c>
      <c r="F21" s="2628">
        <v>5</v>
      </c>
      <c r="G21" s="2628">
        <v>5</v>
      </c>
      <c r="H21" s="2628">
        <v>5.15</v>
      </c>
      <c r="I21" s="2628">
        <v>2.75</v>
      </c>
      <c r="J21" s="2628">
        <v>3.25</v>
      </c>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c r="B22" s="2628"/>
      <c r="C22" s="2629">
        <v>42183</v>
      </c>
      <c r="D22" s="2628">
        <v>4.8499999999999996</v>
      </c>
      <c r="E22" s="2628">
        <v>4.8499999999999996</v>
      </c>
      <c r="F22" s="2628">
        <v>5.25</v>
      </c>
      <c r="G22" s="2628">
        <v>5.25</v>
      </c>
      <c r="H22" s="2628">
        <v>5.4</v>
      </c>
      <c r="I22" s="2628">
        <v>3</v>
      </c>
      <c r="J22" s="2628">
        <v>3.5</v>
      </c>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42135</v>
      </c>
      <c r="D23" s="2628">
        <v>5.0999999999999996</v>
      </c>
      <c r="E23" s="2628">
        <v>5.0999999999999996</v>
      </c>
      <c r="F23" s="2628">
        <v>5.5</v>
      </c>
      <c r="G23" s="2628">
        <v>5.5</v>
      </c>
      <c r="H23" s="2628">
        <v>5.65</v>
      </c>
      <c r="I23" s="2628">
        <v>3.25</v>
      </c>
      <c r="J23" s="2628">
        <v>3.75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42064</v>
      </c>
      <c r="D24" s="2628">
        <v>5.35</v>
      </c>
      <c r="E24" s="2628">
        <v>5.35</v>
      </c>
      <c r="F24" s="2628">
        <v>5.75</v>
      </c>
      <c r="G24" s="2628">
        <v>5.75</v>
      </c>
      <c r="H24" s="2628">
        <v>5.9</v>
      </c>
      <c r="I24" s="2628"/>
      <c r="J24" s="2628"/>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41965</v>
      </c>
      <c r="D25" s="2628">
        <v>5.6</v>
      </c>
      <c r="E25" s="2628">
        <v>5.6</v>
      </c>
      <c r="F25" s="2628">
        <v>6</v>
      </c>
      <c r="G25" s="2628">
        <v>6</v>
      </c>
      <c r="H25" s="2628">
        <v>6.15</v>
      </c>
      <c r="I25" s="2628"/>
      <c r="J25" s="2628"/>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41096</v>
      </c>
      <c r="D26" s="2628">
        <v>5.6</v>
      </c>
      <c r="E26" s="2628">
        <v>6</v>
      </c>
      <c r="F26" s="2628">
        <v>6.15</v>
      </c>
      <c r="G26" s="2628">
        <v>6.4</v>
      </c>
      <c r="H26" s="2628">
        <v>6.55</v>
      </c>
      <c r="I26" s="2628">
        <v>4</v>
      </c>
      <c r="J26" s="2628">
        <v>4.5</v>
      </c>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41068</v>
      </c>
      <c r="D27" s="2628">
        <v>5.85</v>
      </c>
      <c r="E27" s="2628">
        <v>6.31</v>
      </c>
      <c r="F27" s="2628">
        <v>6.4</v>
      </c>
      <c r="G27" s="2628">
        <v>6.65</v>
      </c>
      <c r="H27" s="2628">
        <v>6.8</v>
      </c>
      <c r="I27" s="2628">
        <v>4.2</v>
      </c>
      <c r="J27" s="2628">
        <v>4.7</v>
      </c>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40731</v>
      </c>
      <c r="D28" s="2628">
        <v>6.1</v>
      </c>
      <c r="E28" s="2628">
        <v>6.56</v>
      </c>
      <c r="F28" s="2628">
        <v>6.65</v>
      </c>
      <c r="G28" s="2628">
        <v>6.9</v>
      </c>
      <c r="H28" s="2628">
        <v>7.05</v>
      </c>
      <c r="I28" s="2628">
        <v>4.45</v>
      </c>
      <c r="J28" s="2628">
        <v>4.9000000000000004</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40639</v>
      </c>
      <c r="D29" s="2628">
        <v>5.85</v>
      </c>
      <c r="E29" s="2628">
        <v>6.31</v>
      </c>
      <c r="F29" s="2628">
        <v>6.4</v>
      </c>
      <c r="G29" s="2628">
        <v>6.65</v>
      </c>
      <c r="H29" s="2628">
        <v>6.8</v>
      </c>
      <c r="I29" s="2628">
        <v>4.2</v>
      </c>
      <c r="J29" s="2628">
        <v>4.7</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40583</v>
      </c>
      <c r="D30" s="2628">
        <v>5.6</v>
      </c>
      <c r="E30" s="2628">
        <v>6.06</v>
      </c>
      <c r="F30" s="2628">
        <v>6.1</v>
      </c>
      <c r="G30" s="2628">
        <v>6.45</v>
      </c>
      <c r="H30" s="2628">
        <v>6.6</v>
      </c>
      <c r="I30" s="2628">
        <v>4</v>
      </c>
      <c r="J30" s="2628">
        <v>4.5</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40538</v>
      </c>
      <c r="D31" s="2628">
        <v>5.35</v>
      </c>
      <c r="E31" s="2628">
        <v>5.81</v>
      </c>
      <c r="F31" s="2628">
        <v>5.85</v>
      </c>
      <c r="G31" s="2628">
        <v>6.22</v>
      </c>
      <c r="H31" s="2628">
        <v>6.4</v>
      </c>
      <c r="I31" s="2628">
        <v>3.75</v>
      </c>
      <c r="J31" s="2628">
        <v>4.3</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40471</v>
      </c>
      <c r="D32" s="2628">
        <v>5.0999999999999996</v>
      </c>
      <c r="E32" s="2628">
        <v>5.56</v>
      </c>
      <c r="F32" s="2628">
        <v>5.6</v>
      </c>
      <c r="G32" s="2628">
        <v>5.96</v>
      </c>
      <c r="H32" s="2628">
        <v>6.14</v>
      </c>
      <c r="I32" s="2628">
        <v>3.5</v>
      </c>
      <c r="J32" s="2628">
        <v>4.05</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39805</v>
      </c>
      <c r="D33" s="2628">
        <v>4.8600000000000003</v>
      </c>
      <c r="E33" s="2628">
        <v>5.31</v>
      </c>
      <c r="F33" s="2628">
        <v>5.4</v>
      </c>
      <c r="G33" s="2628">
        <v>5.76</v>
      </c>
      <c r="H33" s="2628">
        <v>5.94</v>
      </c>
      <c r="I33" s="2628">
        <v>3.33</v>
      </c>
      <c r="J33" s="2628">
        <v>3.87</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39779</v>
      </c>
      <c r="D34" s="2628">
        <v>5.04</v>
      </c>
      <c r="E34" s="2628">
        <v>5.58</v>
      </c>
      <c r="F34" s="2628">
        <v>5.67</v>
      </c>
      <c r="G34" s="2628">
        <v>5.94</v>
      </c>
      <c r="H34" s="2628">
        <v>6.12</v>
      </c>
      <c r="I34" s="2628">
        <v>3.51</v>
      </c>
      <c r="J34" s="2628">
        <v>4.05</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39751</v>
      </c>
      <c r="D35" s="2628">
        <v>6.03</v>
      </c>
      <c r="E35" s="2628">
        <v>6.66</v>
      </c>
      <c r="F35" s="2628">
        <v>6.75</v>
      </c>
      <c r="G35" s="2628">
        <v>7.02</v>
      </c>
      <c r="H35" s="2628">
        <v>7.2</v>
      </c>
      <c r="I35" s="2628">
        <v>4.05</v>
      </c>
      <c r="J35" s="2628">
        <v>4.59</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30">
        <v>39748</v>
      </c>
      <c r="D36" s="2628">
        <v>6.12</v>
      </c>
      <c r="E36" s="2628">
        <v>6.93</v>
      </c>
      <c r="F36" s="2628">
        <v>7.02</v>
      </c>
      <c r="G36" s="2628">
        <v>7.29</v>
      </c>
      <c r="H36" s="2628">
        <v>7.47</v>
      </c>
      <c r="I36" s="2628">
        <v>4.05</v>
      </c>
      <c r="J36" s="2628">
        <v>4.59</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29">
        <v>39730</v>
      </c>
      <c r="D37" s="2628">
        <v>6.12</v>
      </c>
      <c r="E37" s="2628">
        <v>6.93</v>
      </c>
      <c r="F37" s="2628">
        <v>7.02</v>
      </c>
      <c r="G37" s="2628">
        <v>7.29</v>
      </c>
      <c r="H37" s="2628">
        <v>7.47</v>
      </c>
      <c r="I37" s="2628">
        <v>4.32</v>
      </c>
      <c r="J37" s="2628">
        <v>4.8600000000000003</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29">
        <v>39707</v>
      </c>
      <c r="D38" s="2628">
        <v>6.21</v>
      </c>
      <c r="E38" s="2628">
        <v>7.2</v>
      </c>
      <c r="F38" s="2628">
        <v>7.29</v>
      </c>
      <c r="G38" s="2628">
        <v>7.56</v>
      </c>
      <c r="H38" s="2628">
        <v>7.74</v>
      </c>
      <c r="I38" s="2628">
        <v>4.59</v>
      </c>
      <c r="J38" s="2628">
        <v>5.13</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39437</v>
      </c>
      <c r="D39" s="2628">
        <v>6.57</v>
      </c>
      <c r="E39" s="2628">
        <v>7.47</v>
      </c>
      <c r="F39" s="2628">
        <v>7.56</v>
      </c>
      <c r="G39" s="2628">
        <v>7.74</v>
      </c>
      <c r="H39" s="2628">
        <v>7.83</v>
      </c>
      <c r="I39" s="2628">
        <v>4.7699999999999996</v>
      </c>
      <c r="J39" s="2628">
        <v>5.22</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39340</v>
      </c>
      <c r="D40" s="2628">
        <v>6.48</v>
      </c>
      <c r="E40" s="2628">
        <v>7.29</v>
      </c>
      <c r="F40" s="2628">
        <v>7.47</v>
      </c>
      <c r="G40" s="2628">
        <v>7.65</v>
      </c>
      <c r="H40" s="2628">
        <v>7.83</v>
      </c>
      <c r="I40" s="2628">
        <v>4.7699999999999996</v>
      </c>
      <c r="J40" s="2628">
        <v>5.22</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39316</v>
      </c>
      <c r="D41" s="2628">
        <v>6.21</v>
      </c>
      <c r="E41" s="2628">
        <v>7.02</v>
      </c>
      <c r="F41" s="2628">
        <v>7.2</v>
      </c>
      <c r="G41" s="2628">
        <v>7.38</v>
      </c>
      <c r="H41" s="2628">
        <v>7.56</v>
      </c>
      <c r="I41" s="2628">
        <v>4.59</v>
      </c>
      <c r="J41" s="2628">
        <v>5.04</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39284</v>
      </c>
      <c r="D42" s="2628">
        <v>6.03</v>
      </c>
      <c r="E42" s="2628">
        <v>6.84</v>
      </c>
      <c r="F42" s="2628">
        <v>7.02</v>
      </c>
      <c r="G42" s="2628">
        <v>7.2</v>
      </c>
      <c r="H42" s="2628">
        <v>7.38</v>
      </c>
      <c r="I42" s="2628">
        <v>4.5</v>
      </c>
      <c r="J42" s="2628">
        <v>4.95</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2534</v>
      </c>
      <c r="Y42" s="2628" t="s">
        <v>2534</v>
      </c>
      <c r="Z42" s="2628" t="s">
        <v>2534</v>
      </c>
    </row>
    <row r="43" spans="2:26">
      <c r="B43" s="2628"/>
      <c r="C43" s="2629">
        <v>39221</v>
      </c>
      <c r="D43" s="2628">
        <v>5.85</v>
      </c>
      <c r="E43" s="2628">
        <v>6.57</v>
      </c>
      <c r="F43" s="2628">
        <v>6.75</v>
      </c>
      <c r="G43" s="2628">
        <v>6.93</v>
      </c>
      <c r="H43" s="2628">
        <v>7.2</v>
      </c>
      <c r="I43" s="2628">
        <v>4.41</v>
      </c>
      <c r="J43" s="2628">
        <v>4.8600000000000003</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2534</v>
      </c>
      <c r="Y43" s="2628" t="s">
        <v>2534</v>
      </c>
      <c r="Z43" s="2628" t="s">
        <v>2534</v>
      </c>
    </row>
    <row r="44" spans="2:26">
      <c r="B44" s="2628"/>
      <c r="C44" s="2629">
        <v>39159</v>
      </c>
      <c r="D44" s="2628">
        <v>5.67</v>
      </c>
      <c r="E44" s="2628">
        <v>6.39</v>
      </c>
      <c r="F44" s="2628">
        <v>6.57</v>
      </c>
      <c r="G44" s="2628">
        <v>6.75</v>
      </c>
      <c r="H44" s="2628">
        <v>7.11</v>
      </c>
      <c r="I44" s="2628">
        <v>4.32</v>
      </c>
      <c r="J44" s="2628">
        <v>4.7699999999999996</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2534</v>
      </c>
      <c r="Y44" s="2628" t="s">
        <v>2534</v>
      </c>
      <c r="Z44" s="2628" t="s">
        <v>2534</v>
      </c>
    </row>
    <row r="45" spans="2:26">
      <c r="B45" s="2628"/>
      <c r="C45" s="2629">
        <v>38948</v>
      </c>
      <c r="D45" s="2628">
        <v>5.58</v>
      </c>
      <c r="E45" s="2628">
        <v>6.12</v>
      </c>
      <c r="F45" s="2628">
        <v>6.3</v>
      </c>
      <c r="G45" s="2628">
        <v>6.48</v>
      </c>
      <c r="H45" s="2628">
        <v>6.84</v>
      </c>
      <c r="I45" s="2628">
        <v>4.1399999999999997</v>
      </c>
      <c r="J45" s="2628">
        <v>4.59</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2534</v>
      </c>
      <c r="Y45" s="2628" t="s">
        <v>2534</v>
      </c>
      <c r="Z45" s="2628" t="s">
        <v>2534</v>
      </c>
    </row>
    <row r="46" spans="2:26">
      <c r="B46" s="2628"/>
      <c r="C46" s="2629">
        <v>38835</v>
      </c>
      <c r="D46" s="2628">
        <v>5.4</v>
      </c>
      <c r="E46" s="2628">
        <v>5.85</v>
      </c>
      <c r="F46" s="2628">
        <v>6.03</v>
      </c>
      <c r="G46" s="2628">
        <v>6.12</v>
      </c>
      <c r="H46" s="2628">
        <v>6.39</v>
      </c>
      <c r="I46" s="2628">
        <v>4.1399999999999997</v>
      </c>
      <c r="J46" s="2628">
        <v>4.59</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2534</v>
      </c>
      <c r="Y46" s="2628" t="s">
        <v>2534</v>
      </c>
      <c r="Z46" s="2628" t="s">
        <v>2534</v>
      </c>
    </row>
    <row r="47" spans="2:26">
      <c r="B47" s="2628"/>
      <c r="C47" s="2629">
        <v>38428</v>
      </c>
      <c r="D47" s="2628">
        <v>5.22</v>
      </c>
      <c r="E47" s="2628">
        <v>5.58</v>
      </c>
      <c r="F47" s="2628">
        <v>5.76</v>
      </c>
      <c r="G47" s="2628">
        <v>5.85</v>
      </c>
      <c r="H47" s="2628">
        <v>6.12</v>
      </c>
      <c r="I47" s="2628">
        <v>3.96</v>
      </c>
      <c r="J47" s="2628">
        <v>4.41</v>
      </c>
      <c r="L47" s="2628"/>
      <c r="M47" s="2629">
        <v>34161</v>
      </c>
      <c r="N47" s="2628">
        <v>3.15</v>
      </c>
      <c r="O47" s="2628">
        <v>6.66</v>
      </c>
      <c r="P47" s="2628">
        <v>9</v>
      </c>
      <c r="Q47" s="2628">
        <v>10.98</v>
      </c>
      <c r="R47" s="2628">
        <v>11.7</v>
      </c>
      <c r="S47" s="2628">
        <v>12.24</v>
      </c>
      <c r="T47" s="2628">
        <v>13.86</v>
      </c>
      <c r="U47" s="2628">
        <v>9</v>
      </c>
      <c r="V47" s="2628">
        <v>10.98</v>
      </c>
      <c r="W47" s="2628">
        <v>12.24</v>
      </c>
      <c r="X47" s="2628" t="s">
        <v>2534</v>
      </c>
      <c r="Y47" s="2628" t="s">
        <v>2534</v>
      </c>
      <c r="Z47" s="2628" t="s">
        <v>2534</v>
      </c>
    </row>
    <row r="48" spans="2:26">
      <c r="B48" s="2628"/>
      <c r="C48" s="2629">
        <v>38289</v>
      </c>
      <c r="D48" s="2628">
        <v>5.22</v>
      </c>
      <c r="E48" s="2628">
        <v>5.58</v>
      </c>
      <c r="F48" s="2628">
        <v>5.76</v>
      </c>
      <c r="G48" s="2628">
        <v>5.85</v>
      </c>
      <c r="H48" s="2628">
        <v>6.12</v>
      </c>
      <c r="I48" s="2628">
        <v>3.78</v>
      </c>
      <c r="J48" s="2628">
        <v>4.2300000000000004</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2534</v>
      </c>
      <c r="Y48" s="2628" t="s">
        <v>2534</v>
      </c>
      <c r="Z48" s="2628" t="s">
        <v>2534</v>
      </c>
    </row>
    <row r="49" spans="2:26">
      <c r="B49" s="2628"/>
      <c r="C49" s="2629">
        <v>37308</v>
      </c>
      <c r="D49" s="2628">
        <v>5.04</v>
      </c>
      <c r="E49" s="2628">
        <v>5.31</v>
      </c>
      <c r="F49" s="2628">
        <v>5.49</v>
      </c>
      <c r="G49" s="2628">
        <v>5.58</v>
      </c>
      <c r="H49" s="2628">
        <v>5.76</v>
      </c>
      <c r="I49" s="2628">
        <v>3.6</v>
      </c>
      <c r="J49" s="2628">
        <v>4.05</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2534</v>
      </c>
      <c r="Y49" s="2628" t="s">
        <v>2534</v>
      </c>
      <c r="Z49" s="2628" t="s">
        <v>2534</v>
      </c>
    </row>
    <row r="50" spans="2:26">
      <c r="B50" s="2628"/>
      <c r="C50" s="2629">
        <v>36321</v>
      </c>
      <c r="D50" s="2628">
        <v>5.58</v>
      </c>
      <c r="E50" s="2628">
        <v>5.85</v>
      </c>
      <c r="F50" s="2628">
        <v>5.94</v>
      </c>
      <c r="G50" s="2628">
        <v>6.03</v>
      </c>
      <c r="H50" s="2628">
        <v>6.21</v>
      </c>
      <c r="I50" s="2628">
        <v>4.1399999999999997</v>
      </c>
      <c r="J50" s="2628">
        <v>4.59</v>
      </c>
      <c r="L50" s="2628"/>
      <c r="M50" s="2629">
        <v>33106</v>
      </c>
      <c r="N50" s="2628">
        <v>2.16</v>
      </c>
      <c r="O50" s="2628">
        <v>4.32</v>
      </c>
      <c r="P50" s="2628">
        <v>6.48</v>
      </c>
      <c r="Q50" s="2628">
        <v>8.64</v>
      </c>
      <c r="R50" s="2628">
        <v>9.36</v>
      </c>
      <c r="S50" s="2628">
        <v>10.08</v>
      </c>
      <c r="T50" s="2628">
        <v>11.52</v>
      </c>
      <c r="U50" s="2628">
        <v>7.2</v>
      </c>
      <c r="V50" s="2628">
        <v>8.64</v>
      </c>
      <c r="W50" s="2628">
        <v>10.08</v>
      </c>
      <c r="X50" s="2628" t="s">
        <v>2534</v>
      </c>
      <c r="Y50" s="2628" t="s">
        <v>2534</v>
      </c>
      <c r="Z50" s="2628" t="s">
        <v>2534</v>
      </c>
    </row>
    <row r="51" spans="2:26">
      <c r="B51" s="2628"/>
      <c r="C51" s="2629">
        <v>36136</v>
      </c>
      <c r="D51" s="2628">
        <v>6.12</v>
      </c>
      <c r="E51" s="2628">
        <v>6.39</v>
      </c>
      <c r="F51" s="2628">
        <v>6.66</v>
      </c>
      <c r="G51" s="2628">
        <v>7.2</v>
      </c>
      <c r="H51" s="2628">
        <v>7.56</v>
      </c>
      <c r="I51" s="2628">
        <v>0</v>
      </c>
      <c r="J51" s="2628">
        <v>0</v>
      </c>
      <c r="L51" s="2628"/>
      <c r="M51" s="2629">
        <v>32978</v>
      </c>
      <c r="N51" s="2628">
        <v>2.88</v>
      </c>
      <c r="O51" s="2628">
        <v>6.3</v>
      </c>
      <c r="P51" s="2628">
        <v>7.74</v>
      </c>
      <c r="Q51" s="2628">
        <v>10.08</v>
      </c>
      <c r="R51" s="2628">
        <v>10.98</v>
      </c>
      <c r="S51" s="2628">
        <v>11.88</v>
      </c>
      <c r="T51" s="2628">
        <v>13.68</v>
      </c>
      <c r="U51" s="2628" t="s">
        <v>2534</v>
      </c>
      <c r="V51" s="2628" t="s">
        <v>2534</v>
      </c>
      <c r="W51" s="2628" t="s">
        <v>2534</v>
      </c>
      <c r="X51" s="2628" t="s">
        <v>2534</v>
      </c>
      <c r="Y51" s="2628" t="s">
        <v>2534</v>
      </c>
      <c r="Z51" s="2628" t="s">
        <v>2534</v>
      </c>
    </row>
    <row r="52" spans="2:26">
      <c r="B52" s="2628"/>
      <c r="C52" s="2629">
        <v>35977</v>
      </c>
      <c r="D52" s="2628">
        <v>6.57</v>
      </c>
      <c r="E52" s="2628">
        <v>6.93</v>
      </c>
      <c r="F52" s="2628">
        <v>7.11</v>
      </c>
      <c r="G52" s="2628">
        <v>7.65</v>
      </c>
      <c r="H52" s="2628">
        <v>8.01</v>
      </c>
      <c r="I52" s="2628">
        <v>0</v>
      </c>
      <c r="J52" s="2628">
        <v>0</v>
      </c>
      <c r="L52" s="2628"/>
      <c r="M52" s="2629"/>
      <c r="N52" s="2628"/>
      <c r="O52" s="2628"/>
      <c r="P52" s="2628"/>
      <c r="Q52" s="2628"/>
      <c r="R52" s="2628"/>
      <c r="S52" s="2628"/>
      <c r="T52" s="2628"/>
      <c r="U52" s="2628"/>
      <c r="V52" s="2628"/>
      <c r="W52" s="2628"/>
      <c r="X52" s="2628"/>
      <c r="Y52" s="2628"/>
      <c r="Z52" s="2628"/>
    </row>
    <row r="53" spans="2:26">
      <c r="B53" s="2628"/>
      <c r="C53" s="2629">
        <v>35879</v>
      </c>
      <c r="D53" s="2628">
        <v>7.02</v>
      </c>
      <c r="E53" s="2628">
        <v>7.92</v>
      </c>
      <c r="F53" s="2628">
        <v>9</v>
      </c>
      <c r="G53" s="2628">
        <v>9.7200000000000006</v>
      </c>
      <c r="H53" s="2628">
        <v>10.35</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35726</v>
      </c>
      <c r="D54" s="2628">
        <v>7.65</v>
      </c>
      <c r="E54" s="2628">
        <v>8.64</v>
      </c>
      <c r="F54" s="2628">
        <v>9.36</v>
      </c>
      <c r="G54" s="2628">
        <v>9.9</v>
      </c>
      <c r="H54" s="2628">
        <v>10.53</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35300</v>
      </c>
      <c r="D55" s="2628">
        <v>9.18</v>
      </c>
      <c r="E55" s="2628">
        <v>10.08</v>
      </c>
      <c r="F55" s="2628">
        <v>10.98</v>
      </c>
      <c r="G55" s="2628">
        <v>11.7</v>
      </c>
      <c r="H55" s="2628">
        <v>12.42</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35186</v>
      </c>
      <c r="D56" s="2628">
        <v>9.7200000000000006</v>
      </c>
      <c r="E56" s="2628">
        <v>10.98</v>
      </c>
      <c r="F56" s="2628">
        <v>13.14</v>
      </c>
      <c r="G56" s="2628">
        <v>14.94</v>
      </c>
      <c r="H56" s="2628">
        <v>15.12</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34881</v>
      </c>
      <c r="D57" s="2628">
        <v>10.08</v>
      </c>
      <c r="E57" s="2628">
        <v>12.06</v>
      </c>
      <c r="F57" s="2628">
        <v>13.5</v>
      </c>
      <c r="G57" s="2628">
        <v>15.12</v>
      </c>
      <c r="H57" s="2628">
        <v>15.3</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34700</v>
      </c>
      <c r="D58" s="2628">
        <v>9</v>
      </c>
      <c r="E58" s="2628">
        <v>10.98</v>
      </c>
      <c r="F58" s="2628">
        <v>12.96</v>
      </c>
      <c r="G58" s="2628">
        <v>14.58</v>
      </c>
      <c r="H58" s="2628">
        <v>14.76</v>
      </c>
      <c r="I58" s="2628">
        <v>0</v>
      </c>
      <c r="J58" s="2628">
        <v>0</v>
      </c>
    </row>
    <row r="59" spans="2:26">
      <c r="B59" s="2628"/>
      <c r="C59" s="2629">
        <v>34161</v>
      </c>
      <c r="D59" s="2628">
        <v>9</v>
      </c>
      <c r="E59" s="2628">
        <v>10.98</v>
      </c>
      <c r="F59" s="2628">
        <v>12.24</v>
      </c>
      <c r="G59" s="2628">
        <v>13.86</v>
      </c>
      <c r="H59" s="2628">
        <v>14.04</v>
      </c>
      <c r="I59" s="2628">
        <v>0</v>
      </c>
      <c r="J59" s="2628">
        <v>0</v>
      </c>
    </row>
    <row r="60" spans="2:26">
      <c r="B60" s="2628"/>
      <c r="C60" s="2629">
        <v>34104</v>
      </c>
      <c r="D60" s="2628">
        <v>8.82</v>
      </c>
      <c r="E60" s="2628">
        <v>9.36</v>
      </c>
      <c r="F60" s="2628">
        <v>10.8</v>
      </c>
      <c r="G60" s="2628">
        <v>12.06</v>
      </c>
      <c r="H60" s="2628">
        <v>12.24</v>
      </c>
      <c r="I60" s="2628">
        <v>0</v>
      </c>
      <c r="J60" s="2628">
        <v>0</v>
      </c>
    </row>
    <row r="61" spans="2:26">
      <c r="B61" s="2628"/>
      <c r="C61" s="2629">
        <v>33349</v>
      </c>
      <c r="D61" s="2628">
        <v>8.1</v>
      </c>
      <c r="E61" s="2628">
        <v>8.64</v>
      </c>
      <c r="F61" s="2628">
        <v>9</v>
      </c>
      <c r="G61" s="2628">
        <v>9.5399999999999991</v>
      </c>
      <c r="H61" s="2628">
        <v>9.7200000000000006</v>
      </c>
      <c r="I61" s="2628">
        <v>0</v>
      </c>
      <c r="J61" s="2628">
        <v>0</v>
      </c>
    </row>
    <row r="62" spans="2:26">
      <c r="B62" s="2628"/>
      <c r="C62" s="2629">
        <v>33318</v>
      </c>
      <c r="D62" s="2628">
        <v>9</v>
      </c>
      <c r="E62" s="2628">
        <v>10.08</v>
      </c>
      <c r="F62" s="2628">
        <v>10.8</v>
      </c>
      <c r="G62" s="2628">
        <v>11.52</v>
      </c>
      <c r="H62" s="2628">
        <v>11.88</v>
      </c>
      <c r="I62" s="2628" t="s">
        <v>2534</v>
      </c>
      <c r="J62" s="2628" t="s">
        <v>2534</v>
      </c>
    </row>
    <row r="63" spans="2:26">
      <c r="B63" s="2628"/>
      <c r="C63" s="2629">
        <v>33106</v>
      </c>
      <c r="D63" s="2628">
        <v>8.64</v>
      </c>
      <c r="E63" s="2628">
        <v>9.36</v>
      </c>
      <c r="F63" s="2628">
        <v>10.08</v>
      </c>
      <c r="G63" s="2628">
        <v>10.8</v>
      </c>
      <c r="H63" s="2628">
        <v>11.16</v>
      </c>
      <c r="I63" s="2628">
        <v>0</v>
      </c>
      <c r="J63" s="2628">
        <v>0</v>
      </c>
    </row>
    <row r="64" spans="2:26">
      <c r="B64" s="2628"/>
      <c r="C64" s="2629">
        <v>32540</v>
      </c>
      <c r="D64" s="2628">
        <v>11.34</v>
      </c>
      <c r="E64" s="2628">
        <v>11.34</v>
      </c>
      <c r="F64" s="2628">
        <v>12.78</v>
      </c>
      <c r="G64" s="2628">
        <v>14.4</v>
      </c>
      <c r="H64" s="2628">
        <v>19.260000000000002</v>
      </c>
      <c r="I64" s="2628">
        <v>0</v>
      </c>
      <c r="J64" s="2628">
        <v>0</v>
      </c>
    </row>
    <row r="65" spans="2:10">
      <c r="B65" s="2628"/>
      <c r="C65" s="2629"/>
      <c r="D65" s="2628"/>
      <c r="E65" s="2628"/>
      <c r="F65" s="2628"/>
      <c r="G65" s="2628"/>
      <c r="H65" s="2628"/>
      <c r="I65" s="2628"/>
      <c r="J65" s="2628"/>
    </row>
    <row r="66" spans="2:10">
      <c r="B66" s="2631"/>
      <c r="C66" s="2632"/>
      <c r="D66" s="2631"/>
      <c r="E66" s="2631"/>
      <c r="F66" s="2631"/>
      <c r="G66" s="2631"/>
      <c r="H66" s="2631"/>
      <c r="I66" s="2631"/>
      <c r="J66" s="2631"/>
    </row>
    <row r="67" spans="2:10">
      <c r="B67" s="2631"/>
      <c r="C67" s="2632"/>
      <c r="D67" s="2631"/>
      <c r="E67" s="2631"/>
      <c r="F67" s="2631"/>
      <c r="G67" s="2631"/>
      <c r="H67" s="2631"/>
      <c r="I67" s="2631"/>
      <c r="J67" s="2631"/>
    </row>
    <row r="68" spans="2:10">
      <c r="B68" s="2631"/>
      <c r="C68" s="2632"/>
      <c r="D68" s="2631"/>
      <c r="E68" s="2631"/>
      <c r="F68" s="2631"/>
      <c r="G68" s="2631"/>
      <c r="H68" s="2631"/>
      <c r="I68" s="2631"/>
      <c r="J68" s="2631"/>
    </row>
    <row r="69" spans="2:10">
      <c r="B69" s="2579"/>
      <c r="C69" s="2579"/>
      <c r="D69" s="2579"/>
      <c r="E69" s="2579"/>
      <c r="F69" s="2579"/>
      <c r="G69" s="2579"/>
      <c r="H69" s="2579"/>
      <c r="I69" s="2579"/>
      <c r="J69" s="2579"/>
    </row>
    <row r="70" spans="2:10">
      <c r="B70" s="2579"/>
      <c r="C70" s="2579"/>
      <c r="D70" s="2579"/>
      <c r="E70" s="2579"/>
      <c r="F70" s="2579"/>
      <c r="G70" s="2579"/>
      <c r="H70" s="2579"/>
      <c r="I70" s="2579"/>
      <c r="J70" s="2579"/>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51" sqref="A51"/>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3"/>
  <sheetViews>
    <sheetView topLeftCell="O1" workbookViewId="0">
      <selection activeCell="AY46" sqref="AY46"/>
    </sheetView>
  </sheetViews>
  <sheetFormatPr defaultRowHeight="12"/>
  <cols>
    <col min="1" max="1" width="20" style="3454" customWidth="1"/>
    <col min="2" max="3" width="20" style="3454" hidden="1" customWidth="1"/>
    <col min="4" max="4" width="20" style="3454" customWidth="1"/>
    <col min="5" max="5" width="20" style="3454" hidden="1" customWidth="1"/>
    <col min="6" max="6" width="11" style="3454" customWidth="1"/>
    <col min="7" max="7" width="20" style="3454" hidden="1" customWidth="1"/>
    <col min="8" max="8" width="10" style="3454" customWidth="1"/>
    <col min="9" max="9" width="9.5" style="3454" customWidth="1"/>
    <col min="10" max="10" width="10" style="3454" customWidth="1"/>
    <col min="11" max="11" width="27.75" style="3454" customWidth="1"/>
    <col min="12" max="12" width="20" style="3454" hidden="1" customWidth="1"/>
    <col min="13" max="13" width="20" style="3454" customWidth="1"/>
    <col min="14" max="14" width="20" style="3454" hidden="1" customWidth="1"/>
    <col min="15" max="15" width="9.375" style="3454" customWidth="1"/>
    <col min="16" max="17" width="20" style="3454" hidden="1" customWidth="1"/>
    <col min="18" max="18" width="18.875" style="3454" hidden="1" customWidth="1"/>
    <col min="19" max="19" width="11.875" style="3454" customWidth="1"/>
    <col min="20" max="20" width="11.5" style="3454" customWidth="1"/>
    <col min="21" max="27" width="20" style="3454" hidden="1" customWidth="1"/>
    <col min="28" max="28" width="11.375" style="3454" customWidth="1"/>
    <col min="29" max="30" width="20" style="3454" hidden="1" customWidth="1"/>
    <col min="31" max="31" width="20" style="3454" customWidth="1"/>
    <col min="32" max="35" width="20" style="3454" hidden="1" customWidth="1"/>
    <col min="36" max="36" width="9.75" style="3454" customWidth="1"/>
    <col min="37" max="37" width="20" style="3454" hidden="1" customWidth="1"/>
    <col min="38" max="38" width="8.125" style="3454" customWidth="1"/>
    <col min="39" max="39" width="19.875" style="3454" hidden="1" customWidth="1"/>
    <col min="40" max="40" width="7.75" style="3454" customWidth="1"/>
    <col min="41" max="42" width="20" style="3454" hidden="1" customWidth="1"/>
    <col min="43" max="43" width="8.5" style="3454" customWidth="1"/>
    <col min="44" max="44" width="9.125" style="3454" customWidth="1"/>
    <col min="45" max="47" width="20" style="3454" hidden="1" customWidth="1"/>
    <col min="48" max="48" width="7.125" style="3454" customWidth="1"/>
    <col min="49" max="49" width="20" style="3454" hidden="1" customWidth="1"/>
    <col min="50" max="50" width="20" style="3454" customWidth="1"/>
    <col min="51" max="16384" width="9" style="3454"/>
  </cols>
  <sheetData>
    <row r="1" spans="1:49">
      <c r="A1" s="3453" t="s">
        <v>3261</v>
      </c>
      <c r="B1" s="3453" t="s">
        <v>3262</v>
      </c>
      <c r="C1" s="3453" t="s">
        <v>3263</v>
      </c>
      <c r="D1" s="3453" t="s">
        <v>3264</v>
      </c>
      <c r="E1" s="3453" t="s">
        <v>3265</v>
      </c>
      <c r="F1" s="3453" t="s">
        <v>3266</v>
      </c>
      <c r="G1" s="3453" t="s">
        <v>3267</v>
      </c>
      <c r="H1" s="3453" t="s">
        <v>3268</v>
      </c>
      <c r="I1" s="3453" t="s">
        <v>3269</v>
      </c>
      <c r="J1" s="3453" t="s">
        <v>3270</v>
      </c>
      <c r="K1" s="3453" t="s">
        <v>1824</v>
      </c>
      <c r="L1" s="3453" t="s">
        <v>3271</v>
      </c>
      <c r="M1" s="3453" t="s">
        <v>3272</v>
      </c>
      <c r="N1" s="3453" t="s">
        <v>3273</v>
      </c>
      <c r="O1" s="3453" t="s">
        <v>3274</v>
      </c>
      <c r="P1" s="3453" t="s">
        <v>3275</v>
      </c>
      <c r="Q1" s="3453" t="s">
        <v>3276</v>
      </c>
      <c r="R1" s="3453" t="s">
        <v>3277</v>
      </c>
      <c r="S1" s="3453" t="s">
        <v>3278</v>
      </c>
      <c r="T1" s="3453" t="s">
        <v>3279</v>
      </c>
      <c r="U1" s="3453" t="s">
        <v>3280</v>
      </c>
      <c r="V1" s="3453" t="s">
        <v>3281</v>
      </c>
      <c r="W1" s="3453" t="s">
        <v>3282</v>
      </c>
      <c r="X1" s="3453" t="s">
        <v>3283</v>
      </c>
      <c r="Y1" s="3453" t="s">
        <v>3284</v>
      </c>
      <c r="Z1" s="3453" t="s">
        <v>3285</v>
      </c>
      <c r="AA1" s="3453" t="s">
        <v>3286</v>
      </c>
      <c r="AB1" s="3453" t="s">
        <v>3287</v>
      </c>
      <c r="AC1" s="3453" t="s">
        <v>3288</v>
      </c>
      <c r="AD1" s="3453" t="s">
        <v>3289</v>
      </c>
      <c r="AE1" s="3453" t="s">
        <v>3290</v>
      </c>
      <c r="AF1" s="3453" t="s">
        <v>3291</v>
      </c>
      <c r="AG1" s="3453" t="s">
        <v>3292</v>
      </c>
      <c r="AH1" s="3453" t="s">
        <v>3293</v>
      </c>
      <c r="AI1" s="3453" t="s">
        <v>3294</v>
      </c>
      <c r="AJ1" s="3453" t="s">
        <v>3295</v>
      </c>
      <c r="AK1" s="3453" t="s">
        <v>3296</v>
      </c>
      <c r="AL1" s="3453" t="s">
        <v>3297</v>
      </c>
      <c r="AM1" s="3453" t="s">
        <v>3298</v>
      </c>
      <c r="AN1" s="3453" t="s">
        <v>3299</v>
      </c>
      <c r="AO1" s="3453" t="s">
        <v>3300</v>
      </c>
      <c r="AP1" s="3453" t="s">
        <v>3301</v>
      </c>
      <c r="AQ1" s="3453" t="s">
        <v>3302</v>
      </c>
      <c r="AR1" s="3453" t="s">
        <v>3303</v>
      </c>
      <c r="AS1" s="3453" t="s">
        <v>3304</v>
      </c>
      <c r="AT1" s="3453" t="s">
        <v>3305</v>
      </c>
      <c r="AU1" s="3453" t="s">
        <v>3306</v>
      </c>
      <c r="AV1" s="3453" t="s">
        <v>3307</v>
      </c>
      <c r="AW1" s="3453" t="s">
        <v>3308</v>
      </c>
    </row>
    <row r="2" spans="1:49" s="3457" customFormat="1" ht="12.75">
      <c r="A2" s="3457" t="s">
        <v>4165</v>
      </c>
      <c r="D2" s="3457" t="s">
        <v>4166</v>
      </c>
      <c r="F2" s="3458" t="s">
        <v>4162</v>
      </c>
      <c r="H2" s="3457" t="s">
        <v>4167</v>
      </c>
      <c r="I2" s="3458">
        <v>19759</v>
      </c>
      <c r="J2" s="3458">
        <v>51374</v>
      </c>
      <c r="K2" s="3457" t="s">
        <v>4168</v>
      </c>
      <c r="M2" s="3458" t="s">
        <v>4163</v>
      </c>
      <c r="O2" s="3457">
        <v>15</v>
      </c>
      <c r="S2" s="3457" t="s">
        <v>4155</v>
      </c>
      <c r="T2" s="3457" t="s">
        <v>4155</v>
      </c>
      <c r="AB2" s="3459">
        <v>44631</v>
      </c>
      <c r="AE2" s="3457" t="s">
        <v>4169</v>
      </c>
      <c r="AJ2" s="3458">
        <v>51374</v>
      </c>
      <c r="AL2" s="3458">
        <v>1733.33</v>
      </c>
      <c r="AN2" s="3458">
        <v>10000</v>
      </c>
      <c r="AQ2" s="3460">
        <v>0</v>
      </c>
      <c r="AR2" s="3457" t="s">
        <v>4170</v>
      </c>
      <c r="AS2" s="3457" t="s">
        <v>3317</v>
      </c>
      <c r="AT2" s="3457" t="s">
        <v>3317</v>
      </c>
      <c r="AU2" s="3457" t="s">
        <v>3320</v>
      </c>
      <c r="AV2" s="3457" t="s">
        <v>3320</v>
      </c>
    </row>
    <row r="3" spans="1:49" s="3457" customFormat="1" ht="12.75">
      <c r="A3" s="3457" t="s">
        <v>4171</v>
      </c>
      <c r="B3" s="3457" t="s">
        <v>4172</v>
      </c>
      <c r="C3" s="3457" t="s">
        <v>4173</v>
      </c>
      <c r="D3" s="3457" t="s">
        <v>4174</v>
      </c>
      <c r="E3" s="3457" t="s">
        <v>4175</v>
      </c>
      <c r="F3" s="3457" t="s">
        <v>4176</v>
      </c>
      <c r="G3" s="3457" t="s">
        <v>4177</v>
      </c>
      <c r="H3" s="3457" t="s">
        <v>4167</v>
      </c>
      <c r="I3" s="3461">
        <v>6068.29</v>
      </c>
      <c r="J3" s="3457">
        <v>12136.58</v>
      </c>
      <c r="K3" s="3457" t="s">
        <v>4178</v>
      </c>
      <c r="L3" s="3457" t="s">
        <v>4179</v>
      </c>
      <c r="M3" s="3457" t="s">
        <v>4180</v>
      </c>
      <c r="N3" s="3457" t="s">
        <v>3316</v>
      </c>
      <c r="O3" s="3457" t="s">
        <v>3317</v>
      </c>
      <c r="P3" s="3457" t="s">
        <v>4181</v>
      </c>
      <c r="Q3" s="3457" t="s">
        <v>3319</v>
      </c>
      <c r="R3" s="3457" t="s">
        <v>3320</v>
      </c>
      <c r="S3" s="3457" t="s">
        <v>3320</v>
      </c>
      <c r="T3" s="3457" t="s">
        <v>3320</v>
      </c>
      <c r="U3" s="3457" t="s">
        <v>3320</v>
      </c>
      <c r="V3" s="3457" t="s">
        <v>3320</v>
      </c>
      <c r="W3" s="3457">
        <v>0</v>
      </c>
      <c r="X3" s="3457">
        <v>0</v>
      </c>
      <c r="Y3" s="3457" t="s">
        <v>3321</v>
      </c>
      <c r="Z3" s="3457" t="s">
        <v>3322</v>
      </c>
      <c r="AA3" s="3457" t="s">
        <v>3323</v>
      </c>
      <c r="AB3" s="3459">
        <v>44581</v>
      </c>
      <c r="AC3" s="3457" t="s">
        <v>4182</v>
      </c>
      <c r="AD3" s="3457" t="s">
        <v>4183</v>
      </c>
      <c r="AE3" s="3457" t="s">
        <v>4184</v>
      </c>
      <c r="AF3" s="3457" t="s">
        <v>4185</v>
      </c>
      <c r="AG3" s="3457" t="s">
        <v>3325</v>
      </c>
      <c r="AH3" s="3457" t="s">
        <v>3326</v>
      </c>
      <c r="AI3" s="3457" t="s">
        <v>3327</v>
      </c>
      <c r="AJ3" s="3457" t="s">
        <v>3328</v>
      </c>
      <c r="AK3" s="3457" t="s">
        <v>3329</v>
      </c>
      <c r="AL3" s="3457" t="s">
        <v>3330</v>
      </c>
      <c r="AM3" s="3457" t="s">
        <v>3331</v>
      </c>
      <c r="AN3" s="3457">
        <v>10350</v>
      </c>
      <c r="AO3" s="3457" t="s">
        <v>3320</v>
      </c>
      <c r="AP3" s="3457" t="s">
        <v>3320</v>
      </c>
      <c r="AQ3" s="3457" t="s">
        <v>3332</v>
      </c>
      <c r="AR3" s="3457" t="s">
        <v>4170</v>
      </c>
      <c r="AS3" s="3457" t="s">
        <v>3317</v>
      </c>
      <c r="AT3" s="3457" t="s">
        <v>3317</v>
      </c>
      <c r="AU3" s="3457" t="s">
        <v>3320</v>
      </c>
      <c r="AV3" s="3457" t="s">
        <v>3320</v>
      </c>
      <c r="AW3" s="3457" t="s">
        <v>3320</v>
      </c>
    </row>
    <row r="4" spans="1:49" s="3457" customFormat="1" ht="12.75">
      <c r="A4" s="3457" t="s">
        <v>4186</v>
      </c>
      <c r="D4" s="3457" t="s">
        <v>4156</v>
      </c>
      <c r="F4" s="3458" t="s">
        <v>4162</v>
      </c>
      <c r="H4" s="3458" t="s">
        <v>4160</v>
      </c>
      <c r="I4" s="3458">
        <v>29450</v>
      </c>
      <c r="J4" s="3458">
        <v>88349</v>
      </c>
      <c r="K4" s="3458" t="s">
        <v>4164</v>
      </c>
      <c r="M4" s="3458" t="s">
        <v>4161</v>
      </c>
      <c r="O4" s="3457" t="s">
        <v>4155</v>
      </c>
      <c r="S4" s="3457" t="s">
        <v>4155</v>
      </c>
      <c r="T4" s="3457" t="s">
        <v>4155</v>
      </c>
      <c r="AB4" s="3459">
        <v>44070</v>
      </c>
      <c r="AE4" s="3457" t="s">
        <v>4187</v>
      </c>
      <c r="AJ4" s="3457">
        <v>105009</v>
      </c>
      <c r="AL4" s="3458">
        <v>2377.15</v>
      </c>
      <c r="AN4" s="3458">
        <v>11886</v>
      </c>
      <c r="AQ4" s="3460">
        <v>0.48570000000000002</v>
      </c>
      <c r="AR4" s="3457" t="s">
        <v>4170</v>
      </c>
      <c r="AV4" s="3457" t="s">
        <v>3320</v>
      </c>
    </row>
    <row r="5" spans="1:49">
      <c r="A5" s="3453" t="s">
        <v>3334</v>
      </c>
      <c r="B5" s="3453" t="s">
        <v>3309</v>
      </c>
      <c r="C5" s="3453" t="s">
        <v>3310</v>
      </c>
      <c r="D5" s="3453" t="s">
        <v>3335</v>
      </c>
      <c r="E5" s="3453" t="s">
        <v>3311</v>
      </c>
      <c r="F5" s="3453" t="s">
        <v>3336</v>
      </c>
      <c r="G5" s="3453" t="s">
        <v>3337</v>
      </c>
      <c r="H5" s="3453" t="s">
        <v>3313</v>
      </c>
      <c r="I5" s="3453" t="s">
        <v>3338</v>
      </c>
      <c r="J5" s="3453" t="s">
        <v>3339</v>
      </c>
      <c r="K5" s="3453" t="s">
        <v>3340</v>
      </c>
      <c r="L5" s="3453" t="s">
        <v>3314</v>
      </c>
      <c r="M5" s="3453" t="s">
        <v>3315</v>
      </c>
      <c r="N5" s="3453" t="s">
        <v>3316</v>
      </c>
      <c r="O5" s="3453" t="s">
        <v>3317</v>
      </c>
      <c r="P5" s="3453" t="s">
        <v>3341</v>
      </c>
      <c r="Q5" s="3453" t="s">
        <v>3342</v>
      </c>
      <c r="R5" s="3453" t="s">
        <v>3320</v>
      </c>
      <c r="S5" s="3453" t="s">
        <v>3320</v>
      </c>
      <c r="T5" s="3453" t="s">
        <v>3320</v>
      </c>
      <c r="U5" s="3453" t="s">
        <v>3320</v>
      </c>
      <c r="V5" s="3453" t="s">
        <v>3320</v>
      </c>
      <c r="W5" s="3453">
        <v>0</v>
      </c>
      <c r="X5" s="3453">
        <v>0</v>
      </c>
      <c r="Y5" s="3453" t="s">
        <v>3343</v>
      </c>
      <c r="Z5" s="3453" t="s">
        <v>3344</v>
      </c>
      <c r="AA5" s="3453" t="s">
        <v>3345</v>
      </c>
      <c r="AB5" s="3453" t="s">
        <v>3345</v>
      </c>
      <c r="AC5" s="3453" t="s">
        <v>3346</v>
      </c>
      <c r="AD5" s="3453" t="s">
        <v>3324</v>
      </c>
      <c r="AE5" s="3453" t="s">
        <v>3347</v>
      </c>
      <c r="AF5" s="3453" t="s">
        <v>3348</v>
      </c>
      <c r="AG5" s="3453" t="s">
        <v>3349</v>
      </c>
      <c r="AH5" s="3453" t="s">
        <v>3350</v>
      </c>
      <c r="AI5" s="3453" t="s">
        <v>3351</v>
      </c>
      <c r="AJ5" s="3453" t="s">
        <v>3349</v>
      </c>
      <c r="AK5" s="3453" t="s">
        <v>3352</v>
      </c>
      <c r="AL5" s="3453" t="s">
        <v>3352</v>
      </c>
      <c r="AM5" s="3453" t="s">
        <v>3353</v>
      </c>
      <c r="AN5" s="3453" t="s">
        <v>3353</v>
      </c>
      <c r="AO5" s="3453" t="s">
        <v>3320</v>
      </c>
      <c r="AP5" s="3453" t="s">
        <v>3320</v>
      </c>
      <c r="AQ5" s="3453" t="s">
        <v>3354</v>
      </c>
      <c r="AR5" s="3453" t="s">
        <v>3333</v>
      </c>
      <c r="AS5" s="3453" t="s">
        <v>3317</v>
      </c>
      <c r="AT5" s="3453" t="s">
        <v>3317</v>
      </c>
      <c r="AU5" s="3453" t="s">
        <v>3320</v>
      </c>
      <c r="AV5" s="3453" t="s">
        <v>3320</v>
      </c>
      <c r="AW5" s="3453" t="s">
        <v>3320</v>
      </c>
    </row>
    <row r="6" spans="1:49">
      <c r="A6" s="3453" t="s">
        <v>3355</v>
      </c>
      <c r="B6" s="3453" t="s">
        <v>3309</v>
      </c>
      <c r="C6" s="3453" t="s">
        <v>3310</v>
      </c>
      <c r="D6" s="3453" t="s">
        <v>3356</v>
      </c>
      <c r="E6" s="3453" t="s">
        <v>3311</v>
      </c>
      <c r="F6" s="3453" t="s">
        <v>3336</v>
      </c>
      <c r="G6" s="3453" t="s">
        <v>3357</v>
      </c>
      <c r="H6" s="3453" t="s">
        <v>3313</v>
      </c>
      <c r="I6" s="3453" t="s">
        <v>3358</v>
      </c>
      <c r="J6" s="3453" t="s">
        <v>3359</v>
      </c>
      <c r="K6" s="3453" t="s">
        <v>3340</v>
      </c>
      <c r="L6" s="3453" t="s">
        <v>3314</v>
      </c>
      <c r="M6" s="3453" t="s">
        <v>3315</v>
      </c>
      <c r="N6" s="3453" t="s">
        <v>3316</v>
      </c>
      <c r="O6" s="3453" t="s">
        <v>3317</v>
      </c>
      <c r="P6" s="3453" t="s">
        <v>3360</v>
      </c>
      <c r="Q6" s="3453" t="s">
        <v>3342</v>
      </c>
      <c r="R6" s="3453" t="s">
        <v>3320</v>
      </c>
      <c r="S6" s="3453" t="s">
        <v>3320</v>
      </c>
      <c r="T6" s="3453" t="s">
        <v>3320</v>
      </c>
      <c r="U6" s="3453" t="s">
        <v>3354</v>
      </c>
      <c r="V6" s="3453" t="s">
        <v>3354</v>
      </c>
      <c r="W6" s="3453">
        <v>0</v>
      </c>
      <c r="X6" s="3453">
        <v>0</v>
      </c>
      <c r="Y6" s="3453" t="s">
        <v>3343</v>
      </c>
      <c r="Z6" s="3453" t="s">
        <v>3344</v>
      </c>
      <c r="AA6" s="3453" t="s">
        <v>3345</v>
      </c>
      <c r="AB6" s="3453" t="s">
        <v>3345</v>
      </c>
      <c r="AC6" s="3453" t="s">
        <v>3361</v>
      </c>
      <c r="AD6" s="3453" t="s">
        <v>3324</v>
      </c>
      <c r="AE6" s="3453" t="s">
        <v>3347</v>
      </c>
      <c r="AF6" s="3453" t="s">
        <v>3348</v>
      </c>
      <c r="AG6" s="3453" t="s">
        <v>3362</v>
      </c>
      <c r="AH6" s="3453" t="s">
        <v>3363</v>
      </c>
      <c r="AI6" s="3453" t="s">
        <v>3351</v>
      </c>
      <c r="AJ6" s="3453" t="s">
        <v>3362</v>
      </c>
      <c r="AK6" s="3453" t="s">
        <v>3364</v>
      </c>
      <c r="AL6" s="3453" t="s">
        <v>3364</v>
      </c>
      <c r="AM6" s="3453" t="s">
        <v>3365</v>
      </c>
      <c r="AN6" s="3453" t="s">
        <v>3365</v>
      </c>
      <c r="AO6" s="3453" t="s">
        <v>3320</v>
      </c>
      <c r="AP6" s="3453" t="s">
        <v>3320</v>
      </c>
      <c r="AQ6" s="3453" t="s">
        <v>3354</v>
      </c>
      <c r="AR6" s="3453" t="s">
        <v>3333</v>
      </c>
      <c r="AS6" s="3453" t="s">
        <v>3317</v>
      </c>
      <c r="AT6" s="3453" t="s">
        <v>3317</v>
      </c>
      <c r="AU6" s="3453" t="s">
        <v>3320</v>
      </c>
      <c r="AV6" s="3453" t="s">
        <v>3320</v>
      </c>
      <c r="AW6" s="3453" t="s">
        <v>3320</v>
      </c>
    </row>
    <row r="7" spans="1:49">
      <c r="A7" s="3453" t="s">
        <v>3366</v>
      </c>
      <c r="B7" s="3453" t="s">
        <v>3309</v>
      </c>
      <c r="C7" s="3453" t="s">
        <v>3310</v>
      </c>
      <c r="D7" s="3453" t="s">
        <v>3367</v>
      </c>
      <c r="E7" s="3453" t="s">
        <v>3311</v>
      </c>
      <c r="F7" s="3453" t="s">
        <v>3368</v>
      </c>
      <c r="G7" s="3453" t="s">
        <v>3369</v>
      </c>
      <c r="H7" s="3453" t="s">
        <v>3370</v>
      </c>
      <c r="I7" s="3453" t="s">
        <v>3371</v>
      </c>
      <c r="J7" s="3453" t="s">
        <v>3372</v>
      </c>
      <c r="K7" s="3453" t="s">
        <v>3373</v>
      </c>
      <c r="L7" s="3453" t="s">
        <v>3314</v>
      </c>
      <c r="M7" s="3453" t="s">
        <v>3374</v>
      </c>
      <c r="N7" s="3453" t="s">
        <v>3316</v>
      </c>
      <c r="O7" s="3453" t="s">
        <v>3375</v>
      </c>
      <c r="P7" s="3453" t="s">
        <v>3376</v>
      </c>
      <c r="Q7" s="3453" t="s">
        <v>3377</v>
      </c>
      <c r="R7" s="3453" t="s">
        <v>3320</v>
      </c>
      <c r="S7" s="3453" t="s">
        <v>3320</v>
      </c>
      <c r="T7" s="3453" t="s">
        <v>3320</v>
      </c>
      <c r="U7" s="3453" t="s">
        <v>3354</v>
      </c>
      <c r="V7" s="3453" t="s">
        <v>3354</v>
      </c>
      <c r="W7" s="3453">
        <v>0</v>
      </c>
      <c r="X7" s="3453">
        <v>0</v>
      </c>
      <c r="Y7" s="3453" t="s">
        <v>3378</v>
      </c>
      <c r="Z7" s="3453" t="s">
        <v>3379</v>
      </c>
      <c r="AA7" s="3453" t="s">
        <v>3380</v>
      </c>
      <c r="AB7" s="3453" t="s">
        <v>3380</v>
      </c>
      <c r="AC7" s="3453" t="s">
        <v>3381</v>
      </c>
      <c r="AD7" s="3453" t="s">
        <v>3324</v>
      </c>
      <c r="AE7" s="3453" t="s">
        <v>3382</v>
      </c>
      <c r="AF7" s="3453" t="s">
        <v>3383</v>
      </c>
      <c r="AG7" s="3453" t="s">
        <v>3384</v>
      </c>
      <c r="AH7" s="3453" t="s">
        <v>3385</v>
      </c>
      <c r="AI7" s="3453" t="s">
        <v>3386</v>
      </c>
      <c r="AJ7" s="3453" t="s">
        <v>3384</v>
      </c>
      <c r="AK7" s="3453" t="s">
        <v>3387</v>
      </c>
      <c r="AL7" s="3453" t="s">
        <v>3387</v>
      </c>
      <c r="AM7" s="3453" t="s">
        <v>3388</v>
      </c>
      <c r="AN7" s="3453" t="s">
        <v>3388</v>
      </c>
      <c r="AO7" s="3453" t="s">
        <v>3320</v>
      </c>
      <c r="AP7" s="3453" t="s">
        <v>3320</v>
      </c>
      <c r="AQ7" s="3453" t="s">
        <v>3354</v>
      </c>
      <c r="AR7" s="3453" t="s">
        <v>3333</v>
      </c>
      <c r="AS7" s="3453" t="s">
        <v>3317</v>
      </c>
      <c r="AT7" s="3453" t="s">
        <v>3317</v>
      </c>
      <c r="AU7" s="3453" t="s">
        <v>3320</v>
      </c>
      <c r="AV7" s="3453" t="s">
        <v>3320</v>
      </c>
      <c r="AW7" s="3453" t="s">
        <v>3320</v>
      </c>
    </row>
    <row r="8" spans="1:49">
      <c r="A8" s="3453" t="s">
        <v>3389</v>
      </c>
      <c r="B8" s="3453" t="s">
        <v>3309</v>
      </c>
      <c r="C8" s="3453" t="s">
        <v>3310</v>
      </c>
      <c r="D8" s="3453" t="s">
        <v>3390</v>
      </c>
      <c r="E8" s="3453" t="s">
        <v>3311</v>
      </c>
      <c r="F8" s="3453" t="s">
        <v>3368</v>
      </c>
      <c r="G8" s="3453" t="s">
        <v>3391</v>
      </c>
      <c r="H8" s="3453" t="s">
        <v>3370</v>
      </c>
      <c r="I8" s="3453" t="s">
        <v>3392</v>
      </c>
      <c r="J8" s="3453" t="s">
        <v>3393</v>
      </c>
      <c r="K8" s="3453" t="s">
        <v>3394</v>
      </c>
      <c r="L8" s="3453" t="s">
        <v>3314</v>
      </c>
      <c r="M8" s="3453" t="s">
        <v>3374</v>
      </c>
      <c r="N8" s="3453" t="s">
        <v>3316</v>
      </c>
      <c r="O8" s="3453" t="s">
        <v>3395</v>
      </c>
      <c r="P8" s="3453" t="s">
        <v>3396</v>
      </c>
      <c r="Q8" s="3453" t="s">
        <v>3397</v>
      </c>
      <c r="R8" s="3453" t="s">
        <v>3398</v>
      </c>
      <c r="S8" s="3453" t="s">
        <v>3398</v>
      </c>
      <c r="T8" s="3453" t="s">
        <v>3320</v>
      </c>
      <c r="U8" s="3453" t="s">
        <v>3354</v>
      </c>
      <c r="V8" s="3453" t="s">
        <v>3354</v>
      </c>
      <c r="W8" s="3453">
        <v>0</v>
      </c>
      <c r="X8" s="3453">
        <v>0</v>
      </c>
      <c r="Y8" s="3453" t="s">
        <v>3378</v>
      </c>
      <c r="Z8" s="3453" t="s">
        <v>3379</v>
      </c>
      <c r="AA8" s="3453" t="s">
        <v>3380</v>
      </c>
      <c r="AB8" s="3453" t="s">
        <v>3380</v>
      </c>
      <c r="AC8" s="3453" t="s">
        <v>3399</v>
      </c>
      <c r="AD8" s="3453" t="s">
        <v>3324</v>
      </c>
      <c r="AE8" s="3453" t="s">
        <v>3400</v>
      </c>
      <c r="AF8" s="3453" t="s">
        <v>3320</v>
      </c>
      <c r="AG8" s="3453" t="s">
        <v>3401</v>
      </c>
      <c r="AH8" s="3453" t="s">
        <v>3402</v>
      </c>
      <c r="AI8" s="3453" t="s">
        <v>3386</v>
      </c>
      <c r="AJ8" s="3453" t="s">
        <v>3401</v>
      </c>
      <c r="AK8" s="3453" t="s">
        <v>3403</v>
      </c>
      <c r="AL8" s="3453" t="s">
        <v>3403</v>
      </c>
      <c r="AM8" s="3453" t="s">
        <v>3404</v>
      </c>
      <c r="AN8" s="3453" t="s">
        <v>3404</v>
      </c>
      <c r="AO8" s="3453" t="s">
        <v>3320</v>
      </c>
      <c r="AP8" s="3453" t="s">
        <v>3320</v>
      </c>
      <c r="AQ8" s="3453" t="s">
        <v>3354</v>
      </c>
      <c r="AR8" s="3453" t="s">
        <v>3333</v>
      </c>
      <c r="AS8" s="3453" t="s">
        <v>3317</v>
      </c>
      <c r="AT8" s="3453" t="s">
        <v>3317</v>
      </c>
      <c r="AU8" s="3453" t="s">
        <v>3320</v>
      </c>
      <c r="AV8" s="3453" t="s">
        <v>3320</v>
      </c>
      <c r="AW8" s="3453" t="s">
        <v>3320</v>
      </c>
    </row>
    <row r="9" spans="1:49">
      <c r="A9" s="3453" t="s">
        <v>3389</v>
      </c>
      <c r="B9" s="3453" t="s">
        <v>3309</v>
      </c>
      <c r="C9" s="3453" t="s">
        <v>3310</v>
      </c>
      <c r="D9" s="3453" t="s">
        <v>3405</v>
      </c>
      <c r="E9" s="3453" t="s">
        <v>3311</v>
      </c>
      <c r="F9" s="3453" t="s">
        <v>3368</v>
      </c>
      <c r="G9" s="3453" t="s">
        <v>3391</v>
      </c>
      <c r="H9" s="3453" t="s">
        <v>3370</v>
      </c>
      <c r="I9" s="3453" t="s">
        <v>3406</v>
      </c>
      <c r="J9" s="3453" t="s">
        <v>3407</v>
      </c>
      <c r="K9" s="3453" t="s">
        <v>3408</v>
      </c>
      <c r="L9" s="3453" t="s">
        <v>3314</v>
      </c>
      <c r="M9" s="3453" t="s">
        <v>3374</v>
      </c>
      <c r="N9" s="3453" t="s">
        <v>3316</v>
      </c>
      <c r="O9" s="3453" t="s">
        <v>3395</v>
      </c>
      <c r="P9" s="3453" t="s">
        <v>3409</v>
      </c>
      <c r="Q9" s="3453" t="s">
        <v>3397</v>
      </c>
      <c r="R9" s="3453" t="s">
        <v>3398</v>
      </c>
      <c r="S9" s="3453" t="s">
        <v>3398</v>
      </c>
      <c r="T9" s="3453" t="s">
        <v>3320</v>
      </c>
      <c r="U9" s="3453" t="s">
        <v>3354</v>
      </c>
      <c r="V9" s="3453" t="s">
        <v>3354</v>
      </c>
      <c r="W9" s="3453">
        <v>0</v>
      </c>
      <c r="X9" s="3453">
        <v>0</v>
      </c>
      <c r="Y9" s="3453" t="s">
        <v>3378</v>
      </c>
      <c r="Z9" s="3453" t="s">
        <v>3379</v>
      </c>
      <c r="AA9" s="3453" t="s">
        <v>3380</v>
      </c>
      <c r="AB9" s="3453" t="s">
        <v>3380</v>
      </c>
      <c r="AC9" s="3453" t="s">
        <v>3410</v>
      </c>
      <c r="AD9" s="3453" t="s">
        <v>3324</v>
      </c>
      <c r="AE9" s="3453" t="s">
        <v>3400</v>
      </c>
      <c r="AF9" s="3453" t="s">
        <v>3320</v>
      </c>
      <c r="AG9" s="3453" t="s">
        <v>3411</v>
      </c>
      <c r="AH9" s="3453" t="s">
        <v>3412</v>
      </c>
      <c r="AI9" s="3453" t="s">
        <v>3386</v>
      </c>
      <c r="AJ9" s="3453" t="s">
        <v>3411</v>
      </c>
      <c r="AK9" s="3453" t="s">
        <v>3413</v>
      </c>
      <c r="AL9" s="3453" t="s">
        <v>3413</v>
      </c>
      <c r="AM9" s="3453" t="s">
        <v>3414</v>
      </c>
      <c r="AN9" s="3453" t="s">
        <v>3414</v>
      </c>
      <c r="AO9" s="3453" t="s">
        <v>3320</v>
      </c>
      <c r="AP9" s="3453" t="s">
        <v>3320</v>
      </c>
      <c r="AQ9" s="3453" t="s">
        <v>3354</v>
      </c>
      <c r="AR9" s="3453" t="s">
        <v>3333</v>
      </c>
      <c r="AS9" s="3453" t="s">
        <v>3317</v>
      </c>
      <c r="AT9" s="3453" t="s">
        <v>3317</v>
      </c>
      <c r="AU9" s="3453" t="s">
        <v>3320</v>
      </c>
      <c r="AV9" s="3453" t="s">
        <v>3320</v>
      </c>
      <c r="AW9" s="3453" t="s">
        <v>3320</v>
      </c>
    </row>
    <row r="10" spans="1:49">
      <c r="A10" s="3453" t="s">
        <v>3366</v>
      </c>
      <c r="B10" s="3453" t="s">
        <v>3309</v>
      </c>
      <c r="C10" s="3453" t="s">
        <v>3310</v>
      </c>
      <c r="D10" s="3453" t="s">
        <v>3415</v>
      </c>
      <c r="E10" s="3453" t="s">
        <v>3311</v>
      </c>
      <c r="F10" s="3453" t="s">
        <v>3368</v>
      </c>
      <c r="G10" s="3453" t="s">
        <v>3369</v>
      </c>
      <c r="H10" s="3453" t="s">
        <v>3370</v>
      </c>
      <c r="I10" s="3453" t="s">
        <v>3416</v>
      </c>
      <c r="J10" s="3453" t="s">
        <v>3417</v>
      </c>
      <c r="K10" s="3453" t="s">
        <v>3418</v>
      </c>
      <c r="L10" s="3453" t="s">
        <v>3314</v>
      </c>
      <c r="M10" s="3453" t="s">
        <v>3374</v>
      </c>
      <c r="N10" s="3453" t="s">
        <v>3316</v>
      </c>
      <c r="O10" s="3453" t="s">
        <v>3375</v>
      </c>
      <c r="P10" s="3453" t="s">
        <v>3376</v>
      </c>
      <c r="Q10" s="3453" t="s">
        <v>3419</v>
      </c>
      <c r="R10" s="3453" t="s">
        <v>3398</v>
      </c>
      <c r="S10" s="3453" t="s">
        <v>3398</v>
      </c>
      <c r="T10" s="3453" t="s">
        <v>3320</v>
      </c>
      <c r="U10" s="3453" t="s">
        <v>3354</v>
      </c>
      <c r="V10" s="3453" t="s">
        <v>3354</v>
      </c>
      <c r="W10" s="3453">
        <v>0</v>
      </c>
      <c r="X10" s="3453">
        <v>0</v>
      </c>
      <c r="Y10" s="3453" t="s">
        <v>3378</v>
      </c>
      <c r="Z10" s="3453" t="s">
        <v>3379</v>
      </c>
      <c r="AA10" s="3453" t="s">
        <v>3380</v>
      </c>
      <c r="AB10" s="3453" t="s">
        <v>3380</v>
      </c>
      <c r="AC10" s="3453" t="s">
        <v>3420</v>
      </c>
      <c r="AD10" s="3453" t="s">
        <v>3324</v>
      </c>
      <c r="AE10" s="3453" t="s">
        <v>3382</v>
      </c>
      <c r="AF10" s="3453" t="s">
        <v>3383</v>
      </c>
      <c r="AG10" s="3453" t="s">
        <v>3421</v>
      </c>
      <c r="AH10" s="3453" t="s">
        <v>3422</v>
      </c>
      <c r="AI10" s="3453" t="s">
        <v>3386</v>
      </c>
      <c r="AJ10" s="3453" t="s">
        <v>3421</v>
      </c>
      <c r="AK10" s="3453" t="s">
        <v>3423</v>
      </c>
      <c r="AL10" s="3453" t="s">
        <v>3423</v>
      </c>
      <c r="AM10" s="3453" t="s">
        <v>3388</v>
      </c>
      <c r="AN10" s="3453" t="s">
        <v>3388</v>
      </c>
      <c r="AO10" s="3453" t="s">
        <v>3320</v>
      </c>
      <c r="AP10" s="3453" t="s">
        <v>3320</v>
      </c>
      <c r="AQ10" s="3453" t="s">
        <v>3354</v>
      </c>
      <c r="AR10" s="3453" t="s">
        <v>3333</v>
      </c>
      <c r="AS10" s="3453" t="s">
        <v>3317</v>
      </c>
      <c r="AT10" s="3453" t="s">
        <v>3317</v>
      </c>
      <c r="AU10" s="3453" t="s">
        <v>3320</v>
      </c>
      <c r="AV10" s="3453" t="s">
        <v>3320</v>
      </c>
      <c r="AW10" s="3453" t="s">
        <v>3320</v>
      </c>
    </row>
    <row r="11" spans="1:49">
      <c r="A11" s="3453" t="s">
        <v>3424</v>
      </c>
      <c r="B11" s="3453" t="s">
        <v>3309</v>
      </c>
      <c r="C11" s="3453" t="s">
        <v>3310</v>
      </c>
      <c r="D11" s="3453" t="s">
        <v>3425</v>
      </c>
      <c r="E11" s="3453" t="s">
        <v>3311</v>
      </c>
      <c r="F11" s="3453" t="s">
        <v>3336</v>
      </c>
      <c r="G11" s="3453" t="s">
        <v>3426</v>
      </c>
      <c r="H11" s="3453" t="s">
        <v>3370</v>
      </c>
      <c r="I11" s="3453" t="s">
        <v>3427</v>
      </c>
      <c r="J11" s="3453" t="s">
        <v>3428</v>
      </c>
      <c r="K11" s="3453" t="s">
        <v>3340</v>
      </c>
      <c r="L11" s="3453" t="s">
        <v>3314</v>
      </c>
      <c r="M11" s="3453" t="s">
        <v>3429</v>
      </c>
      <c r="N11" s="3453" t="s">
        <v>3316</v>
      </c>
      <c r="O11" s="3453" t="s">
        <v>3430</v>
      </c>
      <c r="P11" s="3453" t="s">
        <v>3431</v>
      </c>
      <c r="Q11" s="3453" t="s">
        <v>3432</v>
      </c>
      <c r="R11" s="3453" t="s">
        <v>3320</v>
      </c>
      <c r="S11" s="3453" t="s">
        <v>3320</v>
      </c>
      <c r="T11" s="3453" t="s">
        <v>3320</v>
      </c>
      <c r="U11" s="3453" t="s">
        <v>3354</v>
      </c>
      <c r="V11" s="3453" t="s">
        <v>3354</v>
      </c>
      <c r="W11" s="3453">
        <v>0</v>
      </c>
      <c r="X11" s="3453">
        <v>0</v>
      </c>
      <c r="Y11" s="3453" t="s">
        <v>3433</v>
      </c>
      <c r="Z11" s="3453" t="s">
        <v>3434</v>
      </c>
      <c r="AA11" s="3453" t="s">
        <v>3435</v>
      </c>
      <c r="AB11" s="3453" t="s">
        <v>3435</v>
      </c>
      <c r="AC11" s="3453" t="s">
        <v>3436</v>
      </c>
      <c r="AD11" s="3453" t="s">
        <v>3324</v>
      </c>
      <c r="AE11" s="3453" t="s">
        <v>3437</v>
      </c>
      <c r="AF11" s="3453" t="s">
        <v>3438</v>
      </c>
      <c r="AG11" s="3453" t="s">
        <v>3439</v>
      </c>
      <c r="AH11" s="3453" t="s">
        <v>3440</v>
      </c>
      <c r="AI11" s="3453" t="s">
        <v>3441</v>
      </c>
      <c r="AJ11" s="3453" t="s">
        <v>3439</v>
      </c>
      <c r="AK11" s="3453" t="s">
        <v>3442</v>
      </c>
      <c r="AL11" s="3453" t="s">
        <v>3442</v>
      </c>
      <c r="AM11" s="3453" t="s">
        <v>3443</v>
      </c>
      <c r="AN11" s="3453" t="s">
        <v>3443</v>
      </c>
      <c r="AO11" s="3453" t="s">
        <v>3320</v>
      </c>
      <c r="AP11" s="3453" t="s">
        <v>3320</v>
      </c>
      <c r="AQ11" s="3453" t="s">
        <v>3354</v>
      </c>
      <c r="AR11" s="3453" t="s">
        <v>3444</v>
      </c>
      <c r="AS11" s="3453" t="s">
        <v>3317</v>
      </c>
      <c r="AT11" s="3453" t="s">
        <v>3317</v>
      </c>
      <c r="AU11" s="3453" t="s">
        <v>3320</v>
      </c>
      <c r="AV11" s="3453" t="s">
        <v>3320</v>
      </c>
      <c r="AW11" s="3453" t="s">
        <v>3320</v>
      </c>
    </row>
    <row r="12" spans="1:49">
      <c r="A12" s="3453" t="s">
        <v>3424</v>
      </c>
      <c r="B12" s="3453" t="s">
        <v>3309</v>
      </c>
      <c r="C12" s="3453" t="s">
        <v>3310</v>
      </c>
      <c r="D12" s="3453" t="s">
        <v>3445</v>
      </c>
      <c r="E12" s="3453" t="s">
        <v>3311</v>
      </c>
      <c r="F12" s="3453" t="s">
        <v>3336</v>
      </c>
      <c r="G12" s="3453" t="s">
        <v>3426</v>
      </c>
      <c r="H12" s="3453" t="s">
        <v>3370</v>
      </c>
      <c r="I12" s="3453" t="s">
        <v>3446</v>
      </c>
      <c r="J12" s="3453" t="s">
        <v>3447</v>
      </c>
      <c r="K12" s="3453" t="s">
        <v>3340</v>
      </c>
      <c r="L12" s="3453" t="s">
        <v>3314</v>
      </c>
      <c r="M12" s="3453" t="s">
        <v>3448</v>
      </c>
      <c r="N12" s="3453" t="s">
        <v>3316</v>
      </c>
      <c r="O12" s="3453" t="s">
        <v>3449</v>
      </c>
      <c r="P12" s="3453" t="s">
        <v>3431</v>
      </c>
      <c r="Q12" s="3453" t="s">
        <v>3432</v>
      </c>
      <c r="R12" s="3453" t="s">
        <v>3320</v>
      </c>
      <c r="S12" s="3453" t="s">
        <v>3320</v>
      </c>
      <c r="T12" s="3453" t="s">
        <v>3320</v>
      </c>
      <c r="U12" s="3453" t="s">
        <v>3354</v>
      </c>
      <c r="V12" s="3453" t="s">
        <v>3354</v>
      </c>
      <c r="W12" s="3453">
        <v>0</v>
      </c>
      <c r="X12" s="3453">
        <v>0</v>
      </c>
      <c r="Y12" s="3453" t="s">
        <v>3433</v>
      </c>
      <c r="Z12" s="3453" t="s">
        <v>3434</v>
      </c>
      <c r="AA12" s="3453" t="s">
        <v>3435</v>
      </c>
      <c r="AB12" s="3453" t="s">
        <v>3435</v>
      </c>
      <c r="AC12" s="3453" t="s">
        <v>3450</v>
      </c>
      <c r="AD12" s="3453" t="s">
        <v>3324</v>
      </c>
      <c r="AE12" s="3453" t="s">
        <v>3437</v>
      </c>
      <c r="AF12" s="3453" t="s">
        <v>3438</v>
      </c>
      <c r="AG12" s="3453" t="s">
        <v>3451</v>
      </c>
      <c r="AH12" s="3453" t="s">
        <v>3452</v>
      </c>
      <c r="AI12" s="3453" t="s">
        <v>3441</v>
      </c>
      <c r="AJ12" s="3453" t="s">
        <v>3451</v>
      </c>
      <c r="AK12" s="3453" t="s">
        <v>3453</v>
      </c>
      <c r="AL12" s="3453" t="s">
        <v>3453</v>
      </c>
      <c r="AM12" s="3453" t="s">
        <v>3454</v>
      </c>
      <c r="AN12" s="3453" t="s">
        <v>3454</v>
      </c>
      <c r="AO12" s="3453" t="s">
        <v>3320</v>
      </c>
      <c r="AP12" s="3453" t="s">
        <v>3320</v>
      </c>
      <c r="AQ12" s="3453" t="s">
        <v>3354</v>
      </c>
      <c r="AR12" s="3453" t="s">
        <v>3444</v>
      </c>
      <c r="AS12" s="3453" t="s">
        <v>3317</v>
      </c>
      <c r="AT12" s="3453" t="s">
        <v>3317</v>
      </c>
      <c r="AU12" s="3453" t="s">
        <v>3320</v>
      </c>
      <c r="AV12" s="3453" t="s">
        <v>3320</v>
      </c>
      <c r="AW12" s="3453" t="s">
        <v>3320</v>
      </c>
    </row>
    <row r="13" spans="1:49">
      <c r="A13" s="3453" t="s">
        <v>3455</v>
      </c>
      <c r="B13" s="3453" t="s">
        <v>3309</v>
      </c>
      <c r="C13" s="3453" t="s">
        <v>3310</v>
      </c>
      <c r="D13" s="3453" t="s">
        <v>3456</v>
      </c>
      <c r="E13" s="3453" t="s">
        <v>3311</v>
      </c>
      <c r="F13" s="3453" t="s">
        <v>3336</v>
      </c>
      <c r="G13" s="3453" t="s">
        <v>3457</v>
      </c>
      <c r="H13" s="3453" t="s">
        <v>3313</v>
      </c>
      <c r="I13" s="3453" t="s">
        <v>3458</v>
      </c>
      <c r="J13" s="3453" t="s">
        <v>3459</v>
      </c>
      <c r="K13" s="3453" t="s">
        <v>3418</v>
      </c>
      <c r="L13" s="3453" t="s">
        <v>3314</v>
      </c>
      <c r="M13" s="3453" t="s">
        <v>3315</v>
      </c>
      <c r="N13" s="3453" t="s">
        <v>3316</v>
      </c>
      <c r="O13" s="3453" t="s">
        <v>3460</v>
      </c>
      <c r="P13" s="3453" t="s">
        <v>3360</v>
      </c>
      <c r="Q13" s="3453" t="s">
        <v>3461</v>
      </c>
      <c r="R13" s="3453" t="s">
        <v>3462</v>
      </c>
      <c r="S13" s="3453" t="s">
        <v>3462</v>
      </c>
      <c r="T13" s="3453" t="s">
        <v>3463</v>
      </c>
      <c r="U13" s="3453" t="s">
        <v>3320</v>
      </c>
      <c r="V13" s="3453" t="s">
        <v>3354</v>
      </c>
      <c r="W13" s="3453">
        <v>0</v>
      </c>
      <c r="X13" s="3453">
        <v>0</v>
      </c>
      <c r="Y13" s="3453" t="s">
        <v>3464</v>
      </c>
      <c r="Z13" s="3453" t="s">
        <v>3465</v>
      </c>
      <c r="AA13" s="3453" t="s">
        <v>3433</v>
      </c>
      <c r="AB13" s="3453" t="s">
        <v>3433</v>
      </c>
      <c r="AC13" s="3453" t="s">
        <v>3466</v>
      </c>
      <c r="AD13" s="3453" t="s">
        <v>3324</v>
      </c>
      <c r="AE13" s="3453" t="s">
        <v>3467</v>
      </c>
      <c r="AF13" s="3453" t="s">
        <v>3320</v>
      </c>
      <c r="AG13" s="3453" t="s">
        <v>3468</v>
      </c>
      <c r="AH13" s="3453" t="s">
        <v>3469</v>
      </c>
      <c r="AI13" s="3453" t="s">
        <v>3470</v>
      </c>
      <c r="AJ13" s="3453" t="s">
        <v>3468</v>
      </c>
      <c r="AK13" s="3453" t="s">
        <v>3471</v>
      </c>
      <c r="AL13" s="3453" t="s">
        <v>3471</v>
      </c>
      <c r="AM13" s="3453" t="s">
        <v>3472</v>
      </c>
      <c r="AN13" s="3453" t="s">
        <v>3472</v>
      </c>
      <c r="AO13" s="3453" t="s">
        <v>3320</v>
      </c>
      <c r="AP13" s="3453" t="s">
        <v>3320</v>
      </c>
      <c r="AQ13" s="3453" t="s">
        <v>3354</v>
      </c>
      <c r="AR13" s="3453" t="s">
        <v>3333</v>
      </c>
      <c r="AS13" s="3453" t="s">
        <v>3317</v>
      </c>
      <c r="AT13" s="3453" t="s">
        <v>3317</v>
      </c>
      <c r="AU13" s="3453" t="s">
        <v>3320</v>
      </c>
      <c r="AV13" s="3453" t="s">
        <v>3320</v>
      </c>
      <c r="AW13" s="3453" t="s">
        <v>3320</v>
      </c>
    </row>
    <row r="14" spans="1:49">
      <c r="A14" s="3453" t="s">
        <v>3473</v>
      </c>
      <c r="B14" s="3453" t="s">
        <v>3309</v>
      </c>
      <c r="C14" s="3453" t="s">
        <v>3310</v>
      </c>
      <c r="D14" s="3453" t="s">
        <v>3474</v>
      </c>
      <c r="E14" s="3453" t="s">
        <v>3311</v>
      </c>
      <c r="F14" s="3453" t="s">
        <v>3336</v>
      </c>
      <c r="G14" s="3453" t="s">
        <v>3475</v>
      </c>
      <c r="H14" s="3453" t="s">
        <v>3313</v>
      </c>
      <c r="I14" s="3453" t="s">
        <v>3476</v>
      </c>
      <c r="J14" s="3453" t="s">
        <v>3477</v>
      </c>
      <c r="K14" s="3453" t="s">
        <v>3418</v>
      </c>
      <c r="L14" s="3453" t="s">
        <v>3314</v>
      </c>
      <c r="M14" s="3453" t="s">
        <v>3315</v>
      </c>
      <c r="N14" s="3453" t="s">
        <v>3316</v>
      </c>
      <c r="O14" s="3453" t="s">
        <v>3317</v>
      </c>
      <c r="P14" s="3453" t="s">
        <v>3360</v>
      </c>
      <c r="Q14" s="3453" t="s">
        <v>3461</v>
      </c>
      <c r="R14" s="3453" t="s">
        <v>3462</v>
      </c>
      <c r="S14" s="3453" t="s">
        <v>3462</v>
      </c>
      <c r="T14" s="3453" t="s">
        <v>3463</v>
      </c>
      <c r="U14" s="3453" t="s">
        <v>3320</v>
      </c>
      <c r="V14" s="3453" t="s">
        <v>3320</v>
      </c>
      <c r="W14" s="3453">
        <v>0</v>
      </c>
      <c r="X14" s="3453">
        <v>0</v>
      </c>
      <c r="Y14" s="3453" t="s">
        <v>3464</v>
      </c>
      <c r="Z14" s="3453" t="s">
        <v>3465</v>
      </c>
      <c r="AA14" s="3453" t="s">
        <v>3433</v>
      </c>
      <c r="AB14" s="3453" t="s">
        <v>3433</v>
      </c>
      <c r="AC14" s="3453" t="s">
        <v>3478</v>
      </c>
      <c r="AD14" s="3453" t="s">
        <v>3324</v>
      </c>
      <c r="AE14" s="3453" t="s">
        <v>3467</v>
      </c>
      <c r="AF14" s="3453" t="s">
        <v>3479</v>
      </c>
      <c r="AG14" s="3453" t="s">
        <v>3480</v>
      </c>
      <c r="AH14" s="3453" t="s">
        <v>3481</v>
      </c>
      <c r="AI14" s="3453" t="s">
        <v>3470</v>
      </c>
      <c r="AJ14" s="3453" t="s">
        <v>3480</v>
      </c>
      <c r="AK14" s="3453" t="s">
        <v>3482</v>
      </c>
      <c r="AL14" s="3453" t="s">
        <v>3482</v>
      </c>
      <c r="AM14" s="3453" t="s">
        <v>3483</v>
      </c>
      <c r="AN14" s="3453" t="s">
        <v>3483</v>
      </c>
      <c r="AO14" s="3453" t="s">
        <v>3320</v>
      </c>
      <c r="AP14" s="3453" t="s">
        <v>3320</v>
      </c>
      <c r="AQ14" s="3453" t="s">
        <v>3354</v>
      </c>
      <c r="AR14" s="3453" t="s">
        <v>3333</v>
      </c>
      <c r="AS14" s="3453" t="s">
        <v>3317</v>
      </c>
      <c r="AT14" s="3453" t="s">
        <v>3317</v>
      </c>
      <c r="AU14" s="3453" t="s">
        <v>3320</v>
      </c>
      <c r="AV14" s="3453" t="s">
        <v>3320</v>
      </c>
      <c r="AW14" s="3453" t="s">
        <v>3320</v>
      </c>
    </row>
    <row r="15" spans="1:49">
      <c r="A15" s="3453" t="s">
        <v>3484</v>
      </c>
      <c r="B15" s="3453" t="s">
        <v>3309</v>
      </c>
      <c r="C15" s="3453" t="s">
        <v>3310</v>
      </c>
      <c r="D15" s="3453" t="s">
        <v>3485</v>
      </c>
      <c r="E15" s="3453" t="s">
        <v>3311</v>
      </c>
      <c r="F15" s="3453" t="s">
        <v>3368</v>
      </c>
      <c r="G15" s="3453" t="s">
        <v>3486</v>
      </c>
      <c r="H15" s="3453" t="s">
        <v>3313</v>
      </c>
      <c r="I15" s="3453" t="s">
        <v>3487</v>
      </c>
      <c r="J15" s="3453" t="s">
        <v>3488</v>
      </c>
      <c r="K15" s="3453" t="s">
        <v>3489</v>
      </c>
      <c r="L15" s="3453" t="s">
        <v>3314</v>
      </c>
      <c r="M15" s="3453" t="s">
        <v>3315</v>
      </c>
      <c r="N15" s="3453" t="s">
        <v>3316</v>
      </c>
      <c r="O15" s="3453" t="s">
        <v>3460</v>
      </c>
      <c r="P15" s="3453" t="s">
        <v>3341</v>
      </c>
      <c r="Q15" s="3453" t="s">
        <v>3490</v>
      </c>
      <c r="R15" s="3453" t="s">
        <v>3462</v>
      </c>
      <c r="S15" s="3453" t="s">
        <v>3462</v>
      </c>
      <c r="T15" s="3453" t="s">
        <v>3320</v>
      </c>
      <c r="U15" s="3453" t="s">
        <v>3354</v>
      </c>
      <c r="V15" s="3453" t="s">
        <v>3354</v>
      </c>
      <c r="W15" s="3453">
        <v>0</v>
      </c>
      <c r="X15" s="3453">
        <v>0</v>
      </c>
      <c r="Y15" s="3453" t="s">
        <v>3491</v>
      </c>
      <c r="Z15" s="3453" t="s">
        <v>3492</v>
      </c>
      <c r="AA15" s="3453" t="s">
        <v>3493</v>
      </c>
      <c r="AB15" s="3453" t="s">
        <v>3493</v>
      </c>
      <c r="AC15" s="3453" t="s">
        <v>3494</v>
      </c>
      <c r="AD15" s="3453" t="s">
        <v>3324</v>
      </c>
      <c r="AE15" s="3453" t="s">
        <v>3495</v>
      </c>
      <c r="AF15" s="3453" t="s">
        <v>3496</v>
      </c>
      <c r="AG15" s="3453" t="s">
        <v>3497</v>
      </c>
      <c r="AH15" s="3453" t="s">
        <v>3498</v>
      </c>
      <c r="AI15" s="3453" t="s">
        <v>3499</v>
      </c>
      <c r="AJ15" s="3453" t="s">
        <v>3497</v>
      </c>
      <c r="AK15" s="3453" t="s">
        <v>3500</v>
      </c>
      <c r="AL15" s="3453" t="s">
        <v>3500</v>
      </c>
      <c r="AM15" s="3453" t="s">
        <v>3501</v>
      </c>
      <c r="AN15" s="3453" t="s">
        <v>3501</v>
      </c>
      <c r="AO15" s="3453" t="s">
        <v>3320</v>
      </c>
      <c r="AP15" s="3453" t="s">
        <v>3320</v>
      </c>
      <c r="AQ15" s="3453" t="s">
        <v>3354</v>
      </c>
      <c r="AR15" s="3453" t="s">
        <v>3333</v>
      </c>
      <c r="AS15" s="3453" t="s">
        <v>3317</v>
      </c>
      <c r="AT15" s="3453" t="s">
        <v>3317</v>
      </c>
      <c r="AU15" s="3453" t="s">
        <v>3320</v>
      </c>
      <c r="AV15" s="3453" t="s">
        <v>3320</v>
      </c>
      <c r="AW15" s="3453" t="s">
        <v>3502</v>
      </c>
    </row>
    <row r="16" spans="1:49">
      <c r="A16" s="3453" t="s">
        <v>3424</v>
      </c>
      <c r="B16" s="3453" t="s">
        <v>3309</v>
      </c>
      <c r="C16" s="3453" t="s">
        <v>3310</v>
      </c>
      <c r="D16" s="3453" t="s">
        <v>3503</v>
      </c>
      <c r="E16" s="3453" t="s">
        <v>3311</v>
      </c>
      <c r="F16" s="3453" t="s">
        <v>3368</v>
      </c>
      <c r="G16" s="3453" t="s">
        <v>3426</v>
      </c>
      <c r="H16" s="3453" t="s">
        <v>3313</v>
      </c>
      <c r="I16" s="3453" t="s">
        <v>3504</v>
      </c>
      <c r="J16" s="3453" t="s">
        <v>3505</v>
      </c>
      <c r="K16" s="3453" t="s">
        <v>3506</v>
      </c>
      <c r="L16" s="3453" t="s">
        <v>3314</v>
      </c>
      <c r="M16" s="3453" t="s">
        <v>3315</v>
      </c>
      <c r="N16" s="3453" t="s">
        <v>3316</v>
      </c>
      <c r="O16" s="3453" t="s">
        <v>3460</v>
      </c>
      <c r="P16" s="3453" t="s">
        <v>3318</v>
      </c>
      <c r="Q16" s="3453" t="s">
        <v>3490</v>
      </c>
      <c r="R16" s="3453" t="s">
        <v>3462</v>
      </c>
      <c r="S16" s="3453" t="s">
        <v>3462</v>
      </c>
      <c r="T16" s="3453" t="s">
        <v>3463</v>
      </c>
      <c r="U16" s="3453" t="s">
        <v>3354</v>
      </c>
      <c r="V16" s="3453" t="s">
        <v>3320</v>
      </c>
      <c r="W16" s="3453">
        <v>0</v>
      </c>
      <c r="X16" s="3453">
        <v>0</v>
      </c>
      <c r="Y16" s="3453" t="s">
        <v>3507</v>
      </c>
      <c r="Z16" s="3453" t="s">
        <v>3508</v>
      </c>
      <c r="AA16" s="3453" t="s">
        <v>3509</v>
      </c>
      <c r="AB16" s="3453" t="s">
        <v>3509</v>
      </c>
      <c r="AC16" s="3453" t="s">
        <v>3510</v>
      </c>
      <c r="AD16" s="3453" t="s">
        <v>3324</v>
      </c>
      <c r="AE16" s="3453" t="s">
        <v>3511</v>
      </c>
      <c r="AF16" s="3453" t="s">
        <v>3512</v>
      </c>
      <c r="AG16" s="3453" t="s">
        <v>3513</v>
      </c>
      <c r="AH16" s="3453" t="s">
        <v>3514</v>
      </c>
      <c r="AI16" s="3453" t="s">
        <v>3515</v>
      </c>
      <c r="AJ16" s="3453" t="s">
        <v>3513</v>
      </c>
      <c r="AK16" s="3453" t="s">
        <v>3516</v>
      </c>
      <c r="AL16" s="3453" t="s">
        <v>3516</v>
      </c>
      <c r="AM16" s="3453" t="s">
        <v>3517</v>
      </c>
      <c r="AN16" s="3453" t="s">
        <v>3517</v>
      </c>
      <c r="AO16" s="3453" t="s">
        <v>3320</v>
      </c>
      <c r="AP16" s="3453" t="s">
        <v>3320</v>
      </c>
      <c r="AQ16" s="3453" t="s">
        <v>3354</v>
      </c>
      <c r="AR16" s="3453" t="s">
        <v>3333</v>
      </c>
      <c r="AS16" s="3453" t="s">
        <v>3317</v>
      </c>
      <c r="AT16" s="3453" t="s">
        <v>3317</v>
      </c>
      <c r="AU16" s="3453" t="s">
        <v>3320</v>
      </c>
      <c r="AV16" s="3453" t="s">
        <v>3320</v>
      </c>
      <c r="AW16" s="3453" t="s">
        <v>3518</v>
      </c>
    </row>
    <row r="17" spans="1:49">
      <c r="A17" s="3453" t="s">
        <v>3519</v>
      </c>
      <c r="B17" s="3453" t="s">
        <v>3309</v>
      </c>
      <c r="C17" s="3453" t="s">
        <v>3310</v>
      </c>
      <c r="D17" s="3453" t="s">
        <v>3520</v>
      </c>
      <c r="E17" s="3453" t="s">
        <v>3311</v>
      </c>
      <c r="F17" s="3453" t="s">
        <v>3368</v>
      </c>
      <c r="G17" s="3453" t="s">
        <v>3521</v>
      </c>
      <c r="H17" s="3453" t="s">
        <v>3313</v>
      </c>
      <c r="I17" s="3453" t="s">
        <v>3522</v>
      </c>
      <c r="J17" s="3453" t="s">
        <v>3523</v>
      </c>
      <c r="K17" s="3453" t="s">
        <v>3524</v>
      </c>
      <c r="L17" s="3453" t="s">
        <v>3314</v>
      </c>
      <c r="M17" s="3453" t="s">
        <v>3315</v>
      </c>
      <c r="N17" s="3453" t="s">
        <v>3316</v>
      </c>
      <c r="O17" s="3453" t="s">
        <v>3460</v>
      </c>
      <c r="P17" s="3453" t="s">
        <v>3431</v>
      </c>
      <c r="Q17" s="3453" t="s">
        <v>3490</v>
      </c>
      <c r="R17" s="3453" t="s">
        <v>3462</v>
      </c>
      <c r="S17" s="3453" t="s">
        <v>3462</v>
      </c>
      <c r="T17" s="3453" t="s">
        <v>3320</v>
      </c>
      <c r="U17" s="3453" t="s">
        <v>3354</v>
      </c>
      <c r="V17" s="3453" t="s">
        <v>3320</v>
      </c>
      <c r="W17" s="3453">
        <v>0</v>
      </c>
      <c r="X17" s="3453">
        <v>0</v>
      </c>
      <c r="Y17" s="3453" t="s">
        <v>3525</v>
      </c>
      <c r="Z17" s="3453" t="s">
        <v>3526</v>
      </c>
      <c r="AA17" s="3453" t="s">
        <v>3527</v>
      </c>
      <c r="AB17" s="3453" t="s">
        <v>3527</v>
      </c>
      <c r="AC17" s="3453" t="s">
        <v>3528</v>
      </c>
      <c r="AD17" s="3453" t="s">
        <v>3324</v>
      </c>
      <c r="AE17" s="3453" t="s">
        <v>3495</v>
      </c>
      <c r="AF17" s="3453" t="s">
        <v>3496</v>
      </c>
      <c r="AG17" s="3453" t="s">
        <v>3529</v>
      </c>
      <c r="AH17" s="3453" t="s">
        <v>3530</v>
      </c>
      <c r="AI17" s="3453" t="s">
        <v>3531</v>
      </c>
      <c r="AJ17" s="3453" t="s">
        <v>3529</v>
      </c>
      <c r="AK17" s="3453" t="s">
        <v>3532</v>
      </c>
      <c r="AL17" s="3453" t="s">
        <v>3532</v>
      </c>
      <c r="AM17" s="3453" t="s">
        <v>3501</v>
      </c>
      <c r="AN17" s="3453" t="s">
        <v>3501</v>
      </c>
      <c r="AO17" s="3453" t="s">
        <v>3320</v>
      </c>
      <c r="AP17" s="3453" t="s">
        <v>3320</v>
      </c>
      <c r="AQ17" s="3453" t="s">
        <v>3354</v>
      </c>
      <c r="AR17" s="3453" t="s">
        <v>3333</v>
      </c>
      <c r="AS17" s="3453" t="s">
        <v>3317</v>
      </c>
      <c r="AT17" s="3453" t="s">
        <v>3317</v>
      </c>
      <c r="AU17" s="3453" t="s">
        <v>3320</v>
      </c>
      <c r="AV17" s="3453" t="s">
        <v>3320</v>
      </c>
      <c r="AW17" s="3453" t="s">
        <v>3502</v>
      </c>
    </row>
    <row r="18" spans="1:49">
      <c r="A18" s="3453" t="s">
        <v>3533</v>
      </c>
      <c r="B18" s="3453" t="s">
        <v>3309</v>
      </c>
      <c r="C18" s="3453" t="s">
        <v>3310</v>
      </c>
      <c r="D18" s="3453" t="s">
        <v>3534</v>
      </c>
      <c r="E18" s="3453" t="s">
        <v>3311</v>
      </c>
      <c r="F18" s="3453" t="s">
        <v>3368</v>
      </c>
      <c r="G18" s="3453" t="s">
        <v>3535</v>
      </c>
      <c r="H18" s="3453" t="s">
        <v>3313</v>
      </c>
      <c r="I18" s="3453" t="s">
        <v>3536</v>
      </c>
      <c r="J18" s="3453" t="s">
        <v>3537</v>
      </c>
      <c r="K18" s="3453" t="s">
        <v>3538</v>
      </c>
      <c r="L18" s="3453" t="s">
        <v>3314</v>
      </c>
      <c r="M18" s="3453" t="s">
        <v>3539</v>
      </c>
      <c r="N18" s="3453" t="s">
        <v>3316</v>
      </c>
      <c r="O18" s="3453" t="s">
        <v>3540</v>
      </c>
      <c r="P18" s="3453" t="s">
        <v>3541</v>
      </c>
      <c r="Q18" s="3453" t="s">
        <v>3461</v>
      </c>
      <c r="R18" s="3453" t="s">
        <v>3398</v>
      </c>
      <c r="S18" s="3453" t="s">
        <v>3398</v>
      </c>
      <c r="T18" s="3453" t="s">
        <v>3320</v>
      </c>
      <c r="U18" s="3453" t="s">
        <v>3354</v>
      </c>
      <c r="V18" s="3453" t="s">
        <v>3354</v>
      </c>
      <c r="W18" s="3453">
        <v>0</v>
      </c>
      <c r="X18" s="3453">
        <v>0</v>
      </c>
      <c r="Y18" s="3453" t="s">
        <v>3542</v>
      </c>
      <c r="Z18" s="3453" t="s">
        <v>3543</v>
      </c>
      <c r="AA18" s="3453" t="s">
        <v>3544</v>
      </c>
      <c r="AB18" s="3453" t="s">
        <v>3544</v>
      </c>
      <c r="AC18" s="3453" t="s">
        <v>3545</v>
      </c>
      <c r="AD18" s="3453" t="s">
        <v>3324</v>
      </c>
      <c r="AE18" s="3453" t="s">
        <v>3546</v>
      </c>
      <c r="AF18" s="3453" t="s">
        <v>3320</v>
      </c>
      <c r="AG18" s="3453" t="s">
        <v>3547</v>
      </c>
      <c r="AH18" s="3453" t="s">
        <v>3548</v>
      </c>
      <c r="AI18" s="3453" t="s">
        <v>3549</v>
      </c>
      <c r="AJ18" s="3453" t="s">
        <v>3547</v>
      </c>
      <c r="AK18" s="3453" t="s">
        <v>3550</v>
      </c>
      <c r="AL18" s="3453" t="s">
        <v>3550</v>
      </c>
      <c r="AM18" s="3453" t="s">
        <v>3551</v>
      </c>
      <c r="AN18" s="3453" t="s">
        <v>3551</v>
      </c>
      <c r="AO18" s="3453" t="s">
        <v>3320</v>
      </c>
      <c r="AP18" s="3453" t="s">
        <v>3320</v>
      </c>
      <c r="AQ18" s="3453" t="s">
        <v>3354</v>
      </c>
      <c r="AR18" s="3453" t="s">
        <v>3552</v>
      </c>
      <c r="AS18" s="3453" t="s">
        <v>3317</v>
      </c>
      <c r="AT18" s="3453" t="s">
        <v>3317</v>
      </c>
      <c r="AU18" s="3453" t="s">
        <v>3320</v>
      </c>
      <c r="AV18" s="3453" t="s">
        <v>3320</v>
      </c>
      <c r="AW18" s="3453" t="s">
        <v>3553</v>
      </c>
    </row>
    <row r="19" spans="1:49">
      <c r="A19" s="3453" t="s">
        <v>3554</v>
      </c>
      <c r="B19" s="3453" t="s">
        <v>3309</v>
      </c>
      <c r="C19" s="3453" t="s">
        <v>3310</v>
      </c>
      <c r="D19" s="3453" t="s">
        <v>3555</v>
      </c>
      <c r="E19" s="3453" t="s">
        <v>3311</v>
      </c>
      <c r="F19" s="3453" t="s">
        <v>3336</v>
      </c>
      <c r="G19" s="3453" t="s">
        <v>3556</v>
      </c>
      <c r="H19" s="3453" t="s">
        <v>3313</v>
      </c>
      <c r="I19" s="3453" t="s">
        <v>3557</v>
      </c>
      <c r="J19" s="3453" t="s">
        <v>3558</v>
      </c>
      <c r="K19" s="3453" t="s">
        <v>3340</v>
      </c>
      <c r="L19" s="3453" t="s">
        <v>3314</v>
      </c>
      <c r="M19" s="3453" t="s">
        <v>3559</v>
      </c>
      <c r="N19" s="3453" t="s">
        <v>3316</v>
      </c>
      <c r="O19" s="3453" t="s">
        <v>3560</v>
      </c>
      <c r="P19" s="3453" t="s">
        <v>3318</v>
      </c>
      <c r="Q19" s="3453" t="s">
        <v>3376</v>
      </c>
      <c r="R19" s="3453" t="s">
        <v>3320</v>
      </c>
      <c r="S19" s="3453" t="s">
        <v>3320</v>
      </c>
      <c r="T19" s="3453" t="s">
        <v>3320</v>
      </c>
      <c r="U19" s="3453" t="s">
        <v>3354</v>
      </c>
      <c r="V19" s="3453" t="s">
        <v>3354</v>
      </c>
      <c r="W19" s="3453">
        <v>0</v>
      </c>
      <c r="X19" s="3453">
        <v>0</v>
      </c>
      <c r="Y19" s="3453" t="s">
        <v>3561</v>
      </c>
      <c r="Z19" s="3453" t="s">
        <v>3562</v>
      </c>
      <c r="AA19" s="3453" t="s">
        <v>3563</v>
      </c>
      <c r="AB19" s="3453" t="s">
        <v>3563</v>
      </c>
      <c r="AC19" s="3453" t="s">
        <v>3564</v>
      </c>
      <c r="AD19" s="3453" t="s">
        <v>3324</v>
      </c>
      <c r="AE19" s="3453" t="s">
        <v>3565</v>
      </c>
      <c r="AF19" s="3453" t="s">
        <v>3566</v>
      </c>
      <c r="AG19" s="3453" t="s">
        <v>3567</v>
      </c>
      <c r="AH19" s="3453" t="s">
        <v>3568</v>
      </c>
      <c r="AI19" s="3453" t="s">
        <v>3569</v>
      </c>
      <c r="AJ19" s="3453" t="s">
        <v>3570</v>
      </c>
      <c r="AK19" s="3453" t="s">
        <v>3571</v>
      </c>
      <c r="AL19" s="3453" t="s">
        <v>3572</v>
      </c>
      <c r="AM19" s="3453" t="s">
        <v>3573</v>
      </c>
      <c r="AN19" s="3453" t="s">
        <v>3574</v>
      </c>
      <c r="AO19" s="3453" t="s">
        <v>3320</v>
      </c>
      <c r="AP19" s="3453" t="s">
        <v>3320</v>
      </c>
      <c r="AQ19" s="3453" t="s">
        <v>3575</v>
      </c>
      <c r="AR19" s="3453" t="s">
        <v>3333</v>
      </c>
      <c r="AS19" s="3453" t="s">
        <v>3317</v>
      </c>
      <c r="AT19" s="3453" t="s">
        <v>3317</v>
      </c>
      <c r="AU19" s="3453" t="s">
        <v>3320</v>
      </c>
      <c r="AV19" s="3453" t="s">
        <v>3320</v>
      </c>
      <c r="AW19" s="3453" t="s">
        <v>3320</v>
      </c>
    </row>
    <row r="20" spans="1:49">
      <c r="A20" s="3453" t="s">
        <v>3576</v>
      </c>
      <c r="B20" s="3453" t="s">
        <v>3309</v>
      </c>
      <c r="C20" s="3453" t="s">
        <v>3310</v>
      </c>
      <c r="D20" s="3453" t="s">
        <v>3577</v>
      </c>
      <c r="E20" s="3453" t="s">
        <v>3311</v>
      </c>
      <c r="F20" s="3453" t="s">
        <v>3578</v>
      </c>
      <c r="G20" s="3453" t="s">
        <v>3579</v>
      </c>
      <c r="H20" s="3453" t="s">
        <v>3370</v>
      </c>
      <c r="I20" s="3453" t="s">
        <v>3580</v>
      </c>
      <c r="J20" s="3453" t="s">
        <v>3581</v>
      </c>
      <c r="K20" s="3453" t="s">
        <v>3582</v>
      </c>
      <c r="L20" s="3453" t="s">
        <v>3314</v>
      </c>
      <c r="M20" s="3453" t="s">
        <v>3583</v>
      </c>
      <c r="N20" s="3453" t="s">
        <v>3316</v>
      </c>
      <c r="O20" s="3453" t="s">
        <v>3584</v>
      </c>
      <c r="P20" s="3453" t="s">
        <v>3585</v>
      </c>
      <c r="Q20" s="3453" t="s">
        <v>3586</v>
      </c>
      <c r="R20" s="3453" t="s">
        <v>3320</v>
      </c>
      <c r="S20" s="3453" t="s">
        <v>3320</v>
      </c>
      <c r="T20" s="3453" t="s">
        <v>3320</v>
      </c>
      <c r="U20" s="3453" t="s">
        <v>3354</v>
      </c>
      <c r="V20" s="3453" t="s">
        <v>3354</v>
      </c>
      <c r="W20" s="3453">
        <v>0</v>
      </c>
      <c r="X20" s="3453">
        <v>0</v>
      </c>
      <c r="Y20" s="3453" t="s">
        <v>3587</v>
      </c>
      <c r="Z20" s="3453" t="s">
        <v>3588</v>
      </c>
      <c r="AA20" s="3453" t="s">
        <v>3589</v>
      </c>
      <c r="AB20" s="3453" t="s">
        <v>3590</v>
      </c>
      <c r="AC20" s="3453" t="s">
        <v>3591</v>
      </c>
      <c r="AD20" s="3453" t="s">
        <v>3324</v>
      </c>
      <c r="AE20" s="3453" t="s">
        <v>3592</v>
      </c>
      <c r="AF20" s="3453" t="s">
        <v>3593</v>
      </c>
      <c r="AG20" s="3453" t="s">
        <v>3594</v>
      </c>
      <c r="AH20" s="3453" t="s">
        <v>3595</v>
      </c>
      <c r="AI20" s="3453" t="s">
        <v>3596</v>
      </c>
      <c r="AJ20" s="3453" t="s">
        <v>3594</v>
      </c>
      <c r="AK20" s="3453" t="s">
        <v>3597</v>
      </c>
      <c r="AL20" s="3453" t="s">
        <v>3597</v>
      </c>
      <c r="AM20" s="3453" t="s">
        <v>3598</v>
      </c>
      <c r="AN20" s="3453" t="s">
        <v>3598</v>
      </c>
      <c r="AO20" s="3453" t="s">
        <v>3320</v>
      </c>
      <c r="AP20" s="3453" t="s">
        <v>3320</v>
      </c>
      <c r="AQ20" s="3453" t="s">
        <v>3354</v>
      </c>
      <c r="AR20" s="3453" t="s">
        <v>3599</v>
      </c>
      <c r="AS20" s="3453" t="s">
        <v>3317</v>
      </c>
      <c r="AT20" s="3453" t="s">
        <v>3317</v>
      </c>
      <c r="AU20" s="3453" t="s">
        <v>3320</v>
      </c>
      <c r="AV20" s="3453" t="s">
        <v>3320</v>
      </c>
      <c r="AW20" s="3453" t="s">
        <v>3600</v>
      </c>
    </row>
    <row r="21" spans="1:49">
      <c r="A21" s="3453" t="s">
        <v>3601</v>
      </c>
      <c r="B21" s="3453" t="s">
        <v>3309</v>
      </c>
      <c r="C21" s="3453" t="s">
        <v>3310</v>
      </c>
      <c r="D21" s="3453" t="s">
        <v>3602</v>
      </c>
      <c r="E21" s="3453" t="s">
        <v>3311</v>
      </c>
      <c r="F21" s="3453" t="s">
        <v>3603</v>
      </c>
      <c r="G21" s="3453" t="s">
        <v>3604</v>
      </c>
      <c r="H21" s="3453" t="s">
        <v>3370</v>
      </c>
      <c r="I21" s="3453" t="s">
        <v>3605</v>
      </c>
      <c r="J21" s="3453" t="s">
        <v>3606</v>
      </c>
      <c r="K21" s="3453" t="s">
        <v>3607</v>
      </c>
      <c r="L21" s="3453" t="s">
        <v>3314</v>
      </c>
      <c r="M21" s="3453" t="s">
        <v>3608</v>
      </c>
      <c r="N21" s="3453" t="s">
        <v>3316</v>
      </c>
      <c r="O21" s="3453" t="s">
        <v>3609</v>
      </c>
      <c r="P21" s="3453" t="s">
        <v>3431</v>
      </c>
      <c r="Q21" s="3453" t="s">
        <v>3610</v>
      </c>
      <c r="R21" s="3453" t="s">
        <v>3320</v>
      </c>
      <c r="S21" s="3453" t="s">
        <v>3320</v>
      </c>
      <c r="T21" s="3453" t="s">
        <v>3320</v>
      </c>
      <c r="U21" s="3453" t="s">
        <v>3354</v>
      </c>
      <c r="V21" s="3453" t="s">
        <v>3354</v>
      </c>
      <c r="W21" s="3453">
        <v>0</v>
      </c>
      <c r="X21" s="3453">
        <v>0</v>
      </c>
      <c r="Y21" s="3453" t="s">
        <v>3611</v>
      </c>
      <c r="Z21" s="3453" t="s">
        <v>3612</v>
      </c>
      <c r="AA21" s="3453" t="s">
        <v>3613</v>
      </c>
      <c r="AB21" s="3453" t="s">
        <v>3613</v>
      </c>
      <c r="AC21" s="3453" t="s">
        <v>3614</v>
      </c>
      <c r="AD21" s="3453" t="s">
        <v>3324</v>
      </c>
      <c r="AE21" s="3453" t="s">
        <v>3592</v>
      </c>
      <c r="AF21" s="3453" t="s">
        <v>3593</v>
      </c>
      <c r="AG21" s="3453" t="s">
        <v>3615</v>
      </c>
      <c r="AH21" s="3453" t="s">
        <v>3616</v>
      </c>
      <c r="AI21" s="3453" t="s">
        <v>3617</v>
      </c>
      <c r="AJ21" s="3453" t="s">
        <v>3615</v>
      </c>
      <c r="AK21" s="3453" t="s">
        <v>3618</v>
      </c>
      <c r="AL21" s="3453" t="s">
        <v>3618</v>
      </c>
      <c r="AM21" s="3453" t="s">
        <v>3619</v>
      </c>
      <c r="AN21" s="3453" t="s">
        <v>3619</v>
      </c>
      <c r="AO21" s="3453" t="s">
        <v>3320</v>
      </c>
      <c r="AP21" s="3453" t="s">
        <v>3320</v>
      </c>
      <c r="AQ21" s="3453" t="s">
        <v>3354</v>
      </c>
      <c r="AR21" s="3453" t="s">
        <v>3620</v>
      </c>
      <c r="AS21" s="3453" t="s">
        <v>3317</v>
      </c>
      <c r="AT21" s="3453" t="s">
        <v>3317</v>
      </c>
      <c r="AU21" s="3453" t="s">
        <v>3320</v>
      </c>
      <c r="AV21" s="3453" t="s">
        <v>3320</v>
      </c>
      <c r="AW21" s="3453" t="s">
        <v>3320</v>
      </c>
    </row>
    <row r="22" spans="1:49">
      <c r="A22" s="3453" t="s">
        <v>3621</v>
      </c>
      <c r="B22" s="3453" t="s">
        <v>3309</v>
      </c>
      <c r="C22" s="3453" t="s">
        <v>3310</v>
      </c>
      <c r="D22" s="3453" t="s">
        <v>3622</v>
      </c>
      <c r="E22" s="3453" t="s">
        <v>3311</v>
      </c>
      <c r="F22" s="3453" t="s">
        <v>3623</v>
      </c>
      <c r="G22" s="3453" t="s">
        <v>3624</v>
      </c>
      <c r="H22" s="3453" t="s">
        <v>3370</v>
      </c>
      <c r="I22" s="3453" t="s">
        <v>3625</v>
      </c>
      <c r="J22" s="3453" t="s">
        <v>3626</v>
      </c>
      <c r="K22" s="3453" t="s">
        <v>3418</v>
      </c>
      <c r="L22" s="3453" t="s">
        <v>3314</v>
      </c>
      <c r="M22" s="3453" t="s">
        <v>3627</v>
      </c>
      <c r="N22" s="3453" t="s">
        <v>3316</v>
      </c>
      <c r="O22" s="3453" t="s">
        <v>3317</v>
      </c>
      <c r="P22" s="3453" t="s">
        <v>3341</v>
      </c>
      <c r="Q22" s="3453" t="s">
        <v>3320</v>
      </c>
      <c r="R22" s="3453" t="s">
        <v>3320</v>
      </c>
      <c r="S22" s="3453" t="s">
        <v>3320</v>
      </c>
      <c r="T22" s="3453" t="s">
        <v>3320</v>
      </c>
      <c r="U22" s="3453" t="s">
        <v>3354</v>
      </c>
      <c r="V22" s="3453" t="s">
        <v>3354</v>
      </c>
      <c r="W22" s="3453">
        <v>0</v>
      </c>
      <c r="X22" s="3453">
        <v>0</v>
      </c>
      <c r="Y22" s="3453" t="s">
        <v>3628</v>
      </c>
      <c r="Z22" s="3453" t="s">
        <v>3629</v>
      </c>
      <c r="AA22" s="3453" t="s">
        <v>3630</v>
      </c>
      <c r="AB22" s="3453" t="s">
        <v>3630</v>
      </c>
      <c r="AC22" s="3453" t="s">
        <v>3631</v>
      </c>
      <c r="AD22" s="3453" t="s">
        <v>3324</v>
      </c>
      <c r="AE22" s="3453" t="s">
        <v>3632</v>
      </c>
      <c r="AF22" s="3453" t="s">
        <v>3633</v>
      </c>
      <c r="AG22" s="3453" t="s">
        <v>3634</v>
      </c>
      <c r="AH22" s="3453" t="s">
        <v>3635</v>
      </c>
      <c r="AI22" s="3453" t="s">
        <v>3636</v>
      </c>
      <c r="AJ22" s="3453" t="s">
        <v>3637</v>
      </c>
      <c r="AK22" s="3453" t="s">
        <v>3638</v>
      </c>
      <c r="AL22" s="3453" t="s">
        <v>3639</v>
      </c>
      <c r="AM22" s="3453" t="s">
        <v>3640</v>
      </c>
      <c r="AN22" s="3453" t="s">
        <v>3641</v>
      </c>
      <c r="AO22" s="3453" t="s">
        <v>3320</v>
      </c>
      <c r="AP22" s="3453" t="s">
        <v>3320</v>
      </c>
      <c r="AQ22" s="3453" t="s">
        <v>3642</v>
      </c>
      <c r="AR22" s="3453" t="s">
        <v>3643</v>
      </c>
      <c r="AS22" s="3453" t="s">
        <v>3317</v>
      </c>
      <c r="AT22" s="3453" t="s">
        <v>3317</v>
      </c>
      <c r="AU22" s="3453" t="s">
        <v>3320</v>
      </c>
      <c r="AV22" s="3453" t="s">
        <v>3320</v>
      </c>
      <c r="AW22" s="3453" t="s">
        <v>3320</v>
      </c>
    </row>
    <row r="23" spans="1:49">
      <c r="A23" s="3453" t="s">
        <v>3644</v>
      </c>
      <c r="B23" s="3453" t="s">
        <v>3309</v>
      </c>
      <c r="C23" s="3453" t="s">
        <v>3310</v>
      </c>
      <c r="D23" s="3453" t="s">
        <v>3645</v>
      </c>
      <c r="E23" s="3453" t="s">
        <v>3311</v>
      </c>
      <c r="F23" s="3453" t="s">
        <v>3623</v>
      </c>
      <c r="G23" s="3453" t="s">
        <v>3646</v>
      </c>
      <c r="H23" s="3453" t="s">
        <v>3370</v>
      </c>
      <c r="I23" s="3453" t="s">
        <v>3647</v>
      </c>
      <c r="J23" s="3453" t="s">
        <v>3648</v>
      </c>
      <c r="K23" s="3453" t="s">
        <v>3649</v>
      </c>
      <c r="L23" s="3453" t="s">
        <v>3314</v>
      </c>
      <c r="M23" s="3453" t="s">
        <v>3627</v>
      </c>
      <c r="N23" s="3453" t="s">
        <v>3316</v>
      </c>
      <c r="O23" s="3453" t="s">
        <v>3317</v>
      </c>
      <c r="P23" s="3453" t="s">
        <v>3341</v>
      </c>
      <c r="Q23" s="3453" t="s">
        <v>3320</v>
      </c>
      <c r="R23" s="3453" t="s">
        <v>3320</v>
      </c>
      <c r="S23" s="3453" t="s">
        <v>3320</v>
      </c>
      <c r="T23" s="3453" t="s">
        <v>3320</v>
      </c>
      <c r="U23" s="3453" t="s">
        <v>3354</v>
      </c>
      <c r="V23" s="3453" t="s">
        <v>3354</v>
      </c>
      <c r="W23" s="3453">
        <v>0</v>
      </c>
      <c r="X23" s="3453">
        <v>0</v>
      </c>
      <c r="Y23" s="3453" t="s">
        <v>3628</v>
      </c>
      <c r="Z23" s="3453" t="s">
        <v>3629</v>
      </c>
      <c r="AA23" s="3453" t="s">
        <v>3630</v>
      </c>
      <c r="AB23" s="3453" t="s">
        <v>3630</v>
      </c>
      <c r="AC23" s="3453" t="s">
        <v>3631</v>
      </c>
      <c r="AD23" s="3453" t="s">
        <v>3324</v>
      </c>
      <c r="AE23" s="3453" t="s">
        <v>3632</v>
      </c>
      <c r="AF23" s="3453" t="s">
        <v>3633</v>
      </c>
      <c r="AG23" s="3453" t="s">
        <v>3650</v>
      </c>
      <c r="AH23" s="3453" t="s">
        <v>3651</v>
      </c>
      <c r="AI23" s="3453" t="s">
        <v>3636</v>
      </c>
      <c r="AJ23" s="3453" t="s">
        <v>3652</v>
      </c>
      <c r="AK23" s="3453" t="s">
        <v>3653</v>
      </c>
      <c r="AL23" s="3453" t="s">
        <v>3654</v>
      </c>
      <c r="AM23" s="3453" t="s">
        <v>3655</v>
      </c>
      <c r="AN23" s="3453" t="s">
        <v>3656</v>
      </c>
      <c r="AO23" s="3453" t="s">
        <v>3320</v>
      </c>
      <c r="AP23" s="3453" t="s">
        <v>3320</v>
      </c>
      <c r="AQ23" s="3453" t="s">
        <v>3657</v>
      </c>
      <c r="AR23" s="3453" t="s">
        <v>3643</v>
      </c>
      <c r="AS23" s="3453" t="s">
        <v>3317</v>
      </c>
      <c r="AT23" s="3453" t="s">
        <v>3317</v>
      </c>
      <c r="AU23" s="3453" t="s">
        <v>3320</v>
      </c>
      <c r="AV23" s="3453" t="s">
        <v>3320</v>
      </c>
      <c r="AW23" s="3453" t="s">
        <v>3320</v>
      </c>
    </row>
    <row r="24" spans="1:49">
      <c r="A24" s="3453" t="s">
        <v>3621</v>
      </c>
      <c r="B24" s="3453" t="s">
        <v>3309</v>
      </c>
      <c r="C24" s="3453" t="s">
        <v>3310</v>
      </c>
      <c r="D24" s="3453" t="s">
        <v>3658</v>
      </c>
      <c r="E24" s="3453" t="s">
        <v>3311</v>
      </c>
      <c r="F24" s="3453" t="s">
        <v>3623</v>
      </c>
      <c r="G24" s="3453" t="s">
        <v>3624</v>
      </c>
      <c r="H24" s="3453" t="s">
        <v>3370</v>
      </c>
      <c r="I24" s="3453" t="s">
        <v>3659</v>
      </c>
      <c r="J24" s="3453" t="s">
        <v>3660</v>
      </c>
      <c r="K24" s="3453" t="s">
        <v>3418</v>
      </c>
      <c r="L24" s="3453" t="s">
        <v>3314</v>
      </c>
      <c r="M24" s="3453" t="s">
        <v>3627</v>
      </c>
      <c r="N24" s="3453" t="s">
        <v>3316</v>
      </c>
      <c r="O24" s="3453" t="s">
        <v>3317</v>
      </c>
      <c r="P24" s="3453" t="s">
        <v>3341</v>
      </c>
      <c r="Q24" s="3453" t="s">
        <v>3320</v>
      </c>
      <c r="R24" s="3453" t="s">
        <v>3320</v>
      </c>
      <c r="S24" s="3453" t="s">
        <v>3320</v>
      </c>
      <c r="T24" s="3453" t="s">
        <v>3320</v>
      </c>
      <c r="U24" s="3453" t="s">
        <v>3354</v>
      </c>
      <c r="V24" s="3453" t="s">
        <v>3354</v>
      </c>
      <c r="W24" s="3453">
        <v>0</v>
      </c>
      <c r="X24" s="3453">
        <v>0</v>
      </c>
      <c r="Y24" s="3453" t="s">
        <v>3628</v>
      </c>
      <c r="Z24" s="3453" t="s">
        <v>3629</v>
      </c>
      <c r="AA24" s="3453" t="s">
        <v>3630</v>
      </c>
      <c r="AB24" s="3453" t="s">
        <v>3630</v>
      </c>
      <c r="AC24" s="3453" t="s">
        <v>3631</v>
      </c>
      <c r="AD24" s="3453" t="s">
        <v>3324</v>
      </c>
      <c r="AE24" s="3453" t="s">
        <v>3632</v>
      </c>
      <c r="AF24" s="3453" t="s">
        <v>3633</v>
      </c>
      <c r="AG24" s="3453" t="s">
        <v>3661</v>
      </c>
      <c r="AH24" s="3453" t="s">
        <v>3662</v>
      </c>
      <c r="AI24" s="3453" t="s">
        <v>3636</v>
      </c>
      <c r="AJ24" s="3453" t="s">
        <v>3663</v>
      </c>
      <c r="AK24" s="3453" t="s">
        <v>3664</v>
      </c>
      <c r="AL24" s="3453" t="s">
        <v>3665</v>
      </c>
      <c r="AM24" s="3453" t="s">
        <v>3666</v>
      </c>
      <c r="AN24" s="3453" t="s">
        <v>3667</v>
      </c>
      <c r="AO24" s="3453" t="s">
        <v>3320</v>
      </c>
      <c r="AP24" s="3453" t="s">
        <v>3320</v>
      </c>
      <c r="AQ24" s="3453" t="s">
        <v>3642</v>
      </c>
      <c r="AR24" s="3453" t="s">
        <v>3643</v>
      </c>
      <c r="AS24" s="3453" t="s">
        <v>3317</v>
      </c>
      <c r="AT24" s="3453" t="s">
        <v>3317</v>
      </c>
      <c r="AU24" s="3453" t="s">
        <v>3320</v>
      </c>
      <c r="AV24" s="3453" t="s">
        <v>3320</v>
      </c>
      <c r="AW24" s="3453" t="s">
        <v>3320</v>
      </c>
    </row>
    <row r="25" spans="1:49">
      <c r="A25" s="3453" t="s">
        <v>3668</v>
      </c>
      <c r="B25" s="3453" t="s">
        <v>3309</v>
      </c>
      <c r="C25" s="3453" t="s">
        <v>3310</v>
      </c>
      <c r="D25" s="3453" t="s">
        <v>3669</v>
      </c>
      <c r="E25" s="3453" t="s">
        <v>3311</v>
      </c>
      <c r="F25" s="3453" t="s">
        <v>3368</v>
      </c>
      <c r="G25" s="3453" t="s">
        <v>3670</v>
      </c>
      <c r="H25" s="3453" t="s">
        <v>3370</v>
      </c>
      <c r="I25" s="3453" t="s">
        <v>3671</v>
      </c>
      <c r="J25" s="3453" t="s">
        <v>3672</v>
      </c>
      <c r="K25" s="3453" t="s">
        <v>3673</v>
      </c>
      <c r="L25" s="3453" t="s">
        <v>3314</v>
      </c>
      <c r="M25" s="3453" t="s">
        <v>3674</v>
      </c>
      <c r="N25" s="3453" t="s">
        <v>3316</v>
      </c>
      <c r="O25" s="3453" t="s">
        <v>3675</v>
      </c>
      <c r="P25" s="3453" t="s">
        <v>3676</v>
      </c>
      <c r="Q25" s="3453" t="s">
        <v>3677</v>
      </c>
      <c r="R25" s="3453" t="s">
        <v>3320</v>
      </c>
      <c r="S25" s="3453" t="s">
        <v>3320</v>
      </c>
      <c r="T25" s="3453" t="s">
        <v>3320</v>
      </c>
      <c r="U25" s="3453" t="s">
        <v>3354</v>
      </c>
      <c r="V25" s="3453" t="s">
        <v>3354</v>
      </c>
      <c r="W25" s="3453">
        <v>0</v>
      </c>
      <c r="X25" s="3453">
        <v>0</v>
      </c>
      <c r="Y25" s="3453" t="s">
        <v>3678</v>
      </c>
      <c r="Z25" s="3453" t="s">
        <v>3679</v>
      </c>
      <c r="AA25" s="3453" t="s">
        <v>3680</v>
      </c>
      <c r="AB25" s="3453" t="s">
        <v>3680</v>
      </c>
      <c r="AC25" s="3453" t="s">
        <v>3681</v>
      </c>
      <c r="AD25" s="3453" t="s">
        <v>3324</v>
      </c>
      <c r="AE25" s="3453" t="s">
        <v>3682</v>
      </c>
      <c r="AF25" s="3453" t="s">
        <v>3320</v>
      </c>
      <c r="AG25" s="3453" t="s">
        <v>3683</v>
      </c>
      <c r="AH25" s="3453" t="s">
        <v>3684</v>
      </c>
      <c r="AI25" s="3453" t="s">
        <v>3320</v>
      </c>
      <c r="AJ25" s="3453" t="s">
        <v>3683</v>
      </c>
      <c r="AK25" s="3453" t="s">
        <v>3685</v>
      </c>
      <c r="AL25" s="3453" t="s">
        <v>3685</v>
      </c>
      <c r="AM25" s="3453" t="s">
        <v>3686</v>
      </c>
      <c r="AN25" s="3453" t="s">
        <v>3686</v>
      </c>
      <c r="AO25" s="3453" t="s">
        <v>3320</v>
      </c>
      <c r="AP25" s="3453" t="s">
        <v>3320</v>
      </c>
      <c r="AQ25" s="3453" t="s">
        <v>3354</v>
      </c>
      <c r="AR25" s="3453" t="s">
        <v>3620</v>
      </c>
      <c r="AS25" s="3453" t="s">
        <v>3317</v>
      </c>
      <c r="AT25" s="3453" t="s">
        <v>3317</v>
      </c>
      <c r="AU25" s="3453" t="s">
        <v>3320</v>
      </c>
      <c r="AV25" s="3453" t="s">
        <v>3320</v>
      </c>
      <c r="AW25" s="3453" t="s">
        <v>3320</v>
      </c>
    </row>
    <row r="26" spans="1:49">
      <c r="A26" s="3453" t="s">
        <v>3687</v>
      </c>
      <c r="B26" s="3453" t="s">
        <v>3309</v>
      </c>
      <c r="C26" s="3453" t="s">
        <v>3310</v>
      </c>
      <c r="D26" s="3453" t="s">
        <v>3688</v>
      </c>
      <c r="E26" s="3453" t="s">
        <v>3311</v>
      </c>
      <c r="F26" s="3453" t="s">
        <v>3368</v>
      </c>
      <c r="G26" s="3453" t="s">
        <v>3689</v>
      </c>
      <c r="H26" s="3453" t="s">
        <v>3370</v>
      </c>
      <c r="I26" s="3453" t="s">
        <v>3690</v>
      </c>
      <c r="J26" s="3453" t="s">
        <v>3691</v>
      </c>
      <c r="K26" s="3453" t="s">
        <v>3692</v>
      </c>
      <c r="L26" s="3453" t="s">
        <v>3314</v>
      </c>
      <c r="M26" s="3453" t="s">
        <v>3674</v>
      </c>
      <c r="N26" s="3453" t="s">
        <v>3316</v>
      </c>
      <c r="O26" s="3453" t="s">
        <v>3693</v>
      </c>
      <c r="P26" s="3453" t="s">
        <v>3676</v>
      </c>
      <c r="Q26" s="3453" t="s">
        <v>3694</v>
      </c>
      <c r="R26" s="3453" t="s">
        <v>3320</v>
      </c>
      <c r="S26" s="3453" t="s">
        <v>3320</v>
      </c>
      <c r="T26" s="3453" t="s">
        <v>3320</v>
      </c>
      <c r="U26" s="3453" t="s">
        <v>3320</v>
      </c>
      <c r="V26" s="3453" t="s">
        <v>3320</v>
      </c>
      <c r="W26" s="3453">
        <v>0</v>
      </c>
      <c r="X26" s="3453">
        <v>0</v>
      </c>
      <c r="Y26" s="3453" t="s">
        <v>3678</v>
      </c>
      <c r="Z26" s="3453" t="s">
        <v>3679</v>
      </c>
      <c r="AA26" s="3453" t="s">
        <v>3680</v>
      </c>
      <c r="AB26" s="3453" t="s">
        <v>3680</v>
      </c>
      <c r="AC26" s="3453" t="s">
        <v>3695</v>
      </c>
      <c r="AD26" s="3453" t="s">
        <v>3324</v>
      </c>
      <c r="AE26" s="3453" t="s">
        <v>3696</v>
      </c>
      <c r="AF26" s="3453" t="s">
        <v>3697</v>
      </c>
      <c r="AG26" s="3453" t="s">
        <v>3698</v>
      </c>
      <c r="AH26" s="3453" t="s">
        <v>3699</v>
      </c>
      <c r="AI26" s="3453" t="s">
        <v>3320</v>
      </c>
      <c r="AJ26" s="3453" t="s">
        <v>3698</v>
      </c>
      <c r="AK26" s="3453" t="s">
        <v>3700</v>
      </c>
      <c r="AL26" s="3453" t="s">
        <v>3700</v>
      </c>
      <c r="AM26" s="3453" t="s">
        <v>3701</v>
      </c>
      <c r="AN26" s="3453" t="s">
        <v>3701</v>
      </c>
      <c r="AO26" s="3453" t="s">
        <v>3320</v>
      </c>
      <c r="AP26" s="3453" t="s">
        <v>3320</v>
      </c>
      <c r="AQ26" s="3453" t="s">
        <v>3354</v>
      </c>
      <c r="AR26" s="3453" t="s">
        <v>3620</v>
      </c>
      <c r="AS26" s="3453" t="s">
        <v>3317</v>
      </c>
      <c r="AT26" s="3453" t="s">
        <v>3317</v>
      </c>
      <c r="AU26" s="3453" t="s">
        <v>3320</v>
      </c>
      <c r="AV26" s="3453" t="s">
        <v>3320</v>
      </c>
      <c r="AW26" s="3453" t="s">
        <v>3320</v>
      </c>
    </row>
    <row r="27" spans="1:49">
      <c r="A27" s="3453" t="s">
        <v>3702</v>
      </c>
      <c r="B27" s="3453" t="s">
        <v>3309</v>
      </c>
      <c r="C27" s="3453" t="s">
        <v>3310</v>
      </c>
      <c r="D27" s="3453" t="s">
        <v>3703</v>
      </c>
      <c r="E27" s="3453" t="s">
        <v>3311</v>
      </c>
      <c r="F27" s="3453" t="s">
        <v>3368</v>
      </c>
      <c r="G27" s="3453" t="s">
        <v>3704</v>
      </c>
      <c r="H27" s="3453" t="s">
        <v>3370</v>
      </c>
      <c r="I27" s="3453" t="s">
        <v>3705</v>
      </c>
      <c r="J27" s="3453" t="s">
        <v>3706</v>
      </c>
      <c r="K27" s="3453" t="s">
        <v>3692</v>
      </c>
      <c r="L27" s="3453" t="s">
        <v>3314</v>
      </c>
      <c r="M27" s="3453" t="s">
        <v>3674</v>
      </c>
      <c r="N27" s="3453" t="s">
        <v>3316</v>
      </c>
      <c r="O27" s="3453" t="s">
        <v>3675</v>
      </c>
      <c r="P27" s="3453" t="s">
        <v>3676</v>
      </c>
      <c r="Q27" s="3453" t="s">
        <v>3677</v>
      </c>
      <c r="R27" s="3453" t="s">
        <v>3320</v>
      </c>
      <c r="S27" s="3453" t="s">
        <v>3320</v>
      </c>
      <c r="T27" s="3453" t="s">
        <v>3320</v>
      </c>
      <c r="U27" s="3453" t="s">
        <v>3320</v>
      </c>
      <c r="V27" s="3453" t="s">
        <v>3320</v>
      </c>
      <c r="W27" s="3453">
        <v>0</v>
      </c>
      <c r="X27" s="3453">
        <v>0</v>
      </c>
      <c r="Y27" s="3453" t="s">
        <v>3678</v>
      </c>
      <c r="Z27" s="3453" t="s">
        <v>3679</v>
      </c>
      <c r="AA27" s="3453" t="s">
        <v>3680</v>
      </c>
      <c r="AB27" s="3453" t="s">
        <v>3680</v>
      </c>
      <c r="AC27" s="3453" t="s">
        <v>3707</v>
      </c>
      <c r="AD27" s="3453" t="s">
        <v>3324</v>
      </c>
      <c r="AE27" s="3453" t="s">
        <v>3682</v>
      </c>
      <c r="AF27" s="3453" t="s">
        <v>3320</v>
      </c>
      <c r="AG27" s="3453" t="s">
        <v>3708</v>
      </c>
      <c r="AH27" s="3453" t="s">
        <v>3709</v>
      </c>
      <c r="AI27" s="3453" t="s">
        <v>3320</v>
      </c>
      <c r="AJ27" s="3453" t="s">
        <v>3708</v>
      </c>
      <c r="AK27" s="3453" t="s">
        <v>3710</v>
      </c>
      <c r="AL27" s="3453" t="s">
        <v>3710</v>
      </c>
      <c r="AM27" s="3453" t="s">
        <v>3711</v>
      </c>
      <c r="AN27" s="3453" t="s">
        <v>3711</v>
      </c>
      <c r="AO27" s="3453" t="s">
        <v>3320</v>
      </c>
      <c r="AP27" s="3453" t="s">
        <v>3320</v>
      </c>
      <c r="AQ27" s="3453" t="s">
        <v>3354</v>
      </c>
      <c r="AR27" s="3453" t="s">
        <v>3620</v>
      </c>
      <c r="AS27" s="3453" t="s">
        <v>3317</v>
      </c>
      <c r="AT27" s="3453" t="s">
        <v>3317</v>
      </c>
      <c r="AU27" s="3453" t="s">
        <v>3320</v>
      </c>
      <c r="AV27" s="3453" t="s">
        <v>3320</v>
      </c>
      <c r="AW27" s="3453" t="s">
        <v>3320</v>
      </c>
    </row>
    <row r="28" spans="1:49">
      <c r="A28" s="3453" t="s">
        <v>3712</v>
      </c>
      <c r="B28" s="3453" t="s">
        <v>3309</v>
      </c>
      <c r="C28" s="3453" t="s">
        <v>3310</v>
      </c>
      <c r="D28" s="3453" t="s">
        <v>3713</v>
      </c>
      <c r="E28" s="3453" t="s">
        <v>3311</v>
      </c>
      <c r="F28" s="3453" t="s">
        <v>3714</v>
      </c>
      <c r="G28" s="3453" t="s">
        <v>3715</v>
      </c>
      <c r="H28" s="3453" t="s">
        <v>3370</v>
      </c>
      <c r="I28" s="3453" t="s">
        <v>3716</v>
      </c>
      <c r="J28" s="3453" t="s">
        <v>3717</v>
      </c>
      <c r="K28" s="3453" t="s">
        <v>3524</v>
      </c>
      <c r="L28" s="3453" t="s">
        <v>3314</v>
      </c>
      <c r="M28" s="3453" t="s">
        <v>3718</v>
      </c>
      <c r="N28" s="3453" t="s">
        <v>3316</v>
      </c>
      <c r="O28" s="3453" t="s">
        <v>3540</v>
      </c>
      <c r="P28" s="3453" t="s">
        <v>3719</v>
      </c>
      <c r="Q28" s="3453" t="s">
        <v>3320</v>
      </c>
      <c r="R28" s="3453" t="s">
        <v>3320</v>
      </c>
      <c r="S28" s="3453" t="s">
        <v>3320</v>
      </c>
      <c r="T28" s="3453" t="s">
        <v>3320</v>
      </c>
      <c r="U28" s="3453" t="s">
        <v>3354</v>
      </c>
      <c r="V28" s="3453" t="s">
        <v>3354</v>
      </c>
      <c r="W28" s="3453">
        <v>0</v>
      </c>
      <c r="X28" s="3453">
        <v>0</v>
      </c>
      <c r="Y28" s="3453" t="s">
        <v>3720</v>
      </c>
      <c r="Z28" s="3453" t="s">
        <v>3721</v>
      </c>
      <c r="AA28" s="3453" t="s">
        <v>3722</v>
      </c>
      <c r="AB28" s="3453" t="s">
        <v>3722</v>
      </c>
      <c r="AC28" s="3453" t="s">
        <v>3723</v>
      </c>
      <c r="AD28" s="3453" t="s">
        <v>3324</v>
      </c>
      <c r="AE28" s="3453" t="s">
        <v>3724</v>
      </c>
      <c r="AF28" s="3453" t="s">
        <v>3593</v>
      </c>
      <c r="AG28" s="3453" t="s">
        <v>3725</v>
      </c>
      <c r="AH28" s="3453" t="s">
        <v>3726</v>
      </c>
      <c r="AI28" s="3453" t="s">
        <v>3727</v>
      </c>
      <c r="AJ28" s="3453" t="s">
        <v>3728</v>
      </c>
      <c r="AK28" s="3453" t="s">
        <v>3729</v>
      </c>
      <c r="AL28" s="3453" t="s">
        <v>3730</v>
      </c>
      <c r="AM28" s="3453" t="s">
        <v>3731</v>
      </c>
      <c r="AN28" s="3453" t="s">
        <v>3732</v>
      </c>
      <c r="AO28" s="3453" t="s">
        <v>3320</v>
      </c>
      <c r="AP28" s="3453" t="s">
        <v>3320</v>
      </c>
      <c r="AQ28" s="3453" t="s">
        <v>3733</v>
      </c>
      <c r="AR28" s="3453" t="s">
        <v>3620</v>
      </c>
      <c r="AS28" s="3453" t="s">
        <v>3317</v>
      </c>
      <c r="AT28" s="3453" t="s">
        <v>3317</v>
      </c>
      <c r="AU28" s="3453" t="s">
        <v>3320</v>
      </c>
      <c r="AV28" s="3453" t="s">
        <v>3320</v>
      </c>
      <c r="AW28" s="3453" t="s">
        <v>3320</v>
      </c>
    </row>
    <row r="29" spans="1:49">
      <c r="A29" s="3453" t="s">
        <v>3734</v>
      </c>
      <c r="B29" s="3453" t="s">
        <v>3309</v>
      </c>
      <c r="C29" s="3453" t="s">
        <v>3310</v>
      </c>
      <c r="D29" s="3453" t="s">
        <v>3735</v>
      </c>
      <c r="E29" s="3453" t="s">
        <v>3311</v>
      </c>
      <c r="F29" s="3453" t="s">
        <v>3368</v>
      </c>
      <c r="G29" s="3453" t="s">
        <v>3736</v>
      </c>
      <c r="H29" s="3453" t="s">
        <v>3370</v>
      </c>
      <c r="I29" s="3453" t="s">
        <v>3737</v>
      </c>
      <c r="J29" s="3453" t="s">
        <v>3738</v>
      </c>
      <c r="K29" s="3453" t="s">
        <v>3739</v>
      </c>
      <c r="L29" s="3453" t="s">
        <v>3314</v>
      </c>
      <c r="M29" s="3453" t="s">
        <v>3740</v>
      </c>
      <c r="N29" s="3453" t="s">
        <v>3316</v>
      </c>
      <c r="O29" s="3453" t="s">
        <v>3741</v>
      </c>
      <c r="P29" s="3453" t="s">
        <v>3742</v>
      </c>
      <c r="Q29" s="3453" t="s">
        <v>3743</v>
      </c>
      <c r="R29" s="3453" t="s">
        <v>3320</v>
      </c>
      <c r="S29" s="3453" t="s">
        <v>3320</v>
      </c>
      <c r="T29" s="3453" t="s">
        <v>3320</v>
      </c>
      <c r="U29" s="3453" t="s">
        <v>3354</v>
      </c>
      <c r="V29" s="3453" t="s">
        <v>3354</v>
      </c>
      <c r="W29" s="3453">
        <v>0</v>
      </c>
      <c r="X29" s="3453">
        <v>0</v>
      </c>
      <c r="Y29" s="3453" t="s">
        <v>3744</v>
      </c>
      <c r="Z29" s="3453" t="s">
        <v>3745</v>
      </c>
      <c r="AA29" s="3453" t="s">
        <v>3746</v>
      </c>
      <c r="AB29" s="3453" t="s">
        <v>3746</v>
      </c>
      <c r="AC29" s="3453" t="s">
        <v>3747</v>
      </c>
      <c r="AD29" s="3453" t="s">
        <v>3324</v>
      </c>
      <c r="AE29" s="3453" t="s">
        <v>3748</v>
      </c>
      <c r="AF29" s="3453" t="s">
        <v>3320</v>
      </c>
      <c r="AG29" s="3453" t="s">
        <v>3749</v>
      </c>
      <c r="AH29" s="3453" t="s">
        <v>3750</v>
      </c>
      <c r="AI29" s="3453" t="s">
        <v>3751</v>
      </c>
      <c r="AJ29" s="3453" t="s">
        <v>3749</v>
      </c>
      <c r="AK29" s="3453" t="s">
        <v>3752</v>
      </c>
      <c r="AL29" s="3453" t="s">
        <v>3752</v>
      </c>
      <c r="AM29" s="3453" t="s">
        <v>3753</v>
      </c>
      <c r="AN29" s="3453" t="s">
        <v>3753</v>
      </c>
      <c r="AO29" s="3453" t="s">
        <v>3320</v>
      </c>
      <c r="AP29" s="3453" t="s">
        <v>3320</v>
      </c>
      <c r="AQ29" s="3453" t="s">
        <v>3354</v>
      </c>
      <c r="AR29" s="3453" t="s">
        <v>3754</v>
      </c>
      <c r="AS29" s="3453" t="s">
        <v>3317</v>
      </c>
      <c r="AT29" s="3453" t="s">
        <v>3317</v>
      </c>
      <c r="AU29" s="3453" t="s">
        <v>3320</v>
      </c>
      <c r="AV29" s="3453" t="s">
        <v>3320</v>
      </c>
      <c r="AW29" s="3453" t="s">
        <v>3320</v>
      </c>
    </row>
    <row r="30" spans="1:49" s="3456" customFormat="1">
      <c r="A30" s="3455" t="s">
        <v>3755</v>
      </c>
      <c r="B30" s="3455" t="s">
        <v>3309</v>
      </c>
      <c r="C30" s="3455" t="s">
        <v>3310</v>
      </c>
      <c r="D30" s="3455" t="s">
        <v>3756</v>
      </c>
      <c r="E30" s="3455" t="s">
        <v>3311</v>
      </c>
      <c r="F30" s="3455" t="s">
        <v>3757</v>
      </c>
      <c r="G30" s="3455" t="s">
        <v>3758</v>
      </c>
      <c r="H30" s="3455" t="s">
        <v>3313</v>
      </c>
      <c r="I30" s="3455" t="s">
        <v>3759</v>
      </c>
      <c r="J30" s="3455" t="s">
        <v>3760</v>
      </c>
      <c r="K30" s="3455" t="s">
        <v>3761</v>
      </c>
      <c r="L30" s="3455" t="s">
        <v>3314</v>
      </c>
      <c r="M30" s="3455" t="s">
        <v>3762</v>
      </c>
      <c r="N30" s="3455" t="s">
        <v>3316</v>
      </c>
      <c r="O30" s="3455" t="s">
        <v>3317</v>
      </c>
      <c r="P30" s="3455" t="s">
        <v>3763</v>
      </c>
      <c r="Q30" s="3455" t="s">
        <v>3764</v>
      </c>
      <c r="R30" s="3455" t="s">
        <v>3320</v>
      </c>
      <c r="S30" s="3455" t="s">
        <v>3320</v>
      </c>
      <c r="T30" s="3455" t="s">
        <v>3320</v>
      </c>
      <c r="U30" s="3455" t="s">
        <v>3354</v>
      </c>
      <c r="V30" s="3455" t="s">
        <v>3354</v>
      </c>
      <c r="W30" s="3455">
        <v>0</v>
      </c>
      <c r="X30" s="3455">
        <v>0</v>
      </c>
      <c r="Y30" s="3455" t="s">
        <v>3765</v>
      </c>
      <c r="Z30" s="3455" t="s">
        <v>3766</v>
      </c>
      <c r="AA30" s="3455" t="s">
        <v>3767</v>
      </c>
      <c r="AB30" s="3455" t="s">
        <v>3767</v>
      </c>
      <c r="AC30" s="3455" t="s">
        <v>3768</v>
      </c>
      <c r="AD30" s="3455" t="s">
        <v>3324</v>
      </c>
      <c r="AE30" s="3455" t="s">
        <v>3769</v>
      </c>
      <c r="AF30" s="3455" t="s">
        <v>3320</v>
      </c>
      <c r="AG30" s="3455" t="s">
        <v>3770</v>
      </c>
      <c r="AH30" s="3455" t="s">
        <v>3771</v>
      </c>
      <c r="AI30" s="3455" t="s">
        <v>3320</v>
      </c>
      <c r="AJ30" s="3455" t="s">
        <v>3770</v>
      </c>
      <c r="AK30" s="3455" t="s">
        <v>3772</v>
      </c>
      <c r="AL30" s="3455" t="s">
        <v>3772</v>
      </c>
      <c r="AM30" s="3455" t="s">
        <v>3773</v>
      </c>
      <c r="AN30" s="3455" t="s">
        <v>3773</v>
      </c>
      <c r="AO30" s="3455" t="s">
        <v>3320</v>
      </c>
      <c r="AP30" s="3455" t="s">
        <v>3320</v>
      </c>
      <c r="AQ30" s="3455" t="s">
        <v>3354</v>
      </c>
      <c r="AR30" s="3455" t="s">
        <v>3333</v>
      </c>
      <c r="AS30" s="3455" t="s">
        <v>3317</v>
      </c>
      <c r="AT30" s="3455" t="s">
        <v>3317</v>
      </c>
      <c r="AU30" s="3455" t="s">
        <v>3320</v>
      </c>
      <c r="AV30" s="3455" t="s">
        <v>3320</v>
      </c>
      <c r="AW30" s="3455" t="s">
        <v>3320</v>
      </c>
    </row>
    <row r="31" spans="1:49">
      <c r="A31" s="3453" t="s">
        <v>3774</v>
      </c>
      <c r="B31" s="3453" t="s">
        <v>3309</v>
      </c>
      <c r="C31" s="3453" t="s">
        <v>3310</v>
      </c>
      <c r="D31" s="3453" t="s">
        <v>3775</v>
      </c>
      <c r="E31" s="3453" t="s">
        <v>3311</v>
      </c>
      <c r="F31" s="3453" t="s">
        <v>3757</v>
      </c>
      <c r="G31" s="3453" t="s">
        <v>3776</v>
      </c>
      <c r="H31" s="3453" t="s">
        <v>3370</v>
      </c>
      <c r="I31" s="3453" t="s">
        <v>3777</v>
      </c>
      <c r="J31" s="3453" t="s">
        <v>3778</v>
      </c>
      <c r="K31" s="3453" t="s">
        <v>3779</v>
      </c>
      <c r="L31" s="3453" t="s">
        <v>3314</v>
      </c>
      <c r="M31" s="3453" t="s">
        <v>3780</v>
      </c>
      <c r="N31" s="3453" t="s">
        <v>3316</v>
      </c>
      <c r="O31" s="3453" t="s">
        <v>3317</v>
      </c>
      <c r="P31" s="3453" t="s">
        <v>3781</v>
      </c>
      <c r="Q31" s="3453" t="s">
        <v>3320</v>
      </c>
      <c r="R31" s="3453" t="s">
        <v>3320</v>
      </c>
      <c r="S31" s="3453" t="s">
        <v>3320</v>
      </c>
      <c r="T31" s="3453" t="s">
        <v>3320</v>
      </c>
      <c r="U31" s="3453" t="s">
        <v>3354</v>
      </c>
      <c r="V31" s="3453" t="s">
        <v>3354</v>
      </c>
      <c r="W31" s="3453">
        <v>0</v>
      </c>
      <c r="X31" s="3453">
        <v>0</v>
      </c>
      <c r="Y31" s="3453" t="s">
        <v>3782</v>
      </c>
      <c r="Z31" s="3453" t="s">
        <v>3783</v>
      </c>
      <c r="AA31" s="3453" t="s">
        <v>3784</v>
      </c>
      <c r="AB31" s="3453" t="s">
        <v>3784</v>
      </c>
      <c r="AC31" s="3453" t="s">
        <v>3785</v>
      </c>
      <c r="AD31" s="3453" t="s">
        <v>3324</v>
      </c>
      <c r="AE31" s="3453" t="s">
        <v>3748</v>
      </c>
      <c r="AF31" s="3453" t="s">
        <v>3786</v>
      </c>
      <c r="AG31" s="3453" t="s">
        <v>3787</v>
      </c>
      <c r="AH31" s="3453" t="s">
        <v>3788</v>
      </c>
      <c r="AI31" s="3453" t="s">
        <v>3320</v>
      </c>
      <c r="AJ31" s="3453" t="s">
        <v>3789</v>
      </c>
      <c r="AK31" s="3453" t="s">
        <v>3790</v>
      </c>
      <c r="AL31" s="3453" t="s">
        <v>3791</v>
      </c>
      <c r="AM31" s="3453" t="s">
        <v>3792</v>
      </c>
      <c r="AN31" s="3453" t="s">
        <v>3793</v>
      </c>
      <c r="AO31" s="3453" t="s">
        <v>3320</v>
      </c>
      <c r="AP31" s="3453" t="s">
        <v>3320</v>
      </c>
      <c r="AQ31" s="3453" t="s">
        <v>3794</v>
      </c>
      <c r="AR31" s="3453" t="s">
        <v>3795</v>
      </c>
      <c r="AS31" s="3453" t="s">
        <v>3317</v>
      </c>
      <c r="AT31" s="3453" t="s">
        <v>3317</v>
      </c>
      <c r="AU31" s="3453" t="s">
        <v>3320</v>
      </c>
      <c r="AV31" s="3453" t="s">
        <v>3320</v>
      </c>
      <c r="AW31" s="3453" t="s">
        <v>3320</v>
      </c>
    </row>
    <row r="32" spans="1:49">
      <c r="A32" s="3453" t="s">
        <v>3796</v>
      </c>
      <c r="B32" s="3453" t="s">
        <v>3309</v>
      </c>
      <c r="C32" s="3453" t="s">
        <v>3310</v>
      </c>
      <c r="D32" s="3453" t="s">
        <v>3797</v>
      </c>
      <c r="E32" s="3453" t="s">
        <v>3311</v>
      </c>
      <c r="F32" s="3453" t="s">
        <v>3798</v>
      </c>
      <c r="G32" s="3453" t="s">
        <v>3799</v>
      </c>
      <c r="H32" s="3453" t="s">
        <v>3370</v>
      </c>
      <c r="I32" s="3453" t="s">
        <v>3800</v>
      </c>
      <c r="J32" s="3453" t="s">
        <v>3801</v>
      </c>
      <c r="K32" s="3453" t="s">
        <v>3802</v>
      </c>
      <c r="L32" s="3453" t="s">
        <v>3314</v>
      </c>
      <c r="M32" s="3453" t="s">
        <v>3803</v>
      </c>
      <c r="N32" s="3453" t="s">
        <v>3316</v>
      </c>
      <c r="O32" s="3453" t="s">
        <v>3317</v>
      </c>
      <c r="P32" s="3453" t="s">
        <v>3781</v>
      </c>
      <c r="Q32" s="3453" t="s">
        <v>3804</v>
      </c>
      <c r="R32" s="3453" t="s">
        <v>3320</v>
      </c>
      <c r="S32" s="3453" t="s">
        <v>3320</v>
      </c>
      <c r="T32" s="3453" t="s">
        <v>3320</v>
      </c>
      <c r="U32" s="3453" t="s">
        <v>3354</v>
      </c>
      <c r="V32" s="3453" t="s">
        <v>3354</v>
      </c>
      <c r="W32" s="3453">
        <v>0</v>
      </c>
      <c r="X32" s="3453">
        <v>0</v>
      </c>
      <c r="Y32" s="3453" t="s">
        <v>3805</v>
      </c>
      <c r="Z32" s="3453" t="s">
        <v>3782</v>
      </c>
      <c r="AA32" s="3453" t="s">
        <v>3806</v>
      </c>
      <c r="AB32" s="3453" t="s">
        <v>3806</v>
      </c>
      <c r="AC32" s="3453" t="s">
        <v>3807</v>
      </c>
      <c r="AD32" s="3453" t="s">
        <v>3324</v>
      </c>
      <c r="AE32" s="3453" t="s">
        <v>3808</v>
      </c>
      <c r="AF32" s="3453" t="s">
        <v>3809</v>
      </c>
      <c r="AG32" s="3453" t="s">
        <v>3810</v>
      </c>
      <c r="AH32" s="3453" t="s">
        <v>3811</v>
      </c>
      <c r="AI32" s="3453" t="s">
        <v>3320</v>
      </c>
      <c r="AJ32" s="3453" t="s">
        <v>3812</v>
      </c>
      <c r="AK32" s="3453" t="s">
        <v>3813</v>
      </c>
      <c r="AL32" s="3453" t="s">
        <v>3814</v>
      </c>
      <c r="AM32" s="3453" t="s">
        <v>3815</v>
      </c>
      <c r="AN32" s="3453" t="s">
        <v>3816</v>
      </c>
      <c r="AO32" s="3453" t="s">
        <v>3320</v>
      </c>
      <c r="AP32" s="3453" t="s">
        <v>3320</v>
      </c>
      <c r="AQ32" s="3453" t="s">
        <v>3817</v>
      </c>
      <c r="AR32" s="3453" t="s">
        <v>3818</v>
      </c>
      <c r="AS32" s="3453" t="s">
        <v>3317</v>
      </c>
      <c r="AT32" s="3453" t="s">
        <v>3317</v>
      </c>
      <c r="AU32" s="3453" t="s">
        <v>3320</v>
      </c>
      <c r="AV32" s="3453" t="s">
        <v>3320</v>
      </c>
      <c r="AW32" s="3453" t="s">
        <v>3320</v>
      </c>
    </row>
    <row r="33" spans="1:49" s="3456" customFormat="1">
      <c r="A33" s="3455" t="s">
        <v>3819</v>
      </c>
      <c r="B33" s="3455" t="s">
        <v>3309</v>
      </c>
      <c r="C33" s="3455" t="s">
        <v>3310</v>
      </c>
      <c r="D33" s="3455" t="s">
        <v>3820</v>
      </c>
      <c r="E33" s="3455" t="s">
        <v>3311</v>
      </c>
      <c r="F33" s="3455" t="s">
        <v>3757</v>
      </c>
      <c r="G33" s="3455" t="s">
        <v>3821</v>
      </c>
      <c r="H33" s="3455" t="s">
        <v>3370</v>
      </c>
      <c r="I33" s="3455" t="s">
        <v>3822</v>
      </c>
      <c r="J33" s="3455" t="s">
        <v>3823</v>
      </c>
      <c r="K33" s="3455" t="s">
        <v>3824</v>
      </c>
      <c r="L33" s="3455" t="s">
        <v>3314</v>
      </c>
      <c r="M33" s="3455" t="s">
        <v>3825</v>
      </c>
      <c r="N33" s="3455" t="s">
        <v>3316</v>
      </c>
      <c r="O33" s="3455" t="s">
        <v>3317</v>
      </c>
      <c r="P33" s="3455" t="s">
        <v>3781</v>
      </c>
      <c r="Q33" s="3455" t="s">
        <v>3804</v>
      </c>
      <c r="R33" s="3455" t="s">
        <v>3320</v>
      </c>
      <c r="S33" s="3455" t="s">
        <v>3320</v>
      </c>
      <c r="T33" s="3455" t="s">
        <v>3320</v>
      </c>
      <c r="U33" s="3455" t="s">
        <v>3354</v>
      </c>
      <c r="V33" s="3455" t="s">
        <v>3354</v>
      </c>
      <c r="W33" s="3455">
        <v>0</v>
      </c>
      <c r="X33" s="3455">
        <v>0</v>
      </c>
      <c r="Y33" s="3455" t="s">
        <v>3805</v>
      </c>
      <c r="Z33" s="3455" t="s">
        <v>3782</v>
      </c>
      <c r="AA33" s="3455" t="s">
        <v>3806</v>
      </c>
      <c r="AB33" s="3455" t="s">
        <v>3806</v>
      </c>
      <c r="AC33" s="3455" t="s">
        <v>3826</v>
      </c>
      <c r="AD33" s="3455" t="s">
        <v>3324</v>
      </c>
      <c r="AE33" s="3455" t="s">
        <v>3748</v>
      </c>
      <c r="AF33" s="3455" t="s">
        <v>3786</v>
      </c>
      <c r="AG33" s="3455" t="s">
        <v>3827</v>
      </c>
      <c r="AH33" s="3455" t="s">
        <v>3828</v>
      </c>
      <c r="AI33" s="3455" t="s">
        <v>3320</v>
      </c>
      <c r="AJ33" s="3455" t="s">
        <v>3829</v>
      </c>
      <c r="AK33" s="3455" t="s">
        <v>3830</v>
      </c>
      <c r="AL33" s="3455" t="s">
        <v>3831</v>
      </c>
      <c r="AM33" s="3455" t="s">
        <v>3832</v>
      </c>
      <c r="AN33" s="3455" t="s">
        <v>3833</v>
      </c>
      <c r="AO33" s="3455" t="s">
        <v>3320</v>
      </c>
      <c r="AP33" s="3455" t="s">
        <v>3320</v>
      </c>
      <c r="AQ33" s="3455" t="s">
        <v>3834</v>
      </c>
      <c r="AR33" s="3455" t="s">
        <v>3818</v>
      </c>
      <c r="AS33" s="3455" t="s">
        <v>3317</v>
      </c>
      <c r="AT33" s="3455" t="s">
        <v>3317</v>
      </c>
      <c r="AU33" s="3455" t="s">
        <v>3320</v>
      </c>
      <c r="AV33" s="3455" t="s">
        <v>3320</v>
      </c>
      <c r="AW33" s="3455" t="s">
        <v>3320</v>
      </c>
    </row>
    <row r="34" spans="1:49">
      <c r="A34" s="3453" t="s">
        <v>3796</v>
      </c>
      <c r="B34" s="3453" t="s">
        <v>3309</v>
      </c>
      <c r="C34" s="3453" t="s">
        <v>3310</v>
      </c>
      <c r="D34" s="3453" t="s">
        <v>3835</v>
      </c>
      <c r="E34" s="3453" t="s">
        <v>3311</v>
      </c>
      <c r="F34" s="3453" t="s">
        <v>3836</v>
      </c>
      <c r="G34" s="3453" t="s">
        <v>3799</v>
      </c>
      <c r="H34" s="3453" t="s">
        <v>3370</v>
      </c>
      <c r="I34" s="3453" t="s">
        <v>3837</v>
      </c>
      <c r="J34" s="3453" t="s">
        <v>3838</v>
      </c>
      <c r="K34" s="3453" t="s">
        <v>3839</v>
      </c>
      <c r="L34" s="3453" t="s">
        <v>3314</v>
      </c>
      <c r="M34" s="3453" t="s">
        <v>3803</v>
      </c>
      <c r="N34" s="3453" t="s">
        <v>3316</v>
      </c>
      <c r="O34" s="3453" t="s">
        <v>3317</v>
      </c>
      <c r="P34" s="3453" t="s">
        <v>3781</v>
      </c>
      <c r="Q34" s="3453" t="s">
        <v>3804</v>
      </c>
      <c r="R34" s="3453" t="s">
        <v>3320</v>
      </c>
      <c r="S34" s="3453" t="s">
        <v>3320</v>
      </c>
      <c r="T34" s="3453" t="s">
        <v>3320</v>
      </c>
      <c r="U34" s="3453" t="s">
        <v>3354</v>
      </c>
      <c r="V34" s="3453" t="s">
        <v>3354</v>
      </c>
      <c r="W34" s="3453">
        <v>0</v>
      </c>
      <c r="X34" s="3453">
        <v>0</v>
      </c>
      <c r="Y34" s="3453" t="s">
        <v>3805</v>
      </c>
      <c r="Z34" s="3453" t="s">
        <v>3782</v>
      </c>
      <c r="AA34" s="3453" t="s">
        <v>3806</v>
      </c>
      <c r="AB34" s="3453" t="s">
        <v>3806</v>
      </c>
      <c r="AC34" s="3453" t="s">
        <v>3840</v>
      </c>
      <c r="AD34" s="3453" t="s">
        <v>3324</v>
      </c>
      <c r="AE34" s="3453" t="s">
        <v>3632</v>
      </c>
      <c r="AF34" s="3453" t="s">
        <v>3633</v>
      </c>
      <c r="AG34" s="3453" t="s">
        <v>3841</v>
      </c>
      <c r="AH34" s="3453" t="s">
        <v>3842</v>
      </c>
      <c r="AI34" s="3453" t="s">
        <v>3320</v>
      </c>
      <c r="AJ34" s="3453" t="s">
        <v>3843</v>
      </c>
      <c r="AK34" s="3453" t="s">
        <v>3844</v>
      </c>
      <c r="AL34" s="3453" t="s">
        <v>3845</v>
      </c>
      <c r="AM34" s="3453" t="s">
        <v>3846</v>
      </c>
      <c r="AN34" s="3453" t="s">
        <v>3847</v>
      </c>
      <c r="AO34" s="3453" t="s">
        <v>3320</v>
      </c>
      <c r="AP34" s="3453" t="s">
        <v>3320</v>
      </c>
      <c r="AQ34" s="3453" t="s">
        <v>3848</v>
      </c>
      <c r="AR34" s="3453" t="s">
        <v>3818</v>
      </c>
      <c r="AS34" s="3453" t="s">
        <v>3317</v>
      </c>
      <c r="AT34" s="3453" t="s">
        <v>3317</v>
      </c>
      <c r="AU34" s="3453" t="s">
        <v>3320</v>
      </c>
      <c r="AV34" s="3453" t="s">
        <v>3320</v>
      </c>
      <c r="AW34" s="3453" t="s">
        <v>3320</v>
      </c>
    </row>
    <row r="35" spans="1:49">
      <c r="A35" s="3453" t="s">
        <v>3849</v>
      </c>
      <c r="B35" s="3453" t="s">
        <v>3309</v>
      </c>
      <c r="C35" s="3453" t="s">
        <v>3310</v>
      </c>
      <c r="D35" s="3453" t="s">
        <v>3850</v>
      </c>
      <c r="E35" s="3453" t="s">
        <v>3311</v>
      </c>
      <c r="F35" s="3453" t="s">
        <v>3714</v>
      </c>
      <c r="G35" s="3453" t="s">
        <v>3851</v>
      </c>
      <c r="H35" s="3453" t="s">
        <v>3313</v>
      </c>
      <c r="I35" s="3453" t="s">
        <v>3852</v>
      </c>
      <c r="J35" s="3453" t="s">
        <v>3853</v>
      </c>
      <c r="K35" s="3453" t="s">
        <v>3854</v>
      </c>
      <c r="L35" s="3453" t="s">
        <v>3855</v>
      </c>
      <c r="M35" s="3453" t="s">
        <v>3780</v>
      </c>
      <c r="N35" s="3453" t="s">
        <v>3316</v>
      </c>
      <c r="O35" s="3453" t="s">
        <v>3317</v>
      </c>
      <c r="P35" s="3453" t="s">
        <v>3856</v>
      </c>
      <c r="Q35" s="3453" t="s">
        <v>3804</v>
      </c>
      <c r="R35" s="3453" t="s">
        <v>3320</v>
      </c>
      <c r="S35" s="3453" t="s">
        <v>3320</v>
      </c>
      <c r="T35" s="3453" t="s">
        <v>3320</v>
      </c>
      <c r="U35" s="3453" t="s">
        <v>3354</v>
      </c>
      <c r="V35" s="3453" t="s">
        <v>3354</v>
      </c>
      <c r="W35" s="3453">
        <v>0</v>
      </c>
      <c r="X35" s="3453">
        <v>0</v>
      </c>
      <c r="Y35" s="3453" t="s">
        <v>3857</v>
      </c>
      <c r="Z35" s="3453" t="s">
        <v>3858</v>
      </c>
      <c r="AA35" s="3453" t="s">
        <v>3858</v>
      </c>
      <c r="AB35" s="3453" t="s">
        <v>3858</v>
      </c>
      <c r="AC35" s="3453" t="s">
        <v>3859</v>
      </c>
      <c r="AD35" s="3453" t="s">
        <v>3324</v>
      </c>
      <c r="AE35" s="3453" t="s">
        <v>3495</v>
      </c>
      <c r="AF35" s="3453" t="s">
        <v>3320</v>
      </c>
      <c r="AG35" s="3453" t="s">
        <v>3860</v>
      </c>
      <c r="AH35" s="3453" t="s">
        <v>3861</v>
      </c>
      <c r="AI35" s="3453" t="s">
        <v>3320</v>
      </c>
      <c r="AJ35" s="3453" t="s">
        <v>3862</v>
      </c>
      <c r="AK35" s="3453" t="s">
        <v>3863</v>
      </c>
      <c r="AL35" s="3453" t="s">
        <v>3864</v>
      </c>
      <c r="AM35" s="3453" t="s">
        <v>3865</v>
      </c>
      <c r="AN35" s="3453" t="s">
        <v>3866</v>
      </c>
      <c r="AO35" s="3453" t="s">
        <v>3320</v>
      </c>
      <c r="AP35" s="3453" t="s">
        <v>3320</v>
      </c>
      <c r="AQ35" s="3453" t="s">
        <v>3867</v>
      </c>
      <c r="AR35" s="3453" t="s">
        <v>3333</v>
      </c>
      <c r="AS35" s="3453" t="s">
        <v>3317</v>
      </c>
      <c r="AT35" s="3453" t="s">
        <v>3317</v>
      </c>
      <c r="AU35" s="3453" t="s">
        <v>3320</v>
      </c>
      <c r="AV35" s="3453" t="s">
        <v>3320</v>
      </c>
      <c r="AW35" s="3453" t="s">
        <v>3320</v>
      </c>
    </row>
    <row r="36" spans="1:49">
      <c r="A36" s="3453" t="s">
        <v>3868</v>
      </c>
      <c r="B36" s="3453" t="s">
        <v>3309</v>
      </c>
      <c r="C36" s="3453" t="s">
        <v>3310</v>
      </c>
      <c r="D36" s="3453" t="s">
        <v>3869</v>
      </c>
      <c r="E36" s="3453" t="s">
        <v>3311</v>
      </c>
      <c r="F36" s="3453" t="s">
        <v>3714</v>
      </c>
      <c r="G36" s="3453" t="s">
        <v>3870</v>
      </c>
      <c r="H36" s="3453" t="s">
        <v>3313</v>
      </c>
      <c r="I36" s="3453" t="s">
        <v>3871</v>
      </c>
      <c r="J36" s="3453" t="s">
        <v>3872</v>
      </c>
      <c r="K36" s="3453" t="s">
        <v>3873</v>
      </c>
      <c r="L36" s="3453" t="s">
        <v>3855</v>
      </c>
      <c r="M36" s="3453" t="s">
        <v>3780</v>
      </c>
      <c r="N36" s="3453" t="s">
        <v>3316</v>
      </c>
      <c r="O36" s="3453" t="s">
        <v>3317</v>
      </c>
      <c r="P36" s="3453" t="s">
        <v>3874</v>
      </c>
      <c r="Q36" s="3453" t="s">
        <v>3875</v>
      </c>
      <c r="R36" s="3453" t="s">
        <v>3320</v>
      </c>
      <c r="S36" s="3453" t="s">
        <v>3320</v>
      </c>
      <c r="T36" s="3453" t="s">
        <v>3320</v>
      </c>
      <c r="U36" s="3453" t="s">
        <v>3354</v>
      </c>
      <c r="V36" s="3453" t="s">
        <v>3354</v>
      </c>
      <c r="W36" s="3453">
        <v>0</v>
      </c>
      <c r="X36" s="3453">
        <v>0</v>
      </c>
      <c r="Y36" s="3453" t="s">
        <v>3857</v>
      </c>
      <c r="Z36" s="3453" t="s">
        <v>3858</v>
      </c>
      <c r="AA36" s="3453" t="s">
        <v>3858</v>
      </c>
      <c r="AB36" s="3453" t="s">
        <v>3858</v>
      </c>
      <c r="AC36" s="3453" t="s">
        <v>3876</v>
      </c>
      <c r="AD36" s="3453" t="s">
        <v>3324</v>
      </c>
      <c r="AE36" s="3453" t="s">
        <v>3495</v>
      </c>
      <c r="AF36" s="3453" t="s">
        <v>3320</v>
      </c>
      <c r="AG36" s="3453" t="s">
        <v>3320</v>
      </c>
      <c r="AH36" s="3453" t="s">
        <v>3877</v>
      </c>
      <c r="AI36" s="3453" t="s">
        <v>3320</v>
      </c>
      <c r="AJ36" s="3453" t="s">
        <v>3878</v>
      </c>
      <c r="AK36" s="3453" t="s">
        <v>3320</v>
      </c>
      <c r="AL36" s="3453" t="s">
        <v>3879</v>
      </c>
      <c r="AM36" s="3453" t="s">
        <v>3320</v>
      </c>
      <c r="AN36" s="3453" t="s">
        <v>3880</v>
      </c>
      <c r="AO36" s="3453" t="s">
        <v>3320</v>
      </c>
      <c r="AP36" s="3453" t="s">
        <v>3320</v>
      </c>
      <c r="AQ36" s="3453" t="s">
        <v>3354</v>
      </c>
      <c r="AR36" s="3453" t="s">
        <v>3333</v>
      </c>
      <c r="AS36" s="3453" t="s">
        <v>3317</v>
      </c>
      <c r="AT36" s="3453" t="s">
        <v>3317</v>
      </c>
      <c r="AU36" s="3453" t="s">
        <v>3320</v>
      </c>
      <c r="AV36" s="3453" t="s">
        <v>3320</v>
      </c>
      <c r="AW36" s="3453" t="s">
        <v>3320</v>
      </c>
    </row>
    <row r="37" spans="1:49">
      <c r="A37" s="3453" t="s">
        <v>3881</v>
      </c>
      <c r="B37" s="3453" t="s">
        <v>3309</v>
      </c>
      <c r="C37" s="3453" t="s">
        <v>3310</v>
      </c>
      <c r="D37" s="3453" t="s">
        <v>3882</v>
      </c>
      <c r="E37" s="3453" t="s">
        <v>3311</v>
      </c>
      <c r="F37" s="3453" t="s">
        <v>3714</v>
      </c>
      <c r="G37" s="3453" t="s">
        <v>3883</v>
      </c>
      <c r="H37" s="3453" t="s">
        <v>3313</v>
      </c>
      <c r="I37" s="3453" t="s">
        <v>3884</v>
      </c>
      <c r="J37" s="3453" t="s">
        <v>3885</v>
      </c>
      <c r="K37" s="3453" t="s">
        <v>3873</v>
      </c>
      <c r="L37" s="3453" t="s">
        <v>3855</v>
      </c>
      <c r="M37" s="3453" t="s">
        <v>3780</v>
      </c>
      <c r="N37" s="3453" t="s">
        <v>3316</v>
      </c>
      <c r="O37" s="3453" t="s">
        <v>3317</v>
      </c>
      <c r="P37" s="3453" t="s">
        <v>3874</v>
      </c>
      <c r="Q37" s="3453" t="s">
        <v>3764</v>
      </c>
      <c r="R37" s="3453" t="s">
        <v>3320</v>
      </c>
      <c r="S37" s="3453" t="s">
        <v>3320</v>
      </c>
      <c r="T37" s="3453" t="s">
        <v>3320</v>
      </c>
      <c r="U37" s="3453" t="s">
        <v>3354</v>
      </c>
      <c r="V37" s="3453" t="s">
        <v>3354</v>
      </c>
      <c r="W37" s="3453">
        <v>0</v>
      </c>
      <c r="X37" s="3453">
        <v>0</v>
      </c>
      <c r="Y37" s="3453" t="s">
        <v>3857</v>
      </c>
      <c r="Z37" s="3453" t="s">
        <v>3858</v>
      </c>
      <c r="AA37" s="3453" t="s">
        <v>3858</v>
      </c>
      <c r="AB37" s="3453" t="s">
        <v>3858</v>
      </c>
      <c r="AC37" s="3453" t="s">
        <v>3886</v>
      </c>
      <c r="AD37" s="3453" t="s">
        <v>3324</v>
      </c>
      <c r="AE37" s="3453" t="s">
        <v>3495</v>
      </c>
      <c r="AF37" s="3453" t="s">
        <v>3320</v>
      </c>
      <c r="AG37" s="3453" t="s">
        <v>3320</v>
      </c>
      <c r="AH37" s="3453" t="s">
        <v>3887</v>
      </c>
      <c r="AI37" s="3453" t="s">
        <v>3320</v>
      </c>
      <c r="AJ37" s="3453" t="s">
        <v>3888</v>
      </c>
      <c r="AK37" s="3453" t="s">
        <v>3320</v>
      </c>
      <c r="AL37" s="3453" t="s">
        <v>3889</v>
      </c>
      <c r="AM37" s="3453" t="s">
        <v>3320</v>
      </c>
      <c r="AN37" s="3453" t="s">
        <v>3890</v>
      </c>
      <c r="AO37" s="3453" t="s">
        <v>3320</v>
      </c>
      <c r="AP37" s="3453" t="s">
        <v>3320</v>
      </c>
      <c r="AQ37" s="3453" t="s">
        <v>3354</v>
      </c>
      <c r="AR37" s="3453" t="s">
        <v>3333</v>
      </c>
      <c r="AS37" s="3453" t="s">
        <v>3317</v>
      </c>
      <c r="AT37" s="3453" t="s">
        <v>3317</v>
      </c>
      <c r="AU37" s="3453" t="s">
        <v>3320</v>
      </c>
      <c r="AV37" s="3453" t="s">
        <v>3320</v>
      </c>
      <c r="AW37" s="3453" t="s">
        <v>3320</v>
      </c>
    </row>
    <row r="38" spans="1:49">
      <c r="A38" s="3453" t="s">
        <v>3891</v>
      </c>
      <c r="B38" s="3453" t="s">
        <v>3309</v>
      </c>
      <c r="C38" s="3453" t="s">
        <v>3310</v>
      </c>
      <c r="D38" s="3453" t="s">
        <v>3892</v>
      </c>
      <c r="E38" s="3453" t="s">
        <v>3311</v>
      </c>
      <c r="F38" s="3453" t="s">
        <v>3714</v>
      </c>
      <c r="G38" s="3453" t="s">
        <v>3893</v>
      </c>
      <c r="H38" s="3453" t="s">
        <v>3313</v>
      </c>
      <c r="I38" s="3453" t="s">
        <v>3894</v>
      </c>
      <c r="J38" s="3453" t="s">
        <v>3895</v>
      </c>
      <c r="K38" s="3453" t="s">
        <v>3896</v>
      </c>
      <c r="L38" s="3453" t="s">
        <v>3855</v>
      </c>
      <c r="M38" s="3453" t="s">
        <v>3762</v>
      </c>
      <c r="N38" s="3453" t="s">
        <v>3316</v>
      </c>
      <c r="O38" s="3453" t="s">
        <v>3317</v>
      </c>
      <c r="P38" s="3453" t="s">
        <v>3897</v>
      </c>
      <c r="Q38" s="3453" t="s">
        <v>3898</v>
      </c>
      <c r="R38" s="3453" t="s">
        <v>3320</v>
      </c>
      <c r="S38" s="3453" t="s">
        <v>3320</v>
      </c>
      <c r="T38" s="3453" t="s">
        <v>3320</v>
      </c>
      <c r="U38" s="3453" t="s">
        <v>3354</v>
      </c>
      <c r="V38" s="3453" t="s">
        <v>3354</v>
      </c>
      <c r="W38" s="3453">
        <v>0</v>
      </c>
      <c r="X38" s="3453">
        <v>0</v>
      </c>
      <c r="Y38" s="3453" t="s">
        <v>3899</v>
      </c>
      <c r="Z38" s="3453" t="s">
        <v>3900</v>
      </c>
      <c r="AA38" s="3453" t="s">
        <v>3900</v>
      </c>
      <c r="AB38" s="3453" t="s">
        <v>3900</v>
      </c>
      <c r="AC38" s="3453" t="s">
        <v>3901</v>
      </c>
      <c r="AD38" s="3453" t="s">
        <v>3324</v>
      </c>
      <c r="AE38" s="3453" t="s">
        <v>3495</v>
      </c>
      <c r="AF38" s="3453" t="s">
        <v>3320</v>
      </c>
      <c r="AG38" s="3453" t="s">
        <v>3902</v>
      </c>
      <c r="AH38" s="3453" t="s">
        <v>3903</v>
      </c>
      <c r="AI38" s="3453" t="s">
        <v>3320</v>
      </c>
      <c r="AJ38" s="3453" t="s">
        <v>3904</v>
      </c>
      <c r="AK38" s="3453" t="s">
        <v>3905</v>
      </c>
      <c r="AL38" s="3453" t="s">
        <v>3906</v>
      </c>
      <c r="AM38" s="3453" t="s">
        <v>3907</v>
      </c>
      <c r="AN38" s="3453" t="s">
        <v>3908</v>
      </c>
      <c r="AO38" s="3453" t="s">
        <v>3320</v>
      </c>
      <c r="AP38" s="3453" t="s">
        <v>3320</v>
      </c>
      <c r="AQ38" s="3453" t="s">
        <v>3909</v>
      </c>
      <c r="AR38" s="3453" t="s">
        <v>3333</v>
      </c>
      <c r="AS38" s="3453" t="s">
        <v>3317</v>
      </c>
      <c r="AT38" s="3453" t="s">
        <v>3317</v>
      </c>
      <c r="AU38" s="3453" t="s">
        <v>3320</v>
      </c>
      <c r="AV38" s="3453" t="s">
        <v>3320</v>
      </c>
      <c r="AW38" s="3453" t="s">
        <v>3320</v>
      </c>
    </row>
    <row r="39" spans="1:49">
      <c r="A39" s="3453" t="s">
        <v>3910</v>
      </c>
      <c r="B39" s="3453" t="s">
        <v>3309</v>
      </c>
      <c r="C39" s="3453" t="s">
        <v>3310</v>
      </c>
      <c r="D39" s="3453" t="s">
        <v>3911</v>
      </c>
      <c r="E39" s="3453" t="s">
        <v>3311</v>
      </c>
      <c r="F39" s="3453" t="s">
        <v>3578</v>
      </c>
      <c r="G39" s="3453" t="s">
        <v>3912</v>
      </c>
      <c r="H39" s="3453" t="s">
        <v>3370</v>
      </c>
      <c r="I39" s="3453" t="s">
        <v>3913</v>
      </c>
      <c r="J39" s="3453" t="s">
        <v>3914</v>
      </c>
      <c r="K39" s="3453" t="s">
        <v>3915</v>
      </c>
      <c r="L39" s="3453" t="s">
        <v>3855</v>
      </c>
      <c r="M39" s="3453" t="s">
        <v>3825</v>
      </c>
      <c r="N39" s="3453" t="s">
        <v>3316</v>
      </c>
      <c r="O39" s="3453" t="s">
        <v>3317</v>
      </c>
      <c r="P39" s="3453" t="s">
        <v>3916</v>
      </c>
      <c r="Q39" s="3453" t="s">
        <v>3917</v>
      </c>
      <c r="R39" s="3453" t="s">
        <v>3320</v>
      </c>
      <c r="S39" s="3453" t="s">
        <v>3320</v>
      </c>
      <c r="T39" s="3453" t="s">
        <v>3320</v>
      </c>
      <c r="U39" s="3453" t="s">
        <v>3354</v>
      </c>
      <c r="V39" s="3453" t="s">
        <v>3354</v>
      </c>
      <c r="W39" s="3453">
        <v>0</v>
      </c>
      <c r="X39" s="3453">
        <v>0</v>
      </c>
      <c r="Y39" s="3453" t="s">
        <v>3918</v>
      </c>
      <c r="Z39" s="3453" t="s">
        <v>3919</v>
      </c>
      <c r="AA39" s="3453" t="s">
        <v>3919</v>
      </c>
      <c r="AB39" s="3453" t="s">
        <v>3919</v>
      </c>
      <c r="AC39" s="3453" t="s">
        <v>3920</v>
      </c>
      <c r="AD39" s="3453" t="s">
        <v>3324</v>
      </c>
      <c r="AE39" s="3453" t="s">
        <v>3921</v>
      </c>
      <c r="AF39" s="3453" t="s">
        <v>3633</v>
      </c>
      <c r="AG39" s="3453" t="s">
        <v>3922</v>
      </c>
      <c r="AH39" s="3453" t="s">
        <v>3923</v>
      </c>
      <c r="AI39" s="3453" t="s">
        <v>3320</v>
      </c>
      <c r="AJ39" s="3453" t="s">
        <v>3924</v>
      </c>
      <c r="AK39" s="3453" t="s">
        <v>3925</v>
      </c>
      <c r="AL39" s="3453" t="s">
        <v>3926</v>
      </c>
      <c r="AM39" s="3453" t="s">
        <v>3927</v>
      </c>
      <c r="AN39" s="3453" t="s">
        <v>3928</v>
      </c>
      <c r="AO39" s="3453" t="s">
        <v>3320</v>
      </c>
      <c r="AP39" s="3453" t="s">
        <v>3320</v>
      </c>
      <c r="AQ39" s="3453" t="s">
        <v>3929</v>
      </c>
      <c r="AR39" s="3453" t="s">
        <v>3930</v>
      </c>
      <c r="AS39" s="3453" t="s">
        <v>3317</v>
      </c>
      <c r="AT39" s="3453" t="s">
        <v>3317</v>
      </c>
      <c r="AU39" s="3453" t="s">
        <v>3320</v>
      </c>
      <c r="AV39" s="3453" t="s">
        <v>3320</v>
      </c>
      <c r="AW39" s="3453" t="s">
        <v>3320</v>
      </c>
    </row>
    <row r="40" spans="1:49">
      <c r="A40" s="3453" t="s">
        <v>3910</v>
      </c>
      <c r="B40" s="3453" t="s">
        <v>3309</v>
      </c>
      <c r="C40" s="3453" t="s">
        <v>3310</v>
      </c>
      <c r="D40" s="3453" t="s">
        <v>3931</v>
      </c>
      <c r="E40" s="3453" t="s">
        <v>3311</v>
      </c>
      <c r="F40" s="3453" t="s">
        <v>3714</v>
      </c>
      <c r="G40" s="3453" t="s">
        <v>3912</v>
      </c>
      <c r="H40" s="3453" t="s">
        <v>3370</v>
      </c>
      <c r="I40" s="3453" t="s">
        <v>3932</v>
      </c>
      <c r="J40" s="3453" t="s">
        <v>3933</v>
      </c>
      <c r="K40" s="3453" t="s">
        <v>3915</v>
      </c>
      <c r="L40" s="3453" t="s">
        <v>3855</v>
      </c>
      <c r="M40" s="3453" t="s">
        <v>3825</v>
      </c>
      <c r="N40" s="3453" t="s">
        <v>3316</v>
      </c>
      <c r="O40" s="3453" t="s">
        <v>3317</v>
      </c>
      <c r="P40" s="3453" t="s">
        <v>3916</v>
      </c>
      <c r="Q40" s="3453" t="s">
        <v>3917</v>
      </c>
      <c r="R40" s="3453" t="s">
        <v>3320</v>
      </c>
      <c r="S40" s="3453" t="s">
        <v>3320</v>
      </c>
      <c r="T40" s="3453" t="s">
        <v>3320</v>
      </c>
      <c r="U40" s="3453" t="s">
        <v>3354</v>
      </c>
      <c r="V40" s="3453" t="s">
        <v>3354</v>
      </c>
      <c r="W40" s="3453">
        <v>0</v>
      </c>
      <c r="X40" s="3453">
        <v>0</v>
      </c>
      <c r="Y40" s="3453" t="s">
        <v>3918</v>
      </c>
      <c r="Z40" s="3453" t="s">
        <v>3919</v>
      </c>
      <c r="AA40" s="3453" t="s">
        <v>3919</v>
      </c>
      <c r="AB40" s="3453" t="s">
        <v>3919</v>
      </c>
      <c r="AC40" s="3453" t="s">
        <v>3934</v>
      </c>
      <c r="AD40" s="3453" t="s">
        <v>3324</v>
      </c>
      <c r="AE40" s="3453" t="s">
        <v>3921</v>
      </c>
      <c r="AF40" s="3453" t="s">
        <v>3633</v>
      </c>
      <c r="AG40" s="3453" t="s">
        <v>3935</v>
      </c>
      <c r="AH40" s="3453" t="s">
        <v>3936</v>
      </c>
      <c r="AI40" s="3453" t="s">
        <v>3320</v>
      </c>
      <c r="AJ40" s="3453" t="s">
        <v>3937</v>
      </c>
      <c r="AK40" s="3453" t="s">
        <v>3938</v>
      </c>
      <c r="AL40" s="3453" t="s">
        <v>3939</v>
      </c>
      <c r="AM40" s="3453" t="s">
        <v>3940</v>
      </c>
      <c r="AN40" s="3453" t="s">
        <v>3941</v>
      </c>
      <c r="AO40" s="3453" t="s">
        <v>3320</v>
      </c>
      <c r="AP40" s="3453" t="s">
        <v>3320</v>
      </c>
      <c r="AQ40" s="3453" t="s">
        <v>3942</v>
      </c>
      <c r="AR40" s="3453" t="s">
        <v>3930</v>
      </c>
      <c r="AS40" s="3453" t="s">
        <v>3317</v>
      </c>
      <c r="AT40" s="3453" t="s">
        <v>3317</v>
      </c>
      <c r="AU40" s="3453" t="s">
        <v>3320</v>
      </c>
      <c r="AV40" s="3453" t="s">
        <v>3320</v>
      </c>
      <c r="AW40" s="3453" t="s">
        <v>3320</v>
      </c>
    </row>
    <row r="41" spans="1:49">
      <c r="A41" s="3453" t="s">
        <v>3910</v>
      </c>
      <c r="B41" s="3453" t="s">
        <v>3309</v>
      </c>
      <c r="C41" s="3453" t="s">
        <v>3310</v>
      </c>
      <c r="D41" s="3453" t="s">
        <v>3943</v>
      </c>
      <c r="E41" s="3453" t="s">
        <v>3311</v>
      </c>
      <c r="F41" s="3453" t="s">
        <v>3578</v>
      </c>
      <c r="G41" s="3453" t="s">
        <v>3912</v>
      </c>
      <c r="H41" s="3453" t="s">
        <v>3370</v>
      </c>
      <c r="I41" s="3453" t="s">
        <v>3944</v>
      </c>
      <c r="J41" s="3453" t="s">
        <v>3945</v>
      </c>
      <c r="K41" s="3453" t="s">
        <v>3915</v>
      </c>
      <c r="L41" s="3453" t="s">
        <v>3855</v>
      </c>
      <c r="M41" s="3453" t="s">
        <v>3825</v>
      </c>
      <c r="N41" s="3453" t="s">
        <v>3316</v>
      </c>
      <c r="O41" s="3453" t="s">
        <v>3317</v>
      </c>
      <c r="P41" s="3453" t="s">
        <v>3916</v>
      </c>
      <c r="Q41" s="3453" t="s">
        <v>3917</v>
      </c>
      <c r="R41" s="3453" t="s">
        <v>3320</v>
      </c>
      <c r="S41" s="3453" t="s">
        <v>3320</v>
      </c>
      <c r="T41" s="3453" t="s">
        <v>3320</v>
      </c>
      <c r="U41" s="3453" t="s">
        <v>3354</v>
      </c>
      <c r="V41" s="3453" t="s">
        <v>3354</v>
      </c>
      <c r="W41" s="3453">
        <v>0</v>
      </c>
      <c r="X41" s="3453">
        <v>0</v>
      </c>
      <c r="Y41" s="3453" t="s">
        <v>3918</v>
      </c>
      <c r="Z41" s="3453" t="s">
        <v>3919</v>
      </c>
      <c r="AA41" s="3453" t="s">
        <v>3919</v>
      </c>
      <c r="AB41" s="3453" t="s">
        <v>3919</v>
      </c>
      <c r="AC41" s="3453" t="s">
        <v>3946</v>
      </c>
      <c r="AD41" s="3453" t="s">
        <v>3324</v>
      </c>
      <c r="AE41" s="3453" t="s">
        <v>3921</v>
      </c>
      <c r="AF41" s="3453" t="s">
        <v>3633</v>
      </c>
      <c r="AG41" s="3453" t="s">
        <v>3947</v>
      </c>
      <c r="AH41" s="3453" t="s">
        <v>3948</v>
      </c>
      <c r="AI41" s="3453" t="s">
        <v>3320</v>
      </c>
      <c r="AJ41" s="3453" t="s">
        <v>3949</v>
      </c>
      <c r="AK41" s="3453" t="s">
        <v>3950</v>
      </c>
      <c r="AL41" s="3453" t="s">
        <v>3951</v>
      </c>
      <c r="AM41" s="3453" t="s">
        <v>3940</v>
      </c>
      <c r="AN41" s="3453" t="s">
        <v>3952</v>
      </c>
      <c r="AO41" s="3453" t="s">
        <v>3320</v>
      </c>
      <c r="AP41" s="3453" t="s">
        <v>3320</v>
      </c>
      <c r="AQ41" s="3453" t="s">
        <v>3929</v>
      </c>
      <c r="AR41" s="3453" t="s">
        <v>3930</v>
      </c>
      <c r="AS41" s="3453" t="s">
        <v>3317</v>
      </c>
      <c r="AT41" s="3453" t="s">
        <v>3317</v>
      </c>
      <c r="AU41" s="3453" t="s">
        <v>3320</v>
      </c>
      <c r="AV41" s="3453" t="s">
        <v>3320</v>
      </c>
      <c r="AW41" s="3453" t="s">
        <v>3320</v>
      </c>
    </row>
    <row r="42" spans="1:49">
      <c r="A42" s="3453" t="s">
        <v>3953</v>
      </c>
      <c r="B42" s="3453" t="s">
        <v>3309</v>
      </c>
      <c r="C42" s="3453" t="s">
        <v>3310</v>
      </c>
      <c r="D42" s="3453" t="s">
        <v>3954</v>
      </c>
      <c r="E42" s="3453" t="s">
        <v>3311</v>
      </c>
      <c r="F42" s="3453" t="s">
        <v>3578</v>
      </c>
      <c r="G42" s="3453" t="s">
        <v>3955</v>
      </c>
      <c r="H42" s="3453" t="s">
        <v>3370</v>
      </c>
      <c r="I42" s="3453" t="s">
        <v>3956</v>
      </c>
      <c r="J42" s="3453" t="s">
        <v>3957</v>
      </c>
      <c r="K42" s="3453" t="s">
        <v>3915</v>
      </c>
      <c r="L42" s="3453" t="s">
        <v>3855</v>
      </c>
      <c r="M42" s="3453" t="s">
        <v>3958</v>
      </c>
      <c r="N42" s="3453" t="s">
        <v>3316</v>
      </c>
      <c r="O42" s="3453" t="s">
        <v>3540</v>
      </c>
      <c r="P42" s="3453" t="s">
        <v>3916</v>
      </c>
      <c r="Q42" s="3453" t="s">
        <v>3917</v>
      </c>
      <c r="R42" s="3453" t="s">
        <v>3320</v>
      </c>
      <c r="S42" s="3453" t="s">
        <v>3320</v>
      </c>
      <c r="T42" s="3453" t="s">
        <v>3320</v>
      </c>
      <c r="U42" s="3453" t="s">
        <v>3354</v>
      </c>
      <c r="V42" s="3453" t="s">
        <v>3354</v>
      </c>
      <c r="W42" s="3453">
        <v>0</v>
      </c>
      <c r="X42" s="3453">
        <v>0</v>
      </c>
      <c r="Y42" s="3453" t="s">
        <v>3918</v>
      </c>
      <c r="Z42" s="3453" t="s">
        <v>3959</v>
      </c>
      <c r="AA42" s="3453" t="s">
        <v>3959</v>
      </c>
      <c r="AB42" s="3453" t="s">
        <v>3959</v>
      </c>
      <c r="AC42" s="3453" t="s">
        <v>3960</v>
      </c>
      <c r="AD42" s="3453" t="s">
        <v>3324</v>
      </c>
      <c r="AE42" s="3453" t="s">
        <v>3921</v>
      </c>
      <c r="AF42" s="3453" t="s">
        <v>3633</v>
      </c>
      <c r="AG42" s="3453" t="s">
        <v>3961</v>
      </c>
      <c r="AH42" s="3453" t="s">
        <v>3962</v>
      </c>
      <c r="AI42" s="3453" t="s">
        <v>3320</v>
      </c>
      <c r="AJ42" s="3453" t="s">
        <v>3963</v>
      </c>
      <c r="AK42" s="3453" t="s">
        <v>3964</v>
      </c>
      <c r="AL42" s="3453" t="s">
        <v>3965</v>
      </c>
      <c r="AM42" s="3453" t="s">
        <v>3966</v>
      </c>
      <c r="AN42" s="3453" t="s">
        <v>3967</v>
      </c>
      <c r="AO42" s="3453" t="s">
        <v>3320</v>
      </c>
      <c r="AP42" s="3453" t="s">
        <v>3320</v>
      </c>
      <c r="AQ42" s="3453" t="s">
        <v>3968</v>
      </c>
      <c r="AR42" s="3453" t="s">
        <v>3969</v>
      </c>
      <c r="AS42" s="3453" t="s">
        <v>3317</v>
      </c>
      <c r="AT42" s="3453" t="s">
        <v>3317</v>
      </c>
      <c r="AU42" s="3453" t="s">
        <v>3320</v>
      </c>
      <c r="AV42" s="3453" t="s">
        <v>3320</v>
      </c>
      <c r="AW42" s="3453" t="s">
        <v>3320</v>
      </c>
    </row>
    <row r="43" spans="1:49">
      <c r="A43" s="3453" t="s">
        <v>3953</v>
      </c>
      <c r="B43" s="3453" t="s">
        <v>3309</v>
      </c>
      <c r="C43" s="3453" t="s">
        <v>3310</v>
      </c>
      <c r="D43" s="3453" t="s">
        <v>3970</v>
      </c>
      <c r="E43" s="3453" t="s">
        <v>3311</v>
      </c>
      <c r="F43" s="3453" t="s">
        <v>3336</v>
      </c>
      <c r="G43" s="3453" t="s">
        <v>3955</v>
      </c>
      <c r="H43" s="3453" t="s">
        <v>3313</v>
      </c>
      <c r="I43" s="3453" t="s">
        <v>3971</v>
      </c>
      <c r="J43" s="3453" t="s">
        <v>3972</v>
      </c>
      <c r="K43" s="3453" t="s">
        <v>3915</v>
      </c>
      <c r="L43" s="3453" t="s">
        <v>3855</v>
      </c>
      <c r="M43" s="3453" t="s">
        <v>3762</v>
      </c>
      <c r="N43" s="3453" t="s">
        <v>3316</v>
      </c>
      <c r="O43" s="3453" t="s">
        <v>3317</v>
      </c>
      <c r="P43" s="3453" t="s">
        <v>3973</v>
      </c>
      <c r="Q43" s="3453" t="s">
        <v>3917</v>
      </c>
      <c r="R43" s="3453" t="s">
        <v>3320</v>
      </c>
      <c r="S43" s="3453" t="s">
        <v>3320</v>
      </c>
      <c r="T43" s="3453" t="s">
        <v>3320</v>
      </c>
      <c r="U43" s="3453" t="s">
        <v>3354</v>
      </c>
      <c r="V43" s="3453" t="s">
        <v>3354</v>
      </c>
      <c r="W43" s="3453">
        <v>0</v>
      </c>
      <c r="X43" s="3453">
        <v>0</v>
      </c>
      <c r="Y43" s="3453" t="s">
        <v>3918</v>
      </c>
      <c r="Z43" s="3453" t="s">
        <v>3959</v>
      </c>
      <c r="AA43" s="3453" t="s">
        <v>3959</v>
      </c>
      <c r="AB43" s="3453" t="s">
        <v>3959</v>
      </c>
      <c r="AC43" s="3453" t="s">
        <v>3974</v>
      </c>
      <c r="AD43" s="3453" t="s">
        <v>3324</v>
      </c>
      <c r="AE43" s="3453" t="s">
        <v>3921</v>
      </c>
      <c r="AF43" s="3453" t="s">
        <v>3633</v>
      </c>
      <c r="AG43" s="3453" t="s">
        <v>3975</v>
      </c>
      <c r="AH43" s="3453" t="s">
        <v>3976</v>
      </c>
      <c r="AI43" s="3453" t="s">
        <v>3320</v>
      </c>
      <c r="AJ43" s="3453" t="s">
        <v>3977</v>
      </c>
      <c r="AK43" s="3453" t="s">
        <v>3978</v>
      </c>
      <c r="AL43" s="3453" t="s">
        <v>3979</v>
      </c>
      <c r="AM43" s="3453" t="s">
        <v>3980</v>
      </c>
      <c r="AN43" s="3453" t="s">
        <v>3981</v>
      </c>
      <c r="AO43" s="3453" t="s">
        <v>3320</v>
      </c>
      <c r="AP43" s="3453" t="s">
        <v>3320</v>
      </c>
      <c r="AQ43" s="3453" t="s">
        <v>3968</v>
      </c>
      <c r="AR43" s="3453" t="s">
        <v>3333</v>
      </c>
      <c r="AS43" s="3453" t="s">
        <v>3317</v>
      </c>
      <c r="AT43" s="3453" t="s">
        <v>3317</v>
      </c>
      <c r="AU43" s="3453" t="s">
        <v>3320</v>
      </c>
      <c r="AV43" s="3453" t="s">
        <v>3320</v>
      </c>
      <c r="AW43" s="3453" t="s">
        <v>3320</v>
      </c>
    </row>
    <row r="44" spans="1:49">
      <c r="A44" s="3453" t="s">
        <v>3982</v>
      </c>
      <c r="B44" s="3453" t="s">
        <v>3309</v>
      </c>
      <c r="C44" s="3453" t="s">
        <v>3310</v>
      </c>
      <c r="D44" s="3453" t="s">
        <v>3983</v>
      </c>
      <c r="E44" s="3453" t="s">
        <v>3311</v>
      </c>
      <c r="F44" s="3453" t="s">
        <v>3984</v>
      </c>
      <c r="G44" s="3453" t="s">
        <v>3985</v>
      </c>
      <c r="H44" s="3453" t="s">
        <v>3313</v>
      </c>
      <c r="I44" s="3453" t="s">
        <v>3986</v>
      </c>
      <c r="J44" s="3453" t="s">
        <v>3987</v>
      </c>
      <c r="K44" s="3453" t="s">
        <v>3988</v>
      </c>
      <c r="L44" s="3453" t="s">
        <v>3855</v>
      </c>
      <c r="M44" s="3453" t="s">
        <v>3762</v>
      </c>
      <c r="N44" s="3453" t="s">
        <v>3316</v>
      </c>
      <c r="O44" s="3453" t="s">
        <v>3317</v>
      </c>
      <c r="P44" s="3453" t="s">
        <v>3989</v>
      </c>
      <c r="Q44" s="3453" t="s">
        <v>3990</v>
      </c>
      <c r="R44" s="3453" t="s">
        <v>3320</v>
      </c>
      <c r="S44" s="3453" t="s">
        <v>3320</v>
      </c>
      <c r="T44" s="3453" t="s">
        <v>3320</v>
      </c>
      <c r="U44" s="3453" t="s">
        <v>3354</v>
      </c>
      <c r="V44" s="3453" t="s">
        <v>3354</v>
      </c>
      <c r="W44" s="3453">
        <v>0</v>
      </c>
      <c r="X44" s="3453">
        <v>0</v>
      </c>
      <c r="Y44" s="3453" t="s">
        <v>3991</v>
      </c>
      <c r="Z44" s="3453" t="s">
        <v>3992</v>
      </c>
      <c r="AA44" s="3453" t="s">
        <v>3992</v>
      </c>
      <c r="AB44" s="3453" t="s">
        <v>3992</v>
      </c>
      <c r="AC44" s="3453" t="s">
        <v>3993</v>
      </c>
      <c r="AD44" s="3453" t="s">
        <v>3324</v>
      </c>
      <c r="AE44" s="3453" t="s">
        <v>3748</v>
      </c>
      <c r="AF44" s="3453" t="s">
        <v>3320</v>
      </c>
      <c r="AG44" s="3453" t="s">
        <v>3994</v>
      </c>
      <c r="AH44" s="3453" t="s">
        <v>3995</v>
      </c>
      <c r="AI44" s="3453" t="s">
        <v>3320</v>
      </c>
      <c r="AJ44" s="3453" t="s">
        <v>3996</v>
      </c>
      <c r="AK44" s="3453" t="s">
        <v>3997</v>
      </c>
      <c r="AL44" s="3453" t="s">
        <v>3998</v>
      </c>
      <c r="AM44" s="3453" t="s">
        <v>3999</v>
      </c>
      <c r="AN44" s="3453" t="s">
        <v>4000</v>
      </c>
      <c r="AO44" s="3453" t="s">
        <v>3320</v>
      </c>
      <c r="AP44" s="3453" t="s">
        <v>3320</v>
      </c>
      <c r="AQ44" s="3453" t="s">
        <v>4001</v>
      </c>
      <c r="AR44" s="3453" t="s">
        <v>3333</v>
      </c>
      <c r="AS44" s="3453" t="s">
        <v>3317</v>
      </c>
      <c r="AT44" s="3453" t="s">
        <v>3317</v>
      </c>
      <c r="AU44" s="3453" t="s">
        <v>3320</v>
      </c>
      <c r="AV44" s="3453" t="s">
        <v>3320</v>
      </c>
      <c r="AW44" s="3453" t="s">
        <v>3320</v>
      </c>
    </row>
    <row r="45" spans="1:49" s="3456" customFormat="1">
      <c r="A45" s="3455" t="s">
        <v>4002</v>
      </c>
      <c r="B45" s="3455" t="s">
        <v>3309</v>
      </c>
      <c r="C45" s="3455" t="s">
        <v>3310</v>
      </c>
      <c r="D45" s="3455" t="s">
        <v>4003</v>
      </c>
      <c r="E45" s="3455" t="s">
        <v>3311</v>
      </c>
      <c r="F45" s="3455" t="s">
        <v>4004</v>
      </c>
      <c r="G45" s="3455" t="s">
        <v>4005</v>
      </c>
      <c r="H45" s="3455" t="s">
        <v>3370</v>
      </c>
      <c r="I45" s="3455" t="s">
        <v>4006</v>
      </c>
      <c r="J45" s="3455" t="s">
        <v>4007</v>
      </c>
      <c r="K45" s="3455" t="s">
        <v>3915</v>
      </c>
      <c r="L45" s="3455" t="s">
        <v>3855</v>
      </c>
      <c r="M45" s="3455" t="s">
        <v>4008</v>
      </c>
      <c r="N45" s="3455" t="s">
        <v>3316</v>
      </c>
      <c r="O45" s="3455" t="s">
        <v>4009</v>
      </c>
      <c r="P45" s="3455" t="s">
        <v>3916</v>
      </c>
      <c r="Q45" s="3455" t="s">
        <v>4010</v>
      </c>
      <c r="R45" s="3455" t="s">
        <v>3320</v>
      </c>
      <c r="S45" s="3455" t="s">
        <v>3320</v>
      </c>
      <c r="T45" s="3455" t="s">
        <v>3320</v>
      </c>
      <c r="U45" s="3455" t="s">
        <v>3354</v>
      </c>
      <c r="V45" s="3455" t="s">
        <v>3354</v>
      </c>
      <c r="W45" s="3455">
        <v>0</v>
      </c>
      <c r="X45" s="3455">
        <v>0</v>
      </c>
      <c r="Y45" s="3455" t="s">
        <v>4011</v>
      </c>
      <c r="Z45" s="3455" t="s">
        <v>4012</v>
      </c>
      <c r="AA45" s="3455" t="s">
        <v>4012</v>
      </c>
      <c r="AB45" s="3455" t="s">
        <v>4012</v>
      </c>
      <c r="AC45" s="3455" t="s">
        <v>4013</v>
      </c>
      <c r="AD45" s="3455" t="s">
        <v>3324</v>
      </c>
      <c r="AE45" s="3455" t="s">
        <v>4014</v>
      </c>
      <c r="AF45" s="3455" t="s">
        <v>3320</v>
      </c>
      <c r="AG45" s="3455" t="s">
        <v>4015</v>
      </c>
      <c r="AH45" s="3455" t="s">
        <v>4016</v>
      </c>
      <c r="AI45" s="3455" t="s">
        <v>3320</v>
      </c>
      <c r="AJ45" s="3455" t="s">
        <v>4017</v>
      </c>
      <c r="AK45" s="3455" t="s">
        <v>4018</v>
      </c>
      <c r="AL45" s="3455" t="s">
        <v>4019</v>
      </c>
      <c r="AM45" s="3455" t="s">
        <v>4020</v>
      </c>
      <c r="AN45" s="3455" t="s">
        <v>4021</v>
      </c>
      <c r="AO45" s="3455" t="s">
        <v>3320</v>
      </c>
      <c r="AP45" s="3455" t="s">
        <v>3320</v>
      </c>
      <c r="AQ45" s="3455" t="s">
        <v>4022</v>
      </c>
      <c r="AR45" s="3455" t="s">
        <v>3930</v>
      </c>
      <c r="AS45" s="3455" t="s">
        <v>3317</v>
      </c>
      <c r="AT45" s="3455" t="s">
        <v>3317</v>
      </c>
      <c r="AU45" s="3455" t="s">
        <v>3320</v>
      </c>
      <c r="AV45" s="3455" t="s">
        <v>3320</v>
      </c>
      <c r="AW45" s="3455" t="s">
        <v>3320</v>
      </c>
    </row>
    <row r="46" spans="1:49" s="3456" customFormat="1">
      <c r="A46" s="3455" t="s">
        <v>4023</v>
      </c>
      <c r="B46" s="3455" t="s">
        <v>3309</v>
      </c>
      <c r="C46" s="3455" t="s">
        <v>3310</v>
      </c>
      <c r="D46" s="3455" t="s">
        <v>3835</v>
      </c>
      <c r="E46" s="3455" t="s">
        <v>3311</v>
      </c>
      <c r="F46" s="3455" t="s">
        <v>3312</v>
      </c>
      <c r="G46" s="3455" t="s">
        <v>4024</v>
      </c>
      <c r="H46" s="3455" t="s">
        <v>3313</v>
      </c>
      <c r="I46" s="3455" t="s">
        <v>4025</v>
      </c>
      <c r="J46" s="3455" t="s">
        <v>4026</v>
      </c>
      <c r="K46" s="3455" t="s">
        <v>4027</v>
      </c>
      <c r="L46" s="3455" t="s">
        <v>3855</v>
      </c>
      <c r="M46" s="3455" t="s">
        <v>3780</v>
      </c>
      <c r="N46" s="3455" t="s">
        <v>3316</v>
      </c>
      <c r="O46" s="3455" t="s">
        <v>3317</v>
      </c>
      <c r="P46" s="3455" t="s">
        <v>3320</v>
      </c>
      <c r="Q46" s="3455" t="s">
        <v>3320</v>
      </c>
      <c r="R46" s="3455" t="s">
        <v>3320</v>
      </c>
      <c r="S46" s="3455" t="s">
        <v>3320</v>
      </c>
      <c r="T46" s="3455" t="s">
        <v>3320</v>
      </c>
      <c r="U46" s="3455" t="s">
        <v>3354</v>
      </c>
      <c r="V46" s="3455" t="s">
        <v>3354</v>
      </c>
      <c r="W46" s="3455">
        <v>0</v>
      </c>
      <c r="X46" s="3455">
        <v>0</v>
      </c>
      <c r="Y46" s="3455" t="s">
        <v>4028</v>
      </c>
      <c r="Z46" s="3455" t="s">
        <v>4029</v>
      </c>
      <c r="AA46" s="3455" t="s">
        <v>4029</v>
      </c>
      <c r="AB46" s="3455" t="s">
        <v>4029</v>
      </c>
      <c r="AC46" s="3455" t="s">
        <v>4030</v>
      </c>
      <c r="AD46" s="3455" t="s">
        <v>3324</v>
      </c>
      <c r="AE46" s="3455" t="s">
        <v>4031</v>
      </c>
      <c r="AF46" s="3455" t="s">
        <v>3320</v>
      </c>
      <c r="AG46" s="3455" t="s">
        <v>4032</v>
      </c>
      <c r="AH46" s="3455" t="s">
        <v>4033</v>
      </c>
      <c r="AI46" s="3455" t="s">
        <v>3320</v>
      </c>
      <c r="AJ46" s="3455" t="s">
        <v>4034</v>
      </c>
      <c r="AK46" s="3455" t="s">
        <v>4035</v>
      </c>
      <c r="AL46" s="3455" t="s">
        <v>4036</v>
      </c>
      <c r="AM46" s="3455" t="s">
        <v>4037</v>
      </c>
      <c r="AN46" s="3455" t="s">
        <v>4037</v>
      </c>
      <c r="AO46" s="3455" t="s">
        <v>3320</v>
      </c>
      <c r="AP46" s="3455" t="s">
        <v>3320</v>
      </c>
      <c r="AQ46" s="3455" t="s">
        <v>4038</v>
      </c>
      <c r="AR46" s="3455" t="s">
        <v>3333</v>
      </c>
      <c r="AS46" s="3455" t="s">
        <v>3317</v>
      </c>
      <c r="AT46" s="3455" t="s">
        <v>3317</v>
      </c>
      <c r="AU46" s="3455" t="s">
        <v>3320</v>
      </c>
      <c r="AV46" s="3455" t="s">
        <v>3320</v>
      </c>
      <c r="AW46" s="3455" t="s">
        <v>3320</v>
      </c>
    </row>
    <row r="47" spans="1:49">
      <c r="A47" s="3453" t="s">
        <v>4039</v>
      </c>
      <c r="B47" s="3453" t="s">
        <v>3309</v>
      </c>
      <c r="C47" s="3453" t="s">
        <v>3310</v>
      </c>
      <c r="D47" s="3453" t="s">
        <v>3882</v>
      </c>
      <c r="E47" s="3453" t="s">
        <v>3311</v>
      </c>
      <c r="F47" s="3453" t="s">
        <v>3757</v>
      </c>
      <c r="G47" s="3453" t="s">
        <v>4040</v>
      </c>
      <c r="H47" s="3453" t="s">
        <v>3370</v>
      </c>
      <c r="I47" s="3453" t="s">
        <v>4041</v>
      </c>
      <c r="J47" s="3453" t="s">
        <v>4042</v>
      </c>
      <c r="K47" s="3453" t="s">
        <v>4043</v>
      </c>
      <c r="L47" s="3453" t="s">
        <v>3855</v>
      </c>
      <c r="M47" s="3453" t="s">
        <v>4044</v>
      </c>
      <c r="N47" s="3453" t="s">
        <v>3316</v>
      </c>
      <c r="O47" s="3453" t="s">
        <v>3317</v>
      </c>
      <c r="P47" s="3453" t="s">
        <v>4045</v>
      </c>
      <c r="Q47" s="3453" t="s">
        <v>3990</v>
      </c>
      <c r="R47" s="3453" t="s">
        <v>3320</v>
      </c>
      <c r="S47" s="3453" t="s">
        <v>3320</v>
      </c>
      <c r="T47" s="3453" t="s">
        <v>3320</v>
      </c>
      <c r="U47" s="3453" t="s">
        <v>3354</v>
      </c>
      <c r="V47" s="3453" t="s">
        <v>3354</v>
      </c>
      <c r="W47" s="3453">
        <v>0</v>
      </c>
      <c r="X47" s="3453">
        <v>0</v>
      </c>
      <c r="Y47" s="3453" t="s">
        <v>4046</v>
      </c>
      <c r="Z47" s="3453" t="s">
        <v>4047</v>
      </c>
      <c r="AA47" s="3453" t="s">
        <v>4047</v>
      </c>
      <c r="AB47" s="3453" t="s">
        <v>4047</v>
      </c>
      <c r="AC47" s="3453" t="s">
        <v>4048</v>
      </c>
      <c r="AD47" s="3453" t="s">
        <v>3324</v>
      </c>
      <c r="AE47" s="3453" t="s">
        <v>4049</v>
      </c>
      <c r="AF47" s="3453" t="s">
        <v>3320</v>
      </c>
      <c r="AG47" s="3453" t="s">
        <v>4050</v>
      </c>
      <c r="AH47" s="3453" t="s">
        <v>4051</v>
      </c>
      <c r="AI47" s="3453" t="s">
        <v>3320</v>
      </c>
      <c r="AJ47" s="3453" t="s">
        <v>4052</v>
      </c>
      <c r="AK47" s="3453" t="s">
        <v>4053</v>
      </c>
      <c r="AL47" s="3453" t="s">
        <v>4054</v>
      </c>
      <c r="AM47" s="3453" t="s">
        <v>4055</v>
      </c>
      <c r="AN47" s="3453" t="s">
        <v>4056</v>
      </c>
      <c r="AO47" s="3453" t="s">
        <v>3320</v>
      </c>
      <c r="AP47" s="3453" t="s">
        <v>3320</v>
      </c>
      <c r="AQ47" s="3453" t="s">
        <v>4057</v>
      </c>
      <c r="AR47" s="3453" t="s">
        <v>3930</v>
      </c>
      <c r="AS47" s="3453" t="s">
        <v>3317</v>
      </c>
      <c r="AT47" s="3453" t="s">
        <v>3317</v>
      </c>
      <c r="AU47" s="3453" t="s">
        <v>3320</v>
      </c>
      <c r="AV47" s="3453" t="s">
        <v>3320</v>
      </c>
      <c r="AW47" s="3453" t="s">
        <v>3320</v>
      </c>
    </row>
    <row r="48" spans="1:49">
      <c r="A48" s="3453" t="s">
        <v>3891</v>
      </c>
      <c r="B48" s="3453" t="s">
        <v>3309</v>
      </c>
      <c r="C48" s="3453" t="s">
        <v>3310</v>
      </c>
      <c r="D48" s="3453" t="s">
        <v>3703</v>
      </c>
      <c r="E48" s="3453" t="s">
        <v>3311</v>
      </c>
      <c r="F48" s="3453" t="s">
        <v>3336</v>
      </c>
      <c r="G48" s="3453" t="s">
        <v>3893</v>
      </c>
      <c r="H48" s="3453" t="s">
        <v>3313</v>
      </c>
      <c r="I48" s="3453" t="s">
        <v>4058</v>
      </c>
      <c r="J48" s="3453" t="s">
        <v>4059</v>
      </c>
      <c r="K48" s="3453" t="s">
        <v>4060</v>
      </c>
      <c r="L48" s="3453" t="s">
        <v>3855</v>
      </c>
      <c r="M48" s="3453" t="s">
        <v>4061</v>
      </c>
      <c r="N48" s="3453" t="s">
        <v>3316</v>
      </c>
      <c r="O48" s="3453" t="s">
        <v>3317</v>
      </c>
      <c r="P48" s="3453" t="s">
        <v>4062</v>
      </c>
      <c r="Q48" s="3453" t="s">
        <v>4063</v>
      </c>
      <c r="R48" s="3453" t="s">
        <v>3320</v>
      </c>
      <c r="S48" s="3453" t="s">
        <v>3320</v>
      </c>
      <c r="T48" s="3453" t="s">
        <v>3320</v>
      </c>
      <c r="U48" s="3453" t="s">
        <v>3354</v>
      </c>
      <c r="V48" s="3453" t="s">
        <v>3354</v>
      </c>
      <c r="W48" s="3453">
        <v>0</v>
      </c>
      <c r="X48" s="3453">
        <v>0</v>
      </c>
      <c r="Y48" s="3453" t="s">
        <v>4064</v>
      </c>
      <c r="Z48" s="3453" t="s">
        <v>4065</v>
      </c>
      <c r="AA48" s="3453" t="s">
        <v>4065</v>
      </c>
      <c r="AB48" s="3453" t="s">
        <v>4065</v>
      </c>
      <c r="AC48" s="3453" t="s">
        <v>4066</v>
      </c>
      <c r="AD48" s="3453" t="s">
        <v>3324</v>
      </c>
      <c r="AE48" s="3453" t="s">
        <v>3769</v>
      </c>
      <c r="AF48" s="3453" t="s">
        <v>3320</v>
      </c>
      <c r="AG48" s="3453" t="s">
        <v>4067</v>
      </c>
      <c r="AH48" s="3453" t="s">
        <v>4068</v>
      </c>
      <c r="AI48" s="3453" t="s">
        <v>3320</v>
      </c>
      <c r="AJ48" s="3453" t="s">
        <v>4069</v>
      </c>
      <c r="AK48" s="3453" t="s">
        <v>4070</v>
      </c>
      <c r="AL48" s="3453" t="s">
        <v>4071</v>
      </c>
      <c r="AM48" s="3453" t="s">
        <v>4072</v>
      </c>
      <c r="AN48" s="3453" t="s">
        <v>4073</v>
      </c>
      <c r="AO48" s="3453" t="s">
        <v>3320</v>
      </c>
      <c r="AP48" s="3453" t="s">
        <v>3320</v>
      </c>
      <c r="AQ48" s="3453" t="s">
        <v>4074</v>
      </c>
      <c r="AR48" s="3453" t="s">
        <v>3333</v>
      </c>
      <c r="AS48" s="3453" t="s">
        <v>3317</v>
      </c>
      <c r="AT48" s="3453" t="s">
        <v>3317</v>
      </c>
      <c r="AU48" s="3453" t="s">
        <v>3320</v>
      </c>
      <c r="AV48" s="3453" t="s">
        <v>3320</v>
      </c>
      <c r="AW48" s="3453" t="s">
        <v>3320</v>
      </c>
    </row>
    <row r="49" spans="1:49">
      <c r="A49" s="3453" t="s">
        <v>3891</v>
      </c>
      <c r="B49" s="3453" t="s">
        <v>3309</v>
      </c>
      <c r="C49" s="3453" t="s">
        <v>3310</v>
      </c>
      <c r="D49" s="3453" t="s">
        <v>3669</v>
      </c>
      <c r="E49" s="3453" t="s">
        <v>3311</v>
      </c>
      <c r="F49" s="3453" t="s">
        <v>3757</v>
      </c>
      <c r="G49" s="3453" t="s">
        <v>3893</v>
      </c>
      <c r="H49" s="3453" t="s">
        <v>3370</v>
      </c>
      <c r="I49" s="3453" t="s">
        <v>4075</v>
      </c>
      <c r="J49" s="3453" t="s">
        <v>4076</v>
      </c>
      <c r="K49" s="3453" t="s">
        <v>4077</v>
      </c>
      <c r="L49" s="3453" t="s">
        <v>3855</v>
      </c>
      <c r="M49" s="3453" t="s">
        <v>4078</v>
      </c>
      <c r="N49" s="3453" t="s">
        <v>3316</v>
      </c>
      <c r="O49" s="3453" t="s">
        <v>3540</v>
      </c>
      <c r="P49" s="3453" t="s">
        <v>3973</v>
      </c>
      <c r="Q49" s="3453" t="s">
        <v>4063</v>
      </c>
      <c r="R49" s="3453" t="s">
        <v>3320</v>
      </c>
      <c r="S49" s="3453" t="s">
        <v>3320</v>
      </c>
      <c r="T49" s="3453" t="s">
        <v>3320</v>
      </c>
      <c r="U49" s="3453" t="s">
        <v>3354</v>
      </c>
      <c r="V49" s="3453" t="s">
        <v>3354</v>
      </c>
      <c r="W49" s="3453">
        <v>0</v>
      </c>
      <c r="X49" s="3453">
        <v>0</v>
      </c>
      <c r="Y49" s="3453" t="s">
        <v>4064</v>
      </c>
      <c r="Z49" s="3453" t="s">
        <v>4065</v>
      </c>
      <c r="AA49" s="3453" t="s">
        <v>4065</v>
      </c>
      <c r="AB49" s="3453" t="s">
        <v>4065</v>
      </c>
      <c r="AC49" s="3453" t="s">
        <v>4079</v>
      </c>
      <c r="AD49" s="3453" t="s">
        <v>3324</v>
      </c>
      <c r="AE49" s="3453" t="s">
        <v>3769</v>
      </c>
      <c r="AF49" s="3453" t="s">
        <v>3320</v>
      </c>
      <c r="AG49" s="3453" t="s">
        <v>4080</v>
      </c>
      <c r="AH49" s="3453" t="s">
        <v>4081</v>
      </c>
      <c r="AI49" s="3453" t="s">
        <v>3320</v>
      </c>
      <c r="AJ49" s="3453" t="s">
        <v>4082</v>
      </c>
      <c r="AK49" s="3453" t="s">
        <v>4083</v>
      </c>
      <c r="AL49" s="3453" t="s">
        <v>4084</v>
      </c>
      <c r="AM49" s="3453" t="s">
        <v>4085</v>
      </c>
      <c r="AN49" s="3453" t="s">
        <v>4085</v>
      </c>
      <c r="AO49" s="3453" t="s">
        <v>3320</v>
      </c>
      <c r="AP49" s="3453" t="s">
        <v>3320</v>
      </c>
      <c r="AQ49" s="3453" t="s">
        <v>4086</v>
      </c>
      <c r="AR49" s="3453" t="s">
        <v>3930</v>
      </c>
      <c r="AS49" s="3453" t="s">
        <v>3317</v>
      </c>
      <c r="AT49" s="3453" t="s">
        <v>3317</v>
      </c>
      <c r="AU49" s="3453" t="s">
        <v>3320</v>
      </c>
      <c r="AV49" s="3453" t="s">
        <v>3320</v>
      </c>
      <c r="AW49" s="3453" t="s">
        <v>3320</v>
      </c>
    </row>
    <row r="50" spans="1:49">
      <c r="A50" s="3453" t="s">
        <v>4087</v>
      </c>
      <c r="B50" s="3453" t="s">
        <v>3309</v>
      </c>
      <c r="C50" s="3453" t="s">
        <v>3310</v>
      </c>
      <c r="D50" s="3453" t="s">
        <v>4088</v>
      </c>
      <c r="E50" s="3453" t="s">
        <v>3311</v>
      </c>
      <c r="F50" s="3453" t="s">
        <v>3623</v>
      </c>
      <c r="G50" s="3453" t="s">
        <v>4089</v>
      </c>
      <c r="H50" s="3453" t="s">
        <v>3370</v>
      </c>
      <c r="I50" s="3453" t="s">
        <v>4090</v>
      </c>
      <c r="J50" s="3453" t="s">
        <v>4091</v>
      </c>
      <c r="K50" s="3453" t="s">
        <v>4092</v>
      </c>
      <c r="L50" s="3453" t="s">
        <v>3855</v>
      </c>
      <c r="M50" s="3453" t="s">
        <v>4093</v>
      </c>
      <c r="N50" s="3453" t="s">
        <v>3316</v>
      </c>
      <c r="O50" s="3453" t="s">
        <v>4094</v>
      </c>
      <c r="P50" s="3453" t="s">
        <v>4095</v>
      </c>
      <c r="Q50" s="3453" t="s">
        <v>4096</v>
      </c>
      <c r="R50" s="3453" t="s">
        <v>3320</v>
      </c>
      <c r="S50" s="3453" t="s">
        <v>3320</v>
      </c>
      <c r="T50" s="3453" t="s">
        <v>3320</v>
      </c>
      <c r="U50" s="3453" t="s">
        <v>3354</v>
      </c>
      <c r="V50" s="3453" t="s">
        <v>3354</v>
      </c>
      <c r="W50" s="3453">
        <v>0</v>
      </c>
      <c r="X50" s="3453">
        <v>0</v>
      </c>
      <c r="Y50" s="3453" t="s">
        <v>4097</v>
      </c>
      <c r="Z50" s="3453" t="s">
        <v>4098</v>
      </c>
      <c r="AA50" s="3453" t="s">
        <v>4098</v>
      </c>
      <c r="AB50" s="3453" t="s">
        <v>4098</v>
      </c>
      <c r="AC50" s="3453" t="s">
        <v>4099</v>
      </c>
      <c r="AD50" s="3453" t="s">
        <v>3324</v>
      </c>
      <c r="AE50" s="3453" t="s">
        <v>3921</v>
      </c>
      <c r="AF50" s="3453" t="s">
        <v>3633</v>
      </c>
      <c r="AG50" s="3453" t="s">
        <v>4100</v>
      </c>
      <c r="AH50" s="3453" t="s">
        <v>4101</v>
      </c>
      <c r="AI50" s="3453" t="s">
        <v>3320</v>
      </c>
      <c r="AJ50" s="3453" t="s">
        <v>4102</v>
      </c>
      <c r="AK50" s="3453" t="s">
        <v>4103</v>
      </c>
      <c r="AL50" s="3453" t="s">
        <v>4104</v>
      </c>
      <c r="AM50" s="3453" t="s">
        <v>4105</v>
      </c>
      <c r="AN50" s="3453" t="s">
        <v>4106</v>
      </c>
      <c r="AO50" s="3453" t="s">
        <v>3320</v>
      </c>
      <c r="AP50" s="3453" t="s">
        <v>3320</v>
      </c>
      <c r="AQ50" s="3453" t="s">
        <v>4107</v>
      </c>
      <c r="AR50" s="3453" t="s">
        <v>3930</v>
      </c>
      <c r="AS50" s="3453" t="s">
        <v>3317</v>
      </c>
      <c r="AT50" s="3453" t="s">
        <v>3317</v>
      </c>
      <c r="AU50" s="3453" t="s">
        <v>3320</v>
      </c>
      <c r="AV50" s="3453" t="s">
        <v>3320</v>
      </c>
      <c r="AW50" s="3453" t="s">
        <v>3320</v>
      </c>
    </row>
    <row r="51" spans="1:49">
      <c r="A51" s="3453" t="s">
        <v>4087</v>
      </c>
      <c r="B51" s="3453" t="s">
        <v>3309</v>
      </c>
      <c r="C51" s="3453" t="s">
        <v>3310</v>
      </c>
      <c r="D51" s="3453" t="s">
        <v>4108</v>
      </c>
      <c r="E51" s="3453" t="s">
        <v>3311</v>
      </c>
      <c r="F51" s="3453" t="s">
        <v>3623</v>
      </c>
      <c r="G51" s="3453" t="s">
        <v>4089</v>
      </c>
      <c r="H51" s="3453" t="s">
        <v>3313</v>
      </c>
      <c r="I51" s="3453" t="s">
        <v>4109</v>
      </c>
      <c r="J51" s="3453" t="s">
        <v>4110</v>
      </c>
      <c r="K51" s="3453" t="s">
        <v>4111</v>
      </c>
      <c r="L51" s="3453" t="s">
        <v>3855</v>
      </c>
      <c r="M51" s="3453" t="s">
        <v>4112</v>
      </c>
      <c r="N51" s="3453" t="s">
        <v>3316</v>
      </c>
      <c r="O51" s="3453" t="s">
        <v>3540</v>
      </c>
      <c r="P51" s="3453" t="s">
        <v>3916</v>
      </c>
      <c r="Q51" s="3453" t="s">
        <v>3917</v>
      </c>
      <c r="R51" s="3453" t="s">
        <v>3320</v>
      </c>
      <c r="S51" s="3453" t="s">
        <v>3320</v>
      </c>
      <c r="T51" s="3453" t="s">
        <v>3320</v>
      </c>
      <c r="U51" s="3453" t="s">
        <v>3354</v>
      </c>
      <c r="V51" s="3453" t="s">
        <v>3354</v>
      </c>
      <c r="W51" s="3453">
        <v>0</v>
      </c>
      <c r="X51" s="3453">
        <v>0</v>
      </c>
      <c r="Y51" s="3453" t="s">
        <v>4097</v>
      </c>
      <c r="Z51" s="3453" t="s">
        <v>4113</v>
      </c>
      <c r="AA51" s="3453" t="s">
        <v>4113</v>
      </c>
      <c r="AB51" s="3453" t="s">
        <v>4113</v>
      </c>
      <c r="AC51" s="3453" t="s">
        <v>4114</v>
      </c>
      <c r="AD51" s="3453" t="s">
        <v>3324</v>
      </c>
      <c r="AE51" s="3453" t="s">
        <v>3921</v>
      </c>
      <c r="AF51" s="3453" t="s">
        <v>3633</v>
      </c>
      <c r="AG51" s="3453" t="s">
        <v>4115</v>
      </c>
      <c r="AH51" s="3453" t="s">
        <v>4116</v>
      </c>
      <c r="AI51" s="3453" t="s">
        <v>3320</v>
      </c>
      <c r="AJ51" s="3453" t="s">
        <v>4115</v>
      </c>
      <c r="AK51" s="3453" t="s">
        <v>4117</v>
      </c>
      <c r="AL51" s="3453" t="s">
        <v>4117</v>
      </c>
      <c r="AM51" s="3453" t="s">
        <v>4118</v>
      </c>
      <c r="AN51" s="3453" t="s">
        <v>4118</v>
      </c>
      <c r="AO51" s="3453" t="s">
        <v>3320</v>
      </c>
      <c r="AP51" s="3453" t="s">
        <v>3320</v>
      </c>
      <c r="AQ51" s="3453" t="s">
        <v>3354</v>
      </c>
      <c r="AR51" s="3453" t="s">
        <v>3333</v>
      </c>
      <c r="AS51" s="3453" t="s">
        <v>3317</v>
      </c>
      <c r="AT51" s="3453" t="s">
        <v>3317</v>
      </c>
      <c r="AU51" s="3453" t="s">
        <v>3320</v>
      </c>
      <c r="AV51" s="3453" t="s">
        <v>3320</v>
      </c>
      <c r="AW51" s="3453" t="s">
        <v>3320</v>
      </c>
    </row>
    <row r="52" spans="1:49">
      <c r="A52" s="3453" t="s">
        <v>4119</v>
      </c>
      <c r="B52" s="3453" t="s">
        <v>3309</v>
      </c>
      <c r="C52" s="3453" t="s">
        <v>3310</v>
      </c>
      <c r="D52" s="3453" t="s">
        <v>4120</v>
      </c>
      <c r="E52" s="3453" t="s">
        <v>3311</v>
      </c>
      <c r="F52" s="3453" t="s">
        <v>3623</v>
      </c>
      <c r="G52" s="3453" t="s">
        <v>4121</v>
      </c>
      <c r="H52" s="3453" t="s">
        <v>3313</v>
      </c>
      <c r="I52" s="3453" t="s">
        <v>4122</v>
      </c>
      <c r="J52" s="3453" t="s">
        <v>4123</v>
      </c>
      <c r="K52" s="3453" t="s">
        <v>4124</v>
      </c>
      <c r="L52" s="3453" t="s">
        <v>3314</v>
      </c>
      <c r="M52" s="3453" t="s">
        <v>3762</v>
      </c>
      <c r="N52" s="3453" t="s">
        <v>3316</v>
      </c>
      <c r="O52" s="3453" t="s">
        <v>3317</v>
      </c>
      <c r="P52" s="3453" t="s">
        <v>4062</v>
      </c>
      <c r="Q52" s="3453" t="s">
        <v>4125</v>
      </c>
      <c r="R52" s="3453" t="s">
        <v>3320</v>
      </c>
      <c r="S52" s="3453" t="s">
        <v>3320</v>
      </c>
      <c r="T52" s="3453" t="s">
        <v>3320</v>
      </c>
      <c r="U52" s="3453" t="s">
        <v>3354</v>
      </c>
      <c r="V52" s="3453" t="s">
        <v>3354</v>
      </c>
      <c r="W52" s="3453">
        <v>0</v>
      </c>
      <c r="X52" s="3453">
        <v>0</v>
      </c>
      <c r="Y52" s="3453" t="s">
        <v>4126</v>
      </c>
      <c r="Z52" s="3453" t="s">
        <v>4127</v>
      </c>
      <c r="AA52" s="3453" t="s">
        <v>4128</v>
      </c>
      <c r="AB52" s="3453" t="s">
        <v>4128</v>
      </c>
      <c r="AC52" s="3453" t="s">
        <v>4129</v>
      </c>
      <c r="AD52" s="3453" t="s">
        <v>3324</v>
      </c>
      <c r="AE52" s="3453" t="s">
        <v>4130</v>
      </c>
      <c r="AF52" s="3453" t="s">
        <v>3320</v>
      </c>
      <c r="AG52" s="3453" t="s">
        <v>4131</v>
      </c>
      <c r="AH52" s="3453" t="s">
        <v>4132</v>
      </c>
      <c r="AI52" s="3453" t="s">
        <v>3320</v>
      </c>
      <c r="AJ52" s="3453" t="s">
        <v>4133</v>
      </c>
      <c r="AK52" s="3453" t="s">
        <v>4134</v>
      </c>
      <c r="AL52" s="3453" t="s">
        <v>4135</v>
      </c>
      <c r="AM52" s="3453" t="s">
        <v>4136</v>
      </c>
      <c r="AN52" s="3453" t="s">
        <v>4136</v>
      </c>
      <c r="AO52" s="3453" t="s">
        <v>3320</v>
      </c>
      <c r="AP52" s="3453" t="s">
        <v>3320</v>
      </c>
      <c r="AQ52" s="3453" t="s">
        <v>4074</v>
      </c>
      <c r="AR52" s="3453" t="s">
        <v>3333</v>
      </c>
      <c r="AS52" s="3453" t="s">
        <v>3317</v>
      </c>
      <c r="AT52" s="3453" t="s">
        <v>3317</v>
      </c>
      <c r="AU52" s="3453" t="s">
        <v>3320</v>
      </c>
      <c r="AV52" s="3453" t="s">
        <v>3320</v>
      </c>
      <c r="AW52" s="3453" t="s">
        <v>3320</v>
      </c>
    </row>
    <row r="53" spans="1:49">
      <c r="A53" s="3453" t="s">
        <v>4137</v>
      </c>
      <c r="B53" s="3453" t="s">
        <v>3309</v>
      </c>
      <c r="C53" s="3453" t="s">
        <v>3310</v>
      </c>
      <c r="D53" s="3453" t="s">
        <v>4138</v>
      </c>
      <c r="E53" s="3453" t="s">
        <v>3311</v>
      </c>
      <c r="F53" s="3453" t="s">
        <v>4139</v>
      </c>
      <c r="G53" s="3453" t="s">
        <v>4140</v>
      </c>
      <c r="H53" s="3453" t="s">
        <v>3313</v>
      </c>
      <c r="I53" s="3453" t="s">
        <v>4141</v>
      </c>
      <c r="J53" s="3453" t="s">
        <v>4142</v>
      </c>
      <c r="K53" s="3453" t="s">
        <v>4111</v>
      </c>
      <c r="L53" s="3453" t="s">
        <v>3855</v>
      </c>
      <c r="M53" s="3453" t="s">
        <v>3780</v>
      </c>
      <c r="N53" s="3453" t="s">
        <v>3316</v>
      </c>
      <c r="O53" s="3453" t="s">
        <v>3317</v>
      </c>
      <c r="P53" s="3453" t="s">
        <v>4143</v>
      </c>
      <c r="Q53" s="3453" t="s">
        <v>4125</v>
      </c>
      <c r="R53" s="3453" t="s">
        <v>3320</v>
      </c>
      <c r="S53" s="3453" t="s">
        <v>3320</v>
      </c>
      <c r="T53" s="3453" t="s">
        <v>3320</v>
      </c>
      <c r="U53" s="3453" t="s">
        <v>3354</v>
      </c>
      <c r="V53" s="3453" t="s">
        <v>3354</v>
      </c>
      <c r="W53" s="3453">
        <v>0</v>
      </c>
      <c r="X53" s="3453">
        <v>0</v>
      </c>
      <c r="Y53" s="3453" t="s">
        <v>4144</v>
      </c>
      <c r="Z53" s="3453" t="s">
        <v>4145</v>
      </c>
      <c r="AA53" s="3453" t="s">
        <v>4145</v>
      </c>
      <c r="AB53" s="3453" t="s">
        <v>4145</v>
      </c>
      <c r="AC53" s="3453" t="s">
        <v>4146</v>
      </c>
      <c r="AD53" s="3453" t="s">
        <v>3324</v>
      </c>
      <c r="AE53" s="3453" t="s">
        <v>4147</v>
      </c>
      <c r="AF53" s="3453" t="s">
        <v>3320</v>
      </c>
      <c r="AG53" s="3453" t="s">
        <v>4148</v>
      </c>
      <c r="AH53" s="3453" t="s">
        <v>4149</v>
      </c>
      <c r="AI53" s="3453" t="s">
        <v>3320</v>
      </c>
      <c r="AJ53" s="3453" t="s">
        <v>4150</v>
      </c>
      <c r="AK53" s="3453" t="s">
        <v>4151</v>
      </c>
      <c r="AL53" s="3453" t="s">
        <v>4152</v>
      </c>
      <c r="AM53" s="3453" t="s">
        <v>4153</v>
      </c>
      <c r="AN53" s="3453" t="s">
        <v>4153</v>
      </c>
      <c r="AO53" s="3453" t="s">
        <v>3320</v>
      </c>
      <c r="AP53" s="3453" t="s">
        <v>3320</v>
      </c>
      <c r="AQ53" s="3453" t="s">
        <v>4074</v>
      </c>
      <c r="AR53" s="3453" t="s">
        <v>3333</v>
      </c>
      <c r="AS53" s="3453" t="s">
        <v>3317</v>
      </c>
      <c r="AT53" s="3453" t="s">
        <v>3317</v>
      </c>
      <c r="AU53" s="3453" t="s">
        <v>3320</v>
      </c>
      <c r="AV53" s="3453" t="s">
        <v>3320</v>
      </c>
      <c r="AW53" s="3453" t="s">
        <v>3320</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9" t="s">
        <v>1830</v>
      </c>
      <c r="B1" s="3469"/>
      <c r="C1" s="3469"/>
      <c r="D1" s="3469"/>
      <c r="E1" s="3469"/>
      <c r="F1" s="3469"/>
      <c r="G1" s="3469"/>
      <c r="H1" s="3469"/>
      <c r="I1" s="3469"/>
      <c r="J1" s="3469"/>
      <c r="K1" s="3469"/>
      <c r="L1" s="3469"/>
      <c r="M1" s="3469"/>
      <c r="N1" s="3469"/>
      <c r="O1" s="3469"/>
      <c r="P1" s="3469"/>
      <c r="Q1" s="3469"/>
      <c r="R1" s="3469"/>
    </row>
    <row r="2" spans="1:18">
      <c r="A2" s="1676" t="s">
        <v>1832</v>
      </c>
      <c r="B2" s="1676"/>
      <c r="C2" s="1676"/>
      <c r="D2" s="1676"/>
      <c r="E2" s="1676"/>
      <c r="F2" s="1676"/>
      <c r="G2" s="1676"/>
      <c r="H2" s="1676"/>
      <c r="I2" s="1677"/>
      <c r="J2" s="1677"/>
      <c r="K2" s="1678" t="str">
        <f>"估价期日："&amp;TEXT(项目基本情况!D3,"yyyy年m月d日;;")</f>
        <v>估价期日：2022年6月23日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70" t="s">
        <v>1821</v>
      </c>
      <c r="B3" s="3470" t="s">
        <v>2448</v>
      </c>
      <c r="C3" s="3471" t="s">
        <v>1822</v>
      </c>
      <c r="D3" s="3470" t="s">
        <v>2452</v>
      </c>
      <c r="E3" s="3473" t="s">
        <v>1823</v>
      </c>
      <c r="F3" s="3473"/>
      <c r="G3" s="3473"/>
      <c r="H3" s="3473" t="s">
        <v>1824</v>
      </c>
      <c r="I3" s="3473"/>
      <c r="J3" s="3473"/>
      <c r="K3" s="3471" t="s">
        <v>1825</v>
      </c>
      <c r="L3" s="3471" t="s">
        <v>1826</v>
      </c>
      <c r="M3" s="3470" t="s">
        <v>2449</v>
      </c>
      <c r="N3" s="3472" t="str">
        <f>"（分摊）"&amp;项目基本情况!B16&amp;"国有建设用地使用权面积/㎡"</f>
        <v>（分摊）出让国有建设用地使用权面积/㎡</v>
      </c>
      <c r="O3" s="3470" t="s">
        <v>1855</v>
      </c>
      <c r="P3" s="3471" t="s">
        <v>1835</v>
      </c>
      <c r="Q3" s="3471" t="s">
        <v>1856</v>
      </c>
      <c r="R3" s="3471" t="s">
        <v>1827</v>
      </c>
    </row>
    <row r="4" spans="1:18" ht="36.75" customHeight="1">
      <c r="A4" s="3470"/>
      <c r="B4" s="3470"/>
      <c r="C4" s="3471"/>
      <c r="D4" s="3470"/>
      <c r="E4" s="2412" t="s">
        <v>1834</v>
      </c>
      <c r="F4" s="2412" t="s">
        <v>2461</v>
      </c>
      <c r="G4" s="2412" t="s">
        <v>1828</v>
      </c>
      <c r="H4" s="2412" t="s">
        <v>1829</v>
      </c>
      <c r="I4" s="2412" t="s">
        <v>2462</v>
      </c>
      <c r="J4" s="2412" t="s">
        <v>1828</v>
      </c>
      <c r="K4" s="3471"/>
      <c r="L4" s="3471"/>
      <c r="M4" s="3470"/>
      <c r="N4" s="3472"/>
      <c r="O4" s="3470"/>
      <c r="P4" s="3471"/>
      <c r="Q4" s="3471"/>
      <c r="R4" s="3471"/>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红线外七通、宗地红线内场地平整</v>
      </c>
      <c r="L5" s="1679" t="str">
        <f>"红线外"&amp;项目基本情况!T40&amp;"、宗地红线内场地"&amp;项目基本情况!D36</f>
        <v>红线外七通、宗地红线内场地平整</v>
      </c>
      <c r="M5" s="1679">
        <f>IF(项目基本情况!B16="出让",项目基本情况!D20,"——")</f>
        <v>0</v>
      </c>
      <c r="N5" s="1679">
        <f>项目基本情况!C22</f>
        <v>97473.98</v>
      </c>
      <c r="O5" s="1679">
        <f>项目基本情况!C21</f>
        <v>51575.14</v>
      </c>
      <c r="P5" s="1679">
        <f ca="1">结果表!E42</f>
        <v>4671</v>
      </c>
      <c r="Q5" s="1679">
        <f ca="1">结果表!D42</f>
        <v>8827</v>
      </c>
      <c r="R5" s="1680">
        <f ca="1">结果表!C42</f>
        <v>45527</v>
      </c>
    </row>
    <row r="6" spans="1:18">
      <c r="A6" s="3474" t="str">
        <f>IF(项目基本情况!B9="市场价格","——","抵押价格")</f>
        <v>抵押价格</v>
      </c>
      <c r="B6" s="3475"/>
      <c r="C6" s="3475"/>
      <c r="D6" s="3475"/>
      <c r="E6" s="3475"/>
      <c r="F6" s="3475"/>
      <c r="G6" s="3475"/>
      <c r="H6" s="3475"/>
      <c r="I6" s="3475"/>
      <c r="J6" s="3475"/>
      <c r="K6" s="3475"/>
      <c r="L6" s="3475"/>
      <c r="M6" s="3475"/>
      <c r="N6" s="3475"/>
      <c r="O6" s="3475"/>
      <c r="P6" s="3475"/>
      <c r="Q6" s="3476"/>
      <c r="R6" s="1681">
        <f ca="1">结果表!O39</f>
        <v>45527</v>
      </c>
    </row>
    <row r="7" spans="1:18">
      <c r="A7" s="3474" t="str">
        <f>IF(项目基本情况!B9="市场价格","——",IF(项目基本情况!E8="已注销及未注销","抵押担保权已注销时的抵押价格","——"))</f>
        <v>——</v>
      </c>
      <c r="B7" s="3475"/>
      <c r="C7" s="3475"/>
      <c r="D7" s="3475"/>
      <c r="E7" s="3475"/>
      <c r="F7" s="3475"/>
      <c r="G7" s="3475"/>
      <c r="H7" s="3475"/>
      <c r="I7" s="3475"/>
      <c r="J7" s="3475"/>
      <c r="K7" s="3475"/>
      <c r="L7" s="3475"/>
      <c r="M7" s="3475"/>
      <c r="N7" s="3475"/>
      <c r="O7" s="3475"/>
      <c r="P7" s="3475"/>
      <c r="Q7" s="3476"/>
      <c r="R7" s="1681" t="str">
        <f>结果表!O40</f>
        <v>——</v>
      </c>
    </row>
    <row r="8" spans="1:18">
      <c r="A8" s="3474" t="str">
        <f>IF(项目基本情况!B9="市场价格","——",项目基本情况!E9)</f>
        <v>抵押净值</v>
      </c>
      <c r="B8" s="3475"/>
      <c r="C8" s="3475"/>
      <c r="D8" s="3475"/>
      <c r="E8" s="3475"/>
      <c r="F8" s="3475"/>
      <c r="G8" s="3475"/>
      <c r="H8" s="3475"/>
      <c r="I8" s="3475"/>
      <c r="J8" s="3475"/>
      <c r="K8" s="3475"/>
      <c r="L8" s="3475"/>
      <c r="M8" s="3475"/>
      <c r="N8" s="3475"/>
      <c r="O8" s="3475"/>
      <c r="P8" s="3475"/>
      <c r="Q8" s="3476"/>
      <c r="R8" s="1681">
        <f ca="1">结果表!O41</f>
        <v>41676</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7" t="s">
        <v>1857</v>
      </c>
      <c r="B1" s="3477"/>
      <c r="C1" s="3477"/>
      <c r="D1" s="3477"/>
    </row>
    <row r="2" spans="1:4" ht="47.25" customHeight="1">
      <c r="A2" s="3481" t="str">
        <f>"1.权利限制："&amp;项目基本情况!L24&amp;"未设定租赁等其他他项权利。"</f>
        <v>1.权利限制：根据估价对象《不动产权证书》原件、《国有土地使用权》复印件，截至估价期日，估价对象抵押权未见登记。未设定租赁等其他他项权利。</v>
      </c>
      <c r="B2" s="3481"/>
      <c r="C2" s="3481"/>
      <c r="D2" s="3481"/>
    </row>
    <row r="3" spans="1:4" ht="48" customHeight="1">
      <c r="A3" s="34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77"/>
      <c r="C3" s="3477"/>
      <c r="D3" s="3477"/>
    </row>
    <row r="4" spans="1:4" ht="36.75" customHeight="1">
      <c r="A4" s="3477" t="str">
        <f>"3.估价规划限制条件：详见"&amp;项目基本情况!E21&amp;"。"</f>
        <v>3.估价规划限制条件：详见《建设工程规划许可证》[]、《出让合同》[]。</v>
      </c>
      <c r="B4" s="3477"/>
      <c r="C4" s="3477"/>
      <c r="D4" s="3477"/>
    </row>
    <row r="5" spans="1:4">
      <c r="A5" s="3480" t="s">
        <v>1858</v>
      </c>
      <c r="B5" s="3480"/>
      <c r="C5" s="3480"/>
      <c r="D5" s="3480"/>
    </row>
    <row r="6" spans="1:4">
      <c r="A6" s="3477" t="s">
        <v>1836</v>
      </c>
      <c r="B6" s="3477"/>
      <c r="C6" s="3477"/>
      <c r="D6" s="3477"/>
    </row>
    <row r="7" spans="1:4" ht="33" customHeight="1">
      <c r="A7" s="3477" t="s">
        <v>2292</v>
      </c>
      <c r="B7" s="3477"/>
      <c r="C7" s="3477"/>
      <c r="D7" s="3477"/>
    </row>
    <row r="8" spans="1:4" ht="32.25" customHeight="1">
      <c r="A8" s="34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7"/>
      <c r="C8" s="3477"/>
      <c r="D8" s="3477"/>
    </row>
    <row r="9" spans="1:4" ht="33.75" customHeight="1">
      <c r="A9" s="34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7"/>
      <c r="C9" s="3477"/>
      <c r="D9" s="3477"/>
    </row>
    <row r="10" spans="1:4">
      <c r="A10" s="3477" t="str">
        <f>IF(项目基本情况!B8="抵押","4.估价师所知悉的法定优先受偿款情况为：","——")</f>
        <v>4.估价师所知悉的法定优先受偿款情况为：</v>
      </c>
      <c r="B10" s="3477"/>
      <c r="C10" s="3477"/>
      <c r="D10" s="3477"/>
    </row>
    <row r="11" spans="1:4" ht="37.5" customHeight="1">
      <c r="A11" s="34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9"/>
      <c r="C11" s="3479"/>
      <c r="D11" s="3479"/>
    </row>
    <row r="12" spans="1:4" ht="168" customHeight="1">
      <c r="A12" s="3480" t="s">
        <v>1860</v>
      </c>
      <c r="B12" s="3480"/>
      <c r="C12" s="3480"/>
      <c r="D12" s="3480"/>
    </row>
    <row r="13" spans="1:4">
      <c r="A13" s="3478" t="s">
        <v>2463</v>
      </c>
      <c r="B13" s="3478"/>
      <c r="C13" s="3478"/>
      <c r="D13" s="3478"/>
    </row>
    <row r="14" spans="1:4">
      <c r="A14" s="3479" t="str">
        <f>IF(项目基本情况!B8="抵押","综上，"&amp;结果表!K47,"——")</f>
        <v>综上，本次评估不存在估价师知悉的法定优先受偿款</v>
      </c>
      <c r="B14" s="3479"/>
      <c r="C14" s="3479"/>
      <c r="D14" s="3479"/>
    </row>
    <row r="15" spans="1:4" ht="58.5" customHeight="1">
      <c r="A15" s="34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7"/>
      <c r="C15" s="3477"/>
      <c r="D15" s="3477"/>
    </row>
    <row r="16" spans="1:4" ht="70.5" customHeight="1">
      <c r="A16" s="34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7"/>
      <c r="C16" s="3477"/>
      <c r="D16" s="3477"/>
    </row>
    <row r="17" spans="1:4">
      <c r="A17" s="3477" t="s">
        <v>2419</v>
      </c>
      <c r="B17" s="3477"/>
      <c r="C17" s="3477"/>
      <c r="D17" s="3477"/>
    </row>
    <row r="18" spans="1:4">
      <c r="A18" s="3477" t="s">
        <v>2411</v>
      </c>
      <c r="B18" s="3477"/>
      <c r="C18" s="3477"/>
      <c r="D18" s="3477"/>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77" t="s">
        <v>2416</v>
      </c>
      <c r="B23" s="3477"/>
      <c r="C23" s="3477"/>
      <c r="D23" s="3477"/>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489" t="s">
        <v>53</v>
      </c>
      <c r="B15" s="3490" t="s">
        <v>826</v>
      </c>
      <c r="C15" s="3486"/>
    </row>
    <row r="16" spans="1:7" ht="14.25">
      <c r="A16" s="3489"/>
      <c r="B16" s="3487" t="s">
        <v>54</v>
      </c>
      <c r="C16" s="1117" t="s">
        <v>53</v>
      </c>
    </row>
    <row r="17" spans="1:3" ht="14.25">
      <c r="A17" s="3489"/>
      <c r="B17" s="3487"/>
      <c r="C17" s="1117" t="s">
        <v>55</v>
      </c>
    </row>
    <row r="18" spans="1:3" ht="14.25">
      <c r="A18" s="3489"/>
      <c r="B18" s="3487"/>
      <c r="C18" s="1117" t="s">
        <v>56</v>
      </c>
    </row>
    <row r="19" spans="1:3" ht="14.25">
      <c r="A19" s="3489"/>
      <c r="B19" s="3485" t="s">
        <v>57</v>
      </c>
      <c r="C19" s="3486"/>
    </row>
    <row r="20" spans="1:3" ht="14.25">
      <c r="A20" s="1118" t="s">
        <v>58</v>
      </c>
      <c r="B20" s="1119"/>
      <c r="C20" s="1120"/>
    </row>
    <row r="21" spans="1:3" ht="14.25">
      <c r="A21" s="3488" t="s">
        <v>59</v>
      </c>
      <c r="B21" s="3485" t="s">
        <v>60</v>
      </c>
      <c r="C21" s="3486"/>
    </row>
    <row r="22" spans="1:3" ht="14.25">
      <c r="A22" s="3488"/>
      <c r="B22" s="3485" t="s">
        <v>61</v>
      </c>
      <c r="C22" s="3486"/>
    </row>
    <row r="23" spans="1:3" ht="14.25">
      <c r="A23" s="3488"/>
      <c r="B23" s="3485" t="s">
        <v>62</v>
      </c>
      <c r="C23" s="3486"/>
    </row>
    <row r="24" spans="1:3" ht="14.25">
      <c r="A24" s="3488"/>
      <c r="B24" s="3491" t="s">
        <v>63</v>
      </c>
      <c r="C24" s="1121" t="s">
        <v>817</v>
      </c>
    </row>
    <row r="25" spans="1:3" ht="14.25">
      <c r="A25" s="3488"/>
      <c r="B25" s="3492"/>
      <c r="C25" s="1121" t="s">
        <v>818</v>
      </c>
    </row>
    <row r="26" spans="1:3" ht="14.25">
      <c r="A26" s="3488"/>
      <c r="B26" s="3492"/>
      <c r="C26" s="1121" t="s">
        <v>819</v>
      </c>
    </row>
    <row r="27" spans="1:3" ht="14.25">
      <c r="A27" s="3488"/>
      <c r="B27" s="3492"/>
      <c r="C27" s="1121" t="s">
        <v>820</v>
      </c>
    </row>
    <row r="28" spans="1:3" ht="14.25">
      <c r="A28" s="3488"/>
      <c r="B28" s="3492"/>
      <c r="C28" s="1121" t="s">
        <v>821</v>
      </c>
    </row>
    <row r="29" spans="1:3" ht="14.25">
      <c r="A29" s="3488"/>
      <c r="B29" s="3492"/>
      <c r="C29" s="1121" t="s">
        <v>822</v>
      </c>
    </row>
    <row r="30" spans="1:3" ht="14.25">
      <c r="A30" s="3488"/>
      <c r="B30" s="3492"/>
      <c r="C30" s="1121" t="s">
        <v>823</v>
      </c>
    </row>
    <row r="31" spans="1:3" ht="14.25">
      <c r="A31" s="3488"/>
      <c r="B31" s="3492"/>
      <c r="C31" s="1121" t="s">
        <v>824</v>
      </c>
    </row>
    <row r="32" spans="1:3" ht="14.25">
      <c r="A32" s="3488"/>
      <c r="B32" s="3492"/>
      <c r="C32" s="1121" t="s">
        <v>1446</v>
      </c>
    </row>
    <row r="33" spans="1:3" ht="14.25">
      <c r="A33" s="3488"/>
      <c r="B33" s="3482" t="s">
        <v>1452</v>
      </c>
      <c r="C33" s="1121" t="s">
        <v>1447</v>
      </c>
    </row>
    <row r="34" spans="1:3" ht="14.25">
      <c r="A34" s="3488"/>
      <c r="B34" s="3483"/>
      <c r="C34" s="1126" t="s">
        <v>1448</v>
      </c>
    </row>
    <row r="35" spans="1:3" ht="14.25">
      <c r="A35" s="3488"/>
      <c r="B35" s="3483"/>
      <c r="C35" s="1127" t="s">
        <v>1449</v>
      </c>
    </row>
    <row r="36" spans="1:3" ht="14.25">
      <c r="A36" s="3488"/>
      <c r="B36" s="3483"/>
      <c r="C36" s="1127" t="s">
        <v>1450</v>
      </c>
    </row>
    <row r="37" spans="1:3" ht="14.25">
      <c r="A37" s="3488"/>
      <c r="B37" s="3484"/>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6" customWidth="1"/>
    <col min="2" max="2" width="22.75" style="2746" bestFit="1" customWidth="1"/>
    <col min="3" max="3" width="25.75" style="2746" bestFit="1" customWidth="1"/>
    <col min="4" max="4" width="22.625" style="2746"/>
    <col min="5" max="5" width="22.75" style="2746" bestFit="1" customWidth="1"/>
    <col min="6" max="6" width="25.625" style="2746" customWidth="1"/>
    <col min="7" max="16384" width="22.625" style="2746"/>
  </cols>
  <sheetData>
    <row r="1" spans="1:7" ht="20.25" customHeight="1">
      <c r="A1" s="2931"/>
      <c r="B1" s="2931"/>
      <c r="C1" s="2931"/>
      <c r="D1" s="2931"/>
      <c r="E1" s="2931"/>
      <c r="F1" s="2931"/>
      <c r="G1" s="2931"/>
    </row>
    <row r="2" spans="1:7" ht="20.25" customHeight="1">
      <c r="A2" s="2932" t="s">
        <v>1703</v>
      </c>
      <c r="B2" s="2933">
        <f ca="1">TODAY()</f>
        <v>44735</v>
      </c>
      <c r="C2" s="2934" t="s">
        <v>1704</v>
      </c>
      <c r="D2" s="2934"/>
      <c r="E2" s="2931"/>
      <c r="F2" s="2931"/>
      <c r="G2" s="2931"/>
    </row>
    <row r="3" spans="1:7" ht="20.25" customHeight="1">
      <c r="A3" s="2955" t="s">
        <v>1705</v>
      </c>
      <c r="B3" s="2936" t="s">
        <v>1706</v>
      </c>
      <c r="C3" s="2937" t="s">
        <v>1707</v>
      </c>
      <c r="D3" s="2956" t="s">
        <v>1708</v>
      </c>
      <c r="E3" s="2936" t="s">
        <v>1709</v>
      </c>
      <c r="F3" s="2936" t="s">
        <v>1707</v>
      </c>
      <c r="G3" s="2931"/>
    </row>
    <row r="4" spans="1:7" ht="20.25" customHeight="1">
      <c r="A4" s="2936" t="s">
        <v>1710</v>
      </c>
      <c r="B4" s="2936">
        <f ca="1">IF(C4&lt;B2,"已过期",1119970066)</f>
        <v>1119970066</v>
      </c>
      <c r="C4" s="2939">
        <v>44876</v>
      </c>
      <c r="D4" s="2947" t="s">
        <v>1710</v>
      </c>
      <c r="E4" s="2936">
        <f ca="1">IF(F4&lt;B2,"已过期",96010014)</f>
        <v>96010014</v>
      </c>
      <c r="F4" s="2938">
        <v>47118</v>
      </c>
      <c r="G4" s="2931"/>
    </row>
    <row r="5" spans="1:7" ht="20.25" customHeight="1">
      <c r="A5" s="2936" t="s">
        <v>1711</v>
      </c>
      <c r="B5" s="2936">
        <f ca="1">IF(C5&lt;B2,"已过期",1119970111)</f>
        <v>1119970111</v>
      </c>
      <c r="C5" s="2939">
        <v>44876</v>
      </c>
      <c r="D5" s="2947" t="s">
        <v>1711</v>
      </c>
      <c r="E5" s="2936">
        <f ca="1">IF(F5&lt;B2,"已过期",94010078)</f>
        <v>94010078</v>
      </c>
      <c r="F5" s="2938">
        <v>46387</v>
      </c>
      <c r="G5" s="2931"/>
    </row>
    <row r="6" spans="1:7" ht="20.25" customHeight="1">
      <c r="A6" s="2936" t="s">
        <v>1712</v>
      </c>
      <c r="B6" s="2936">
        <f ca="1">IF(C6&lt;B2,"已过期",1120050019)</f>
        <v>1120050019</v>
      </c>
      <c r="C6" s="2939">
        <v>45410</v>
      </c>
      <c r="D6" s="2947" t="s">
        <v>1712</v>
      </c>
      <c r="E6" s="2936">
        <f ca="1">IF(F6&lt;B2,"已过期",2002110030)</f>
        <v>2002110030</v>
      </c>
      <c r="F6" s="2938">
        <v>46387</v>
      </c>
      <c r="G6" s="2931"/>
    </row>
    <row r="7" spans="1:7" ht="20.25" customHeight="1">
      <c r="A7" s="2936" t="s">
        <v>1713</v>
      </c>
      <c r="B7" s="2936">
        <f ca="1">IF(C7&lt;B2,"已过期",1120000080)</f>
        <v>1120000080</v>
      </c>
      <c r="C7" s="2939">
        <v>44876</v>
      </c>
      <c r="D7" s="2947" t="s">
        <v>1713</v>
      </c>
      <c r="E7" s="2936">
        <f ca="1">IF(F7&lt;B2,"已过期",2000110082)</f>
        <v>2000110082</v>
      </c>
      <c r="F7" s="2938">
        <v>46387</v>
      </c>
      <c r="G7" s="2931"/>
    </row>
    <row r="8" spans="1:7" ht="20.25" customHeight="1">
      <c r="A8" s="2936" t="s">
        <v>1714</v>
      </c>
      <c r="B8" s="2936">
        <f ca="1">IF(C8&lt;B2,"已过期",1419970001)</f>
        <v>1419970001</v>
      </c>
      <c r="C8" s="2939">
        <v>44899</v>
      </c>
      <c r="D8" s="2947" t="s">
        <v>1714</v>
      </c>
      <c r="E8" s="2936">
        <f ca="1">IF(F8&lt;B2,"已过期",2002110125)</f>
        <v>2002110125</v>
      </c>
      <c r="F8" s="2938">
        <v>47118</v>
      </c>
      <c r="G8" s="2931"/>
    </row>
    <row r="9" spans="1:7" ht="20.25" customHeight="1">
      <c r="A9" s="2936" t="s">
        <v>1715</v>
      </c>
      <c r="B9" s="2936">
        <f ca="1">IF(C9&lt;B2,"已过期",1120060040)</f>
        <v>1120060040</v>
      </c>
      <c r="C9" s="2939">
        <v>45592</v>
      </c>
      <c r="D9" s="2947" t="s">
        <v>1715</v>
      </c>
      <c r="E9" s="2936">
        <f ca="1">IF(F9&lt;B2,"已过期",2004110096)</f>
        <v>2004110096</v>
      </c>
      <c r="F9" s="2938">
        <v>47118</v>
      </c>
      <c r="G9" s="2931"/>
    </row>
    <row r="10" spans="1:7" ht="20.25" customHeight="1">
      <c r="A10" s="2936" t="s">
        <v>1716</v>
      </c>
      <c r="B10" s="2936" t="str">
        <f ca="1">IF(C10&lt;B2,"已过期",1120100036)</f>
        <v>已过期</v>
      </c>
      <c r="C10" s="2939">
        <v>44675</v>
      </c>
      <c r="D10" s="2947" t="s">
        <v>1716</v>
      </c>
      <c r="E10" s="2936">
        <f ca="1">IF(F10&lt;B2,"已过期",2010110070)</f>
        <v>2010110070</v>
      </c>
      <c r="F10" s="2938">
        <v>47907</v>
      </c>
      <c r="G10" s="2931"/>
    </row>
    <row r="11" spans="1:7" ht="20.25" customHeight="1">
      <c r="A11" s="2936" t="s">
        <v>1717</v>
      </c>
      <c r="B11" s="2936">
        <f ca="1">IF(C11&lt;B2,"已过期",1120070131)</f>
        <v>1120070131</v>
      </c>
      <c r="C11" s="2939">
        <v>44849</v>
      </c>
      <c r="D11" s="2947" t="s">
        <v>1717</v>
      </c>
      <c r="E11" s="2936">
        <f ca="1">IF(F11&lt;B2,"已过期",2014110011)</f>
        <v>2014110011</v>
      </c>
      <c r="F11" s="2938">
        <v>49302</v>
      </c>
      <c r="G11" s="2931"/>
    </row>
    <row r="12" spans="1:7" ht="20.25" customHeight="1">
      <c r="A12" s="2936" t="s">
        <v>2673</v>
      </c>
      <c r="B12" s="2936">
        <f ca="1">IF(C12&lt;B2,"已过期",1120040230)</f>
        <v>1120040230</v>
      </c>
      <c r="C12" s="2939">
        <v>44864</v>
      </c>
      <c r="D12" s="2947" t="s">
        <v>2674</v>
      </c>
      <c r="E12" s="2936">
        <f ca="1">IF(F12&lt;B2,"已过期",98030020)</f>
        <v>98030020</v>
      </c>
      <c r="F12" s="2938">
        <v>47118</v>
      </c>
      <c r="G12" s="2931"/>
    </row>
    <row r="13" spans="1:7" ht="20.25" customHeight="1">
      <c r="A13" s="2936"/>
      <c r="B13" s="2936"/>
      <c r="C13" s="2939"/>
      <c r="D13" s="2947" t="s">
        <v>1718</v>
      </c>
      <c r="E13" s="2936">
        <f ca="1">IF(F13&lt;B2,"已过期",2011110090)</f>
        <v>2011110090</v>
      </c>
      <c r="F13" s="2938">
        <v>48302</v>
      </c>
      <c r="G13" s="2931"/>
    </row>
    <row r="14" spans="1:7" ht="20.25" customHeight="1">
      <c r="A14" s="2936" t="s">
        <v>1719</v>
      </c>
      <c r="B14" s="2936" t="str">
        <f ca="1">IF(C14&lt;B2,"已过期",1120020033)</f>
        <v>已过期</v>
      </c>
      <c r="C14" s="2939">
        <v>44339</v>
      </c>
      <c r="D14" s="2947" t="s">
        <v>1719</v>
      </c>
      <c r="E14" s="2936">
        <f ca="1">IF(F14&lt;B2,"已过期",2000110137)</f>
        <v>2000110137</v>
      </c>
      <c r="F14" s="2938">
        <v>46387</v>
      </c>
      <c r="G14" s="2931"/>
    </row>
    <row r="15" spans="1:7" ht="20.25" customHeight="1">
      <c r="A15" s="2936" t="s">
        <v>2686</v>
      </c>
      <c r="B15" s="2936">
        <f ca="1">IF(C15&lt;B2,"已过期",1119980106)</f>
        <v>1119980106</v>
      </c>
      <c r="C15" s="2939">
        <v>44969</v>
      </c>
      <c r="D15" s="2947"/>
      <c r="E15" s="2936"/>
      <c r="F15" s="2936"/>
      <c r="G15" s="2931"/>
    </row>
    <row r="16" spans="1:7" ht="20.25" customHeight="1">
      <c r="A16" s="2935" t="s">
        <v>2887</v>
      </c>
      <c r="B16" s="2935">
        <v>1120210056</v>
      </c>
      <c r="C16" s="2939">
        <v>45410</v>
      </c>
      <c r="D16" s="2947"/>
      <c r="E16" s="2936"/>
      <c r="F16" s="2936"/>
      <c r="G16" s="2931"/>
    </row>
    <row r="17" spans="1:7" s="2747" customFormat="1" ht="20.25" customHeight="1">
      <c r="A17" s="2935" t="s">
        <v>1845</v>
      </c>
      <c r="B17" s="2935" t="s">
        <v>1845</v>
      </c>
      <c r="C17" s="2939"/>
      <c r="D17" s="2948" t="s">
        <v>1845</v>
      </c>
      <c r="E17" s="2936" t="s">
        <v>1845</v>
      </c>
      <c r="F17" s="2938"/>
      <c r="G17" s="2940"/>
    </row>
    <row r="18" spans="1:7" ht="20.25" customHeight="1">
      <c r="A18" s="3496" t="s">
        <v>1720</v>
      </c>
      <c r="B18" s="3497"/>
      <c r="C18" s="3497"/>
      <c r="D18" s="3497"/>
      <c r="E18" s="3497"/>
      <c r="F18" s="3497"/>
      <c r="G18" s="2940"/>
    </row>
    <row r="19" spans="1:7" ht="20.25" customHeight="1">
      <c r="A19" s="3493" t="s">
        <v>1721</v>
      </c>
      <c r="B19" s="3493"/>
      <c r="C19" s="3494"/>
      <c r="D19" s="3495" t="s">
        <v>1722</v>
      </c>
      <c r="E19" s="3493"/>
      <c r="F19" s="3493"/>
      <c r="G19" s="2940"/>
    </row>
    <row r="20" spans="1:7" s="2745" customFormat="1" ht="20.25" customHeight="1">
      <c r="A20" s="2941" t="s">
        <v>1723</v>
      </c>
      <c r="B20" s="2942" t="s">
        <v>1724</v>
      </c>
      <c r="C20" s="2949" t="s">
        <v>1725</v>
      </c>
      <c r="D20" s="2947" t="s">
        <v>1723</v>
      </c>
      <c r="E20" s="2942" t="s">
        <v>1724</v>
      </c>
      <c r="F20" s="2942" t="s">
        <v>1725</v>
      </c>
      <c r="G20" s="2932"/>
    </row>
    <row r="21" spans="1:7" s="2745" customFormat="1" ht="20.25" customHeight="1">
      <c r="A21" s="2943" t="s">
        <v>1726</v>
      </c>
      <c r="B21" s="2943" t="s">
        <v>1727</v>
      </c>
      <c r="C21" s="2950">
        <v>44820</v>
      </c>
      <c r="D21" s="2952" t="s">
        <v>1728</v>
      </c>
      <c r="E21" s="2943" t="s">
        <v>2888</v>
      </c>
      <c r="F21" s="2944">
        <v>44926</v>
      </c>
      <c r="G21" s="2932"/>
    </row>
    <row r="22" spans="1:7" s="2745" customFormat="1" ht="20.25" customHeight="1">
      <c r="A22" s="2943"/>
      <c r="B22" s="2943"/>
      <c r="C22" s="2951"/>
      <c r="D22" s="2952"/>
      <c r="E22" s="2943"/>
      <c r="F22" s="2944"/>
      <c r="G22" s="2932"/>
    </row>
    <row r="23" spans="1:7" ht="20.25" customHeight="1">
      <c r="A23" s="2931"/>
      <c r="B23" s="2931"/>
      <c r="C23" s="2945"/>
      <c r="D23" s="2953"/>
      <c r="E23" s="2954"/>
      <c r="F23" s="2946"/>
      <c r="G23" s="293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3"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6"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8" t="s">
        <v>2650</v>
      </c>
      <c r="C18" s="1447"/>
    </row>
    <row r="19" spans="1:3">
      <c r="A19" s="8" t="s">
        <v>120</v>
      </c>
      <c r="B19" s="2708" t="s">
        <v>2657</v>
      </c>
      <c r="C19" s="1447"/>
    </row>
    <row r="20" spans="1:3">
      <c r="A20" s="8" t="s">
        <v>121</v>
      </c>
      <c r="B20" s="2708" t="s">
        <v>2699</v>
      </c>
      <c r="C20" s="1447"/>
    </row>
    <row r="21" spans="1:3">
      <c r="A21" s="8" t="s">
        <v>122</v>
      </c>
      <c r="B21" s="8" t="s">
        <v>2879</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新埠岛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498"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23日，在规划利用条件下、设定土地开发程度为红线外“七通”、宗地内场地平整，设定用途为，剩余土地使用年限为的出让国有建设用地使用权价格。</v>
      </c>
      <c r="D53" s="1639"/>
      <c r="E53" s="1639"/>
    </row>
    <row r="54" spans="1:5">
      <c r="A54" s="3498"/>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498"/>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498"/>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498"/>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2022-06-23T03:11:07Z</dcterms:modified>
</cp:coreProperties>
</file>