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商业用房" sheetId="15" r:id="rId24"/>
    <sheet name="收益法 (元)" sheetId="67" state="hidden" r:id="rId25"/>
    <sheet name="收益法-酒店用房" sheetId="79"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 name="土地案例" sheetId="78"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'收益法-酒店用房'!$A$1:$AK$69</definedName>
    <definedName name="_xlnm.Print_Area" localSheetId="23">'收益法-商业用房'!$A$1:$AK$69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6" i="1" l="1"/>
  <c r="AD7" i="1"/>
  <c r="C11" i="39"/>
  <c r="A18" i="80"/>
  <c r="C24" i="80"/>
  <c r="B24" i="80"/>
  <c r="B23" i="80"/>
  <c r="C38" i="39"/>
  <c r="I38" i="39"/>
  <c r="G38" i="39"/>
  <c r="E38" i="39"/>
  <c r="A3" i="3"/>
  <c r="N7" i="1"/>
  <c r="N6" i="1"/>
  <c r="C10" i="39" l="1"/>
  <c r="C32" i="39"/>
  <c r="Y6" i="1"/>
  <c r="L18" i="80"/>
  <c r="I46" i="39"/>
  <c r="G46" i="39"/>
  <c r="E46" i="39"/>
  <c r="D10" i="80" l="1"/>
  <c r="D9" i="80"/>
  <c r="K6" i="78"/>
  <c r="K7" i="78"/>
  <c r="K8" i="78"/>
  <c r="K9" i="78"/>
  <c r="K10" i="78"/>
  <c r="K11" i="78"/>
  <c r="K12" i="78"/>
  <c r="K13" i="78"/>
  <c r="K14" i="78"/>
  <c r="K15" i="78"/>
  <c r="K16" i="78"/>
  <c r="K17" i="78"/>
  <c r="K18" i="78"/>
  <c r="K19" i="78"/>
  <c r="K5" i="78"/>
  <c r="Y7" i="1"/>
  <c r="Q72" i="79" l="1"/>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G1" i="79"/>
  <c r="I6" i="66"/>
  <c r="C28" i="66" s="1"/>
  <c r="D6" i="66"/>
  <c r="I7" i="39"/>
  <c r="G7" i="39"/>
  <c r="E7" i="39"/>
  <c r="I5" i="39"/>
  <c r="G5" i="39"/>
  <c r="E5" i="39"/>
  <c r="D24" i="79" l="1"/>
  <c r="P61" i="79"/>
  <c r="D22" i="79"/>
  <c r="C5" i="39"/>
  <c r="D3" i="39"/>
  <c r="C27" i="66"/>
  <c r="F20" i="6"/>
  <c r="F19" i="6"/>
  <c r="C20" i="6"/>
  <c r="C19" i="6"/>
  <c r="C76" i="79"/>
  <c r="F8" i="79"/>
  <c r="F37" i="79"/>
  <c r="M26" i="79"/>
  <c r="F7" i="79"/>
  <c r="M6" i="79"/>
  <c r="C14" i="79"/>
  <c r="M29" i="79"/>
  <c r="J15" i="79"/>
  <c r="F16" i="79"/>
  <c r="L47" i="79"/>
  <c r="M8" i="79"/>
  <c r="M9" i="79"/>
  <c r="F43" i="79"/>
  <c r="F36" i="79"/>
  <c r="F40" i="79"/>
  <c r="F9" i="79"/>
  <c r="M22" i="79"/>
  <c r="M28" i="79"/>
  <c r="M23" i="79"/>
  <c r="F42" i="79"/>
  <c r="F38" i="79"/>
  <c r="F26" i="79"/>
  <c r="F13" i="79"/>
  <c r="F6" i="79"/>
  <c r="M24" i="79"/>
  <c r="F64" i="79" l="1"/>
  <c r="F66" i="79"/>
  <c r="F51" i="79"/>
  <c r="F68" i="79"/>
  <c r="F71" i="79"/>
  <c r="C18" i="79"/>
  <c r="C15" i="79"/>
  <c r="C6" i="79"/>
  <c r="C27" i="79"/>
  <c r="F65" i="79"/>
  <c r="F50" i="79"/>
  <c r="M7" i="79"/>
  <c r="J6" i="79" s="1"/>
  <c r="Q71" i="79"/>
  <c r="D3" i="4"/>
  <c r="C16" i="79"/>
  <c r="C17" i="79"/>
  <c r="C19" i="79" l="1"/>
  <c r="C49" i="79"/>
  <c r="L3" i="71"/>
  <c r="K3" i="71"/>
  <c r="I3" i="71"/>
  <c r="C20" i="79" l="1"/>
  <c r="C26" i="79"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B8" i="76"/>
  <c r="E12" i="76"/>
  <c r="B7" i="76"/>
  <c r="E13" i="76"/>
  <c r="E9" i="76"/>
  <c r="B12" i="76"/>
  <c r="B11" i="76"/>
  <c r="E8" i="76"/>
  <c r="E7" i="76"/>
  <c r="B13" i="76"/>
  <c r="E10" i="76"/>
  <c r="E11"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F3" i="73"/>
  <c r="F4" i="73"/>
  <c r="F5" i="73"/>
  <c r="I1" i="73" l="1"/>
  <c r="B39" i="1" s="1"/>
  <c r="D3" i="73"/>
  <c r="D7" i="73"/>
  <c r="D6" i="73"/>
  <c r="D4" i="73"/>
  <c r="F11" i="79" l="1"/>
  <c r="M11" i="79"/>
  <c r="J10" i="79" s="1"/>
  <c r="J5"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9" l="1"/>
  <c r="C53" i="79"/>
  <c r="C48" i="79" s="1"/>
  <c r="C10" i="79"/>
  <c r="C5" i="79" s="1"/>
  <c r="AA10" i="43"/>
  <c r="AC10" i="43"/>
  <c r="AE10" i="43"/>
  <c r="AG10" i="43"/>
  <c r="AI10" i="43"/>
  <c r="Z10" i="43"/>
  <c r="AB10" i="43"/>
  <c r="AD10" i="43"/>
  <c r="AF10" i="43"/>
  <c r="AH10" i="43"/>
  <c r="AJ10" i="43"/>
  <c r="C38" i="79" l="1"/>
  <c r="C66"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32" i="66"/>
  <c r="I23" i="66"/>
  <c r="D20" i="66"/>
  <c r="I19" i="66"/>
  <c r="I18" i="66"/>
  <c r="I17" i="66"/>
  <c r="E15" i="66"/>
  <c r="I14" i="66"/>
  <c r="I13" i="66"/>
  <c r="I12" i="66"/>
  <c r="I15" i="66"/>
  <c r="I9" i="66"/>
  <c r="I8" i="66"/>
  <c r="I7"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M5" i="3" s="1"/>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D5" i="3" s="1"/>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I5" i="3" s="1"/>
  <c r="BJ498" i="3"/>
  <c r="BK498" i="3"/>
  <c r="BM498" i="3"/>
  <c r="BN498" i="3"/>
  <c r="BO498" i="3"/>
  <c r="BP498" i="3"/>
  <c r="BP5" i="3" s="1"/>
  <c r="BQ498" i="3"/>
  <c r="BR498" i="3"/>
  <c r="BS498" i="3"/>
  <c r="BT498" i="3"/>
  <c r="H499" i="3"/>
  <c r="AC499" i="3"/>
  <c r="G499" i="3" s="1"/>
  <c r="BB499" i="3"/>
  <c r="BC499" i="3"/>
  <c r="BD499" i="3"/>
  <c r="BE499" i="3"/>
  <c r="BE5" i="3" s="1"/>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BT5" i="3" s="1"/>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1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G548" i="3"/>
  <c r="G520" i="3"/>
  <c r="BS5" i="3"/>
  <c r="BN5" i="3"/>
  <c r="BK5" i="3"/>
  <c r="BG5" i="3"/>
  <c r="BC5" i="3"/>
  <c r="G17" i="3"/>
  <c r="BA17" i="3"/>
  <c r="AZ356" i="3"/>
  <c r="AZ364" i="3"/>
  <c r="BA15" i="3"/>
  <c r="BR5" i="3"/>
  <c r="AZ384" i="3"/>
  <c r="AZ396" i="3"/>
  <c r="AZ394" i="3"/>
  <c r="G509" i="3"/>
  <c r="BL493" i="3"/>
  <c r="AZ390" i="3"/>
  <c r="N4" i="43"/>
  <c r="F36" i="43"/>
  <c r="F81" i="43"/>
  <c r="H83" i="43" s="1"/>
  <c r="H113" i="43"/>
  <c r="F48" i="43"/>
  <c r="H52" i="43" s="1"/>
  <c r="N7" i="43"/>
  <c r="F70" i="43"/>
  <c r="H73" i="43" s="1"/>
  <c r="M6" i="43"/>
  <c r="M11" i="43"/>
  <c r="E17" i="43"/>
  <c r="F39" i="43"/>
  <c r="I17" i="43"/>
  <c r="F35" i="43"/>
  <c r="J17" i="43"/>
  <c r="F6" i="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L48" i="79"/>
  <c r="S38" i="39" l="1"/>
  <c r="M20" i="15"/>
  <c r="M20" i="79"/>
  <c r="F34" i="79"/>
  <c r="F62" i="79" s="1"/>
  <c r="L56" i="79"/>
  <c r="L58" i="79"/>
  <c r="L57" i="79"/>
  <c r="L60" i="79"/>
  <c r="J53" i="79"/>
  <c r="I54" i="79"/>
  <c r="J59" i="79"/>
  <c r="N59" i="79"/>
  <c r="M59" i="79"/>
  <c r="J60" i="79"/>
  <c r="Q48" i="79" s="1"/>
  <c r="J57" i="79"/>
  <c r="J55" i="79" s="1"/>
  <c r="J58" i="79" s="1"/>
  <c r="Q50" i="79" s="1"/>
  <c r="L59" i="79"/>
  <c r="F29" i="6"/>
  <c r="A15" i="62"/>
  <c r="B61" i="72" s="1"/>
  <c r="AZ557" i="3"/>
  <c r="AZ512" i="3"/>
  <c r="G28" i="6"/>
  <c r="S41" i="34"/>
  <c r="AA41" i="34"/>
  <c r="S25" i="21"/>
  <c r="AA25" i="21"/>
  <c r="AZ520" i="3"/>
  <c r="AZ559" i="3"/>
  <c r="AZ510" i="3"/>
  <c r="U11" i="36"/>
  <c r="AB11" i="36"/>
  <c r="U37" i="34"/>
  <c r="AB37" i="34"/>
  <c r="AB33" i="37"/>
  <c r="U33" i="37"/>
  <c r="S29" i="35"/>
  <c r="AA29" i="35"/>
  <c r="AB33" i="35"/>
  <c r="U33" i="35"/>
  <c r="AB23" i="40"/>
  <c r="U23" i="40"/>
  <c r="AA21" i="40"/>
  <c r="S21" i="40"/>
  <c r="U38" i="21"/>
  <c r="AB38" i="21"/>
  <c r="BA585" i="3"/>
  <c r="H13" i="21"/>
  <c r="J13" i="21"/>
  <c r="AC13" i="21" s="1"/>
  <c r="J27" i="21"/>
  <c r="W27" i="21" s="1"/>
  <c r="F27" i="21"/>
  <c r="AA27" i="21" s="1"/>
  <c r="H31" i="21"/>
  <c r="J31" i="21"/>
  <c r="AC31" i="21" s="1"/>
  <c r="J45" i="21"/>
  <c r="W45" i="21" s="1"/>
  <c r="F45" i="21"/>
  <c r="AA45" i="21" s="1"/>
  <c r="B74" i="43"/>
  <c r="C27" i="39"/>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AZ569" i="3" s="1"/>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BL526" i="3"/>
  <c r="AZ526" i="3" s="1"/>
  <c r="BA525" i="3"/>
  <c r="BL524" i="3"/>
  <c r="AZ524" i="3" s="1"/>
  <c r="BA522" i="3"/>
  <c r="AZ522" i="3" s="1"/>
  <c r="BL521" i="3"/>
  <c r="BA521" i="3"/>
  <c r="AZ521" i="3" s="1"/>
  <c r="BL519" i="3"/>
  <c r="BA519" i="3"/>
  <c r="BA518" i="3"/>
  <c r="AZ518" i="3" s="1"/>
  <c r="BL516" i="3"/>
  <c r="BA515" i="3"/>
  <c r="AZ515" i="3" s="1"/>
  <c r="BL514" i="3"/>
  <c r="BA514" i="3"/>
  <c r="AZ514" i="3" s="1"/>
  <c r="BL511" i="3"/>
  <c r="BA511" i="3"/>
  <c r="BL509" i="3"/>
  <c r="AZ509" i="3" s="1"/>
  <c r="BL506" i="3"/>
  <c r="BA506" i="3"/>
  <c r="AZ506" i="3" s="1"/>
  <c r="BL505" i="3"/>
  <c r="BA505" i="3"/>
  <c r="BL504" i="3"/>
  <c r="BA501" i="3"/>
  <c r="AZ501" i="3" s="1"/>
  <c r="BA500" i="3"/>
  <c r="AZ500" i="3" s="1"/>
  <c r="BL498" i="3"/>
  <c r="AZ498" i="3" s="1"/>
  <c r="BA497" i="3"/>
  <c r="AZ497" i="3" s="1"/>
  <c r="BL496" i="3"/>
  <c r="AZ496" i="3" s="1"/>
  <c r="BA494" i="3"/>
  <c r="AZ494" i="3" s="1"/>
  <c r="BA493" i="3"/>
  <c r="AZ493" i="3" s="1"/>
  <c r="AZ362" i="3"/>
  <c r="AZ567" i="3"/>
  <c r="AZ587" i="3"/>
  <c r="AZ504" i="3"/>
  <c r="AZ516" i="3"/>
  <c r="AZ528" i="3"/>
  <c r="AC14" i="37"/>
  <c r="W14" i="37"/>
  <c r="AB32" i="33"/>
  <c r="U32" i="33"/>
  <c r="AB40" i="39"/>
  <c r="U40" i="39"/>
  <c r="W45" i="39"/>
  <c r="AC45" i="39"/>
  <c r="AB35" i="33"/>
  <c r="U35" i="33"/>
  <c r="H82" i="43"/>
  <c r="H48" i="43"/>
  <c r="H50" i="43"/>
  <c r="H75" i="43"/>
  <c r="AC35" i="21"/>
  <c r="U36" i="40"/>
  <c r="BB5" i="3"/>
  <c r="E8" i="6" s="1"/>
  <c r="AZ327" i="3"/>
  <c r="AZ310" i="3"/>
  <c r="AZ371" i="3"/>
  <c r="AZ355"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AZ434" i="3"/>
  <c r="AZ443" i="3"/>
  <c r="AZ446" i="3"/>
  <c r="AZ450" i="3"/>
  <c r="AZ459" i="3"/>
  <c r="AZ462"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67"/>
  <c r="M22" i="15"/>
  <c r="F6" i="15"/>
  <c r="M23" i="15"/>
  <c r="M28" i="15"/>
  <c r="M24" i="67"/>
  <c r="M29" i="67"/>
  <c r="M26" i="15"/>
  <c r="F13" i="15"/>
  <c r="M8" i="67"/>
  <c r="F7" i="15"/>
  <c r="C76" i="67"/>
  <c r="J15" i="67"/>
  <c r="F42" i="15"/>
  <c r="M9" i="67"/>
  <c r="F38" i="67"/>
  <c r="F43" i="67"/>
  <c r="F40" i="67"/>
  <c r="M6" i="15"/>
  <c r="F16" i="15"/>
  <c r="F7" i="67"/>
  <c r="M24" i="15"/>
  <c r="F13" i="67"/>
  <c r="F16" i="67"/>
  <c r="F6" i="67"/>
  <c r="L47" i="15"/>
  <c r="F37" i="67"/>
  <c r="F38" i="15"/>
  <c r="J15" i="15"/>
  <c r="M9" i="15"/>
  <c r="F8" i="67"/>
  <c r="M28" i="67"/>
  <c r="F43" i="15"/>
  <c r="F26" i="15"/>
  <c r="F9" i="67"/>
  <c r="M23" i="67"/>
  <c r="F26" i="67"/>
  <c r="F40" i="15"/>
  <c r="L48" i="15"/>
  <c r="F8" i="15"/>
  <c r="M8" i="15"/>
  <c r="F42" i="67"/>
  <c r="G1" i="73"/>
  <c r="M26" i="67"/>
  <c r="F9" i="15"/>
  <c r="F37" i="15"/>
  <c r="L47" i="67"/>
  <c r="F36" i="67"/>
  <c r="L48" i="67"/>
  <c r="F36" i="15"/>
  <c r="M22" i="67"/>
  <c r="C76" i="15"/>
  <c r="M29" i="15"/>
  <c r="Q52" i="79" l="1"/>
  <c r="F1" i="79"/>
  <c r="Q57" i="79"/>
  <c r="Q66" i="79"/>
  <c r="Q73" i="79"/>
  <c r="Q60" i="79"/>
  <c r="C28" i="79"/>
  <c r="J18" i="79"/>
  <c r="C60" i="79"/>
  <c r="C32" i="79"/>
  <c r="Q74" i="79"/>
  <c r="Q61" i="79"/>
  <c r="L46" i="79"/>
  <c r="F27" i="6"/>
  <c r="E27" i="6" s="1"/>
  <c r="E56" i="39"/>
  <c r="E51" i="40"/>
  <c r="D22" i="43"/>
  <c r="E13" i="6"/>
  <c r="E58" i="40" s="1"/>
  <c r="E15" i="6"/>
  <c r="E60" i="40" s="1"/>
  <c r="E4" i="4"/>
  <c r="C4" i="4"/>
  <c r="AC32" i="40"/>
  <c r="W32" i="40"/>
  <c r="AA31" i="39"/>
  <c r="S31" i="39"/>
  <c r="U25" i="37"/>
  <c r="AB25" i="37"/>
  <c r="AC31" i="34"/>
  <c r="W31" i="34"/>
  <c r="U13" i="34"/>
  <c r="AB13" i="34"/>
  <c r="AB13" i="37"/>
  <c r="U13" i="37"/>
  <c r="AZ505" i="3"/>
  <c r="AZ519" i="3"/>
  <c r="AZ556" i="3"/>
  <c r="AZ564" i="3"/>
  <c r="W40" i="40"/>
  <c r="AC40" i="40"/>
  <c r="AA38" i="40"/>
  <c r="S38" i="40"/>
  <c r="W33" i="40"/>
  <c r="AC33" i="40"/>
  <c r="AC31" i="40"/>
  <c r="W31" i="40"/>
  <c r="S39" i="37"/>
  <c r="AA39" i="37"/>
  <c r="U27" i="37"/>
  <c r="AB27" i="37"/>
  <c r="AZ542" i="3"/>
  <c r="AZ574" i="3"/>
  <c r="AZ580" i="3"/>
  <c r="AZ581" i="3"/>
  <c r="AC25" i="37"/>
  <c r="W25" i="37"/>
  <c r="AC47" i="34"/>
  <c r="W47" i="34"/>
  <c r="S44" i="33"/>
  <c r="AA44" i="33"/>
  <c r="U12" i="33"/>
  <c r="AB12" i="33"/>
  <c r="AZ511" i="3"/>
  <c r="AA40" i="40"/>
  <c r="S40" i="40"/>
  <c r="AB38" i="40"/>
  <c r="U38" i="40"/>
  <c r="AB39" i="37"/>
  <c r="U39" i="37"/>
  <c r="AC32" i="36"/>
  <c r="W32" i="36"/>
  <c r="C10" i="67"/>
  <c r="C53" i="67"/>
  <c r="C53" i="1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F31" i="67"/>
  <c r="F59" i="15"/>
  <c r="F59" i="67"/>
  <c r="M17" i="15"/>
  <c r="C17" i="15"/>
  <c r="C16" i="15"/>
  <c r="C16" i="67"/>
  <c r="C24" i="79" l="1"/>
  <c r="C23" i="79"/>
  <c r="K4" i="4"/>
  <c r="B46" i="48" s="1"/>
  <c r="B4" i="72" s="1"/>
  <c r="K24" i="6"/>
  <c r="M24" i="6" s="1"/>
  <c r="I24" i="6" s="1"/>
  <c r="S24" i="6" s="1"/>
  <c r="K26" i="6"/>
  <c r="M26" i="6" s="1"/>
  <c r="I26" i="6" s="1"/>
  <c r="S26" i="6" s="1"/>
  <c r="K19" i="6"/>
  <c r="K23" i="6"/>
  <c r="M23" i="6" s="1"/>
  <c r="I23" i="6" s="1"/>
  <c r="S23" i="6" s="1"/>
  <c r="K20" i="6"/>
  <c r="E31" i="6"/>
  <c r="K21" i="6"/>
  <c r="M21" i="6" s="1"/>
  <c r="I21" i="6" s="1"/>
  <c r="S21" i="6" s="1"/>
  <c r="K22" i="6"/>
  <c r="M22" i="6" s="1"/>
  <c r="I22" i="6" s="1"/>
  <c r="S22" i="6" s="1"/>
  <c r="K25" i="6"/>
  <c r="M25" i="6" s="1"/>
  <c r="I25" i="6" s="1"/>
  <c r="S25" i="6" s="1"/>
  <c r="F31" i="6"/>
  <c r="S5" i="43"/>
  <c r="T5" i="43" s="1"/>
  <c r="V5" i="43" s="1"/>
  <c r="S7" i="43"/>
  <c r="S4" i="43"/>
  <c r="T4" i="43" s="1"/>
  <c r="V4" i="43" s="1"/>
  <c r="S6" i="43"/>
  <c r="S2" i="43"/>
  <c r="S3" i="43"/>
  <c r="C23" i="43"/>
  <c r="C21" i="43" s="1"/>
  <c r="E65" i="39"/>
  <c r="E66" i="39" s="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9" l="1"/>
  <c r="C57" i="79" s="1"/>
  <c r="S7" i="1"/>
  <c r="M20" i="6"/>
  <c r="I20" i="6" s="1"/>
  <c r="S20" i="6" s="1"/>
  <c r="S6" i="1"/>
  <c r="M19" i="6"/>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C33" i="79" l="1"/>
  <c r="Q49" i="79"/>
  <c r="J14" i="79"/>
  <c r="J22" i="79" s="1"/>
  <c r="C13" i="79"/>
  <c r="Q70" i="79" s="1"/>
  <c r="C36" i="79"/>
  <c r="J19" i="79"/>
  <c r="J13" i="79"/>
  <c r="J23" i="79" s="1"/>
  <c r="C75" i="79"/>
  <c r="C37" i="79"/>
  <c r="C64" i="79"/>
  <c r="C61" i="79"/>
  <c r="R20" i="6"/>
  <c r="R7" i="1" s="1"/>
  <c r="M27" i="6"/>
  <c r="I19" i="6"/>
  <c r="AQ6" i="1"/>
  <c r="AR6" i="1"/>
  <c r="T6" i="1"/>
  <c r="E7" i="70"/>
  <c r="AQ7" i="1"/>
  <c r="AR7" i="1"/>
  <c r="T7" i="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C56" i="79" l="1"/>
  <c r="C65" i="79" s="1"/>
  <c r="C18" i="12"/>
  <c r="S19" i="6"/>
  <c r="S27" i="6" s="1"/>
  <c r="H19" i="6"/>
  <c r="I27" i="6"/>
  <c r="D31" i="6"/>
  <c r="I6" i="6"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67"/>
  <c r="C21" i="12" l="1"/>
  <c r="C22" i="12" s="1"/>
  <c r="C30" i="12" s="1"/>
  <c r="C28" i="12" s="1"/>
  <c r="H27" i="6"/>
  <c r="R19" i="6"/>
  <c r="I5" i="6"/>
  <c r="B2" i="76"/>
  <c r="B3" i="76" s="1"/>
  <c r="B3" i="43"/>
  <c r="C49" i="21"/>
  <c r="F63" i="67"/>
  <c r="C62" i="67" s="1"/>
  <c r="C34" i="67"/>
  <c r="J20" i="67"/>
  <c r="C24" i="68"/>
  <c r="C33" i="68"/>
  <c r="I63" i="40"/>
  <c r="H65" i="40"/>
  <c r="C39" i="11"/>
  <c r="C43" i="11" s="1"/>
  <c r="C41" i="11" s="1"/>
  <c r="I70" i="39"/>
  <c r="R27" i="6" l="1"/>
  <c r="R6" i="1"/>
  <c r="C27" i="12"/>
  <c r="C25" i="12" s="1"/>
  <c r="C32" i="12" s="1"/>
  <c r="B2" i="12" s="1"/>
  <c r="B3" i="12" s="1"/>
  <c r="C39" i="68"/>
  <c r="C43" i="68" s="1"/>
  <c r="C42" i="68"/>
  <c r="J63" i="40"/>
  <c r="I65" i="40"/>
  <c r="C46" i="11"/>
  <c r="C45" i="11" s="1"/>
  <c r="C49" i="11" s="1"/>
  <c r="C51" i="11" s="1"/>
  <c r="C52" i="11" s="1"/>
  <c r="B2" i="11" s="1"/>
  <c r="B3" i="11" s="1"/>
  <c r="J70" i="39"/>
  <c r="F35" i="79"/>
  <c r="F35" i="15"/>
  <c r="M21" i="15"/>
  <c r="M21" i="79"/>
  <c r="C34" i="79" l="1"/>
  <c r="C31" i="79" s="1"/>
  <c r="C30" i="79" s="1"/>
  <c r="F63" i="79"/>
  <c r="C62" i="79" s="1"/>
  <c r="C59" i="79" s="1"/>
  <c r="C58" i="79" s="1"/>
  <c r="C67" i="79" s="1"/>
  <c r="J20" i="79"/>
  <c r="J17" i="79" s="1"/>
  <c r="J16" i="79" s="1"/>
  <c r="J25" i="79" s="1"/>
  <c r="F63" i="15"/>
  <c r="C62" i="15" s="1"/>
  <c r="C34" i="15"/>
  <c r="J20" i="15"/>
  <c r="R16" i="1"/>
  <c r="C41" i="68"/>
  <c r="C46" i="68"/>
  <c r="C45" i="68" s="1"/>
  <c r="K63" i="40"/>
  <c r="J65" i="40"/>
  <c r="K70" i="39"/>
  <c r="C56" i="11"/>
  <c r="C57" i="11" s="1"/>
  <c r="L51" i="79"/>
  <c r="Q67" i="79" l="1"/>
  <c r="C80" i="79"/>
  <c r="C79" i="79" s="1"/>
  <c r="Q69" i="79"/>
  <c r="Q68"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79"/>
  <c r="F41" i="79"/>
  <c r="M27" i="67"/>
  <c r="F41" i="67"/>
  <c r="M27" i="15"/>
  <c r="F41" i="15"/>
  <c r="J26" i="79" l="1"/>
  <c r="J29" i="79" s="1"/>
  <c r="C40" i="79"/>
  <c r="C83" i="79" s="1"/>
  <c r="C82" i="79" s="1"/>
  <c r="F69" i="79"/>
  <c r="C68" i="79" s="1"/>
  <c r="C71" i="79" s="1"/>
  <c r="C43" i="79"/>
  <c r="J26" i="15"/>
  <c r="J29" i="15" s="1"/>
  <c r="J26" i="67"/>
  <c r="J29" i="67" s="1"/>
  <c r="C58" i="15"/>
  <c r="C67" i="15" s="1"/>
  <c r="F69" i="15"/>
  <c r="C40" i="15"/>
  <c r="C43" i="15" s="1"/>
  <c r="L46" i="15"/>
  <c r="Q57" i="15"/>
  <c r="Q66" i="15"/>
  <c r="F69" i="67"/>
  <c r="C68" i="67" s="1"/>
  <c r="C71" i="67" s="1"/>
  <c r="C40" i="67"/>
  <c r="C83" i="67" s="1"/>
  <c r="C82" i="67" s="1"/>
  <c r="C46" i="79" l="1"/>
  <c r="Q47" i="79"/>
  <c r="Q53" i="79" s="1"/>
  <c r="Q56" i="79"/>
  <c r="Q62" i="79" s="1"/>
  <c r="B2" i="79"/>
  <c r="B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3" i="67"/>
  <c r="D2" i="37"/>
  <c r="F20" i="31"/>
  <c r="D2" i="36"/>
  <c r="D2" i="33"/>
  <c r="D2" i="34"/>
  <c r="D2" i="21"/>
  <c r="D2" i="35"/>
  <c r="E2" i="68"/>
  <c r="B20" i="31" l="1"/>
  <c r="B2" i="36"/>
  <c r="B3" i="36" s="1"/>
  <c r="B2" i="35"/>
  <c r="B3" i="35" s="1"/>
  <c r="B2" i="37"/>
  <c r="B3" i="37" s="1"/>
  <c r="B2" i="34"/>
  <c r="B3" i="34" s="1"/>
  <c r="B2" i="21"/>
  <c r="B3" i="21" s="1"/>
  <c r="B2" i="70"/>
  <c r="D19" i="9"/>
  <c r="B3" i="70" l="1"/>
  <c r="D102" i="9"/>
  <c r="D21" i="9"/>
  <c r="D20" i="9"/>
  <c r="D103" i="9" l="1"/>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C57" i="68" s="1"/>
  <c r="C56" i="68" s="1"/>
  <c r="D8" i="74"/>
  <c r="C8" i="74"/>
  <c r="B2" i="68" l="1"/>
  <c r="B3" i="68" s="1"/>
  <c r="C19" i="9"/>
  <c r="C20" i="9"/>
  <c r="C21" i="9" l="1"/>
  <c r="D22" i="9"/>
  <c r="C102" i="9"/>
  <c r="G19" i="9"/>
  <c r="C9" i="80" s="1"/>
  <c r="C10" i="80" s="1"/>
  <c r="E10" i="80" s="1"/>
  <c r="C103" i="9"/>
  <c r="G20" i="9"/>
  <c r="C32" i="9" l="1"/>
  <c r="H118" i="9" s="1"/>
  <c r="G21" i="9"/>
  <c r="C35" i="9"/>
  <c r="F118" i="9" s="1"/>
  <c r="E9" i="80"/>
  <c r="C11" i="80"/>
  <c r="C34" i="9" l="1"/>
  <c r="D118" i="9" s="1"/>
  <c r="C104" i="9"/>
  <c r="H101" i="9"/>
  <c r="H107" i="9" s="1"/>
  <c r="H119" i="9"/>
  <c r="H5" i="52" s="1"/>
  <c r="H4" i="52"/>
  <c r="I118" i="9"/>
  <c r="D14" i="74"/>
  <c r="G118" i="9"/>
  <c r="G4" i="52" s="1"/>
  <c r="B52" i="72" s="1"/>
  <c r="F119" i="9"/>
  <c r="F5" i="52" s="1"/>
  <c r="B53" i="72" s="1"/>
  <c r="F4" i="52"/>
  <c r="B51" i="72" s="1"/>
  <c r="H108" i="9" l="1"/>
  <c r="D15" i="53" s="1"/>
  <c r="B31" i="72" s="1"/>
  <c r="D13" i="53"/>
  <c r="D122" i="9"/>
  <c r="C105" i="9"/>
  <c r="I4" i="52"/>
  <c r="H102" i="9"/>
  <c r="D7" i="53" s="1"/>
  <c r="B21" i="72" s="1"/>
  <c r="E118" i="9"/>
  <c r="E4" i="52" s="1"/>
  <c r="B48" i="72" s="1"/>
  <c r="B5" i="74"/>
  <c r="E14" i="74"/>
  <c r="F14" i="74"/>
  <c r="H109" i="9"/>
  <c r="M48" i="9"/>
  <c r="D45" i="9"/>
  <c r="D5" i="53"/>
  <c r="D119" i="9"/>
  <c r="D5" i="52" s="1"/>
  <c r="B49" i="72" s="1"/>
  <c r="D4" i="52"/>
  <c r="B47" i="72" s="1"/>
  <c r="D14" i="53" l="1"/>
  <c r="B32" i="72" s="1"/>
  <c r="B30" i="72"/>
  <c r="G14" i="74"/>
  <c r="B6" i="74" s="1"/>
  <c r="D8" i="52"/>
  <c r="D123" i="9"/>
  <c r="D9" i="52" s="1"/>
  <c r="M49" i="9"/>
  <c r="D16" i="53"/>
  <c r="D124" i="9"/>
  <c r="H110" i="9"/>
  <c r="D18" i="53" s="1"/>
  <c r="B35" i="72" s="1"/>
  <c r="D53" i="9"/>
  <c r="C93" i="9"/>
  <c r="C86" i="9" s="1"/>
  <c r="C78" i="9"/>
  <c r="C73" i="9" s="1"/>
  <c r="C72" i="9"/>
  <c r="C64" i="9"/>
  <c r="C63" i="9" s="1"/>
  <c r="C67" i="9" s="1"/>
  <c r="C68" i="9" s="1"/>
  <c r="D54" i="9" s="1"/>
  <c r="D52" i="9"/>
  <c r="C85" i="9"/>
  <c r="D55" i="9"/>
  <c r="M53" i="9" s="1"/>
  <c r="B20" i="72"/>
  <c r="D6" i="53"/>
  <c r="B22" i="72" s="1"/>
  <c r="D5" i="74"/>
  <c r="C5" i="74"/>
  <c r="AD3" i="71"/>
  <c r="P21" i="43" s="1"/>
  <c r="C79" i="9" l="1"/>
  <c r="C6" i="74"/>
  <c r="D6" i="74"/>
  <c r="C95" i="9"/>
  <c r="C80" i="9"/>
  <c r="E80" i="9" s="1"/>
  <c r="E81" i="9" s="1"/>
  <c r="D17" i="53"/>
  <c r="B36" i="72" s="1"/>
  <c r="B34" i="72"/>
  <c r="C96" i="9"/>
  <c r="E96" i="9" s="1"/>
  <c r="E97" i="9" s="1"/>
  <c r="D10" i="52"/>
  <c r="H14" i="74"/>
  <c r="B7" i="74" s="1"/>
  <c r="D125" i="9"/>
  <c r="D11" i="52" s="1"/>
  <c r="L68" i="9"/>
  <c r="M68" i="9" s="1"/>
  <c r="L64" i="9"/>
  <c r="M64" i="9" s="1"/>
  <c r="L65" i="9"/>
  <c r="M65" i="9" s="1"/>
  <c r="L67" i="9"/>
  <c r="M67" i="9" s="1"/>
  <c r="L63" i="9"/>
  <c r="M63" i="9" s="1"/>
  <c r="L66" i="9"/>
  <c r="M66" i="9" s="1"/>
  <c r="P22" i="43"/>
  <c r="P23" i="43"/>
  <c r="B71" i="39" s="1"/>
  <c r="P24" i="43"/>
  <c r="B66" i="40" s="1"/>
  <c r="P25" i="43"/>
  <c r="M69" i="9" l="1"/>
  <c r="N69" i="9" s="1"/>
  <c r="D7" i="74"/>
  <c r="C7" i="74"/>
  <c r="C97" i="9"/>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<sst xmlns="http://schemas.openxmlformats.org/spreadsheetml/2006/main" count="7893" uniqueCount="3143">
  <si>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</si>
  <si>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</si>
  <si>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</si>
  <si>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</si>
  <si>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</si>
  <si>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</si>
  <si>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</si>
  <si>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</si>
  <si>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</si>
  <si>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</si>
  <si>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</si>
  <si>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</si>
  <si>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</si>
  <si>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</si>
  <si>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</si>
  <si>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</si>
  <si>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</si>
  <si>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</si>
  <si>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</si>
  <si>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</si>
  <si>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</si>
  <si>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</si>
  <si>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</si>
  <si>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</si>
  <si>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</si>
  <si>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</si>
  <si>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</si>
  <si>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</si>
  <si>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</si>
  <si>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</si>
  <si>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</si>
  <si>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</si>
  <si>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</si>
  <si>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</si>
  <si>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</si>
  <si>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</si>
  <si>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</si>
  <si>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</si>
  <si>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</si>
  <si>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</si>
  <si>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</si>
  <si>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</si>
  <si>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</si>
  <si>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</si>
  <si>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</si>
  <si>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</si>
  <si>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</si>
  <si>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</si>
  <si>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</si>
  <si>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</si>
  <si>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</si>
  <si>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</si>
  <si>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</si>
  <si>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</si>
  <si>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</si>
  <si>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</si>
  <si>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</si>
  <si>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</si>
  <si>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</si>
  <si>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</si>
  <si>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</si>
  <si>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</si>
  <si>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</si>
  <si>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</si>
  <si>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</si>
  <si>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</si>
  <si>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</si>
  <si>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</si>
  <si>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</si>
  <si>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</si>
  <si>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</si>
  <si>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</si>
  <si>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</si>
  <si>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</si>
  <si>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</si>
  <si>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</si>
  <si>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</si>
  <si>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</si>
  <si>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</si>
  <si>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</si>
  <si>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</si>
  <si>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</si>
  <si>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</si>
  <si>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</si>
  <si>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</si>
  <si>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</si>
  <si>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</si>
  <si>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</si>
  <si>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</si>
  <si>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</si>
  <si>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</si>
  <si>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</si>
  <si>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</si>
  <si>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</si>
  <si>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</si>
  <si>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</si>
  <si>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</si>
  <si>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</si>
  <si>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</si>
  <si>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</si>
  <si>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</si>
  <si>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</si>
  <si>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</si>
  <si>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</si>
  <si>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</si>
  <si>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</si>
  <si>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</si>
  <si>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</si>
  <si>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</si>
  <si>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</si>
  <si>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</si>
  <si>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</si>
  <si>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</si>
  <si>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</si>
  <si>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</si>
  <si>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</si>
  <si>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</si>
  <si>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</si>
  <si>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</si>
  <si>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</si>
  <si>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</si>
  <si>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</si>
  <si>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</si>
  <si>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</si>
  <si>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</si>
  <si>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</si>
  <si>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</si>
  <si>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</si>
  <si>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</si>
  <si>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</si>
  <si>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</si>
  <si>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</si>
  <si>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</si>
  <si>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</si>
  <si>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</si>
  <si>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</si>
  <si>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</si>
  <si>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</si>
  <si>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</si>
  <si>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</si>
  <si>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</si>
  <si>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</si>
  <si>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</si>
  <si>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</si>
  <si>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</si>
  <si>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</si>
  <si>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</si>
  <si>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</si>
  <si>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</si>
  <si>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</si>
  <si>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</si>
  <si>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</si>
  <si>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</si>
  <si>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</si>
  <si>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</si>
  <si>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</si>
  <si>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</si>
  <si>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</si>
  <si>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</si>
  <si>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</si>
  <si>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</si>
  <si>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</si>
  <si>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</si>
  <si>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</si>
  <si>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</si>
  <si>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</si>
  <si>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</si>
  <si>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</si>
  <si>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</si>
  <si>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</si>
  <si>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</si>
  <si>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</si>
  <si>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</si>
  <si>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</si>
  <si>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</si>
  <si>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</si>
  <si>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</si>
  <si>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</si>
  <si>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</si>
  <si>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</si>
  <si>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</si>
  <si>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</si>
  <si>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</si>
  <si>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</si>
  <si>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</si>
  <si>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</si>
  <si>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</si>
  <si>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</si>
  <si>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</si>
  <si>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</si>
  <si>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</si>
  <si>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</si>
  <si>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</si>
  <si>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</si>
  <si>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</si>
  <si>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</si>
  <si>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</si>
  <si>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</si>
  <si>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</si>
  <si>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</si>
  <si>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</si>
  <si>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</si>
  <si>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</si>
  <si>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</si>
  <si>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</si>
  <si>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</si>
  <si>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</si>
  <si>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</si>
  <si>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</si>
  <si>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</si>
  <si>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</si>
  <si>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</si>
  <si>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</si>
  <si>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</si>
  <si>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</si>
  <si>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</si>
  <si>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</si>
  <si>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</si>
  <si>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</si>
  <si>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</si>
  <si>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</si>
  <si>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</si>
  <si>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</si>
  <si>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</si>
  <si>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</si>
  <si>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</si>
  <si>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</si>
  <si>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</si>
  <si>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</si>
  <si>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</si>
  <si>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</si>
  <si>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</si>
  <si>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</si>
  <si>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</si>
  <si>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</si>
  <si>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</si>
  <si>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</si>
  <si>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</si>
  <si>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</si>
  <si>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</si>
  <si>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</si>
  <si>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</si>
  <si>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</si>
  <si>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</si>
  <si>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</si>
  <si>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</si>
  <si>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</si>
  <si>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</si>
  <si>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</si>
  <si>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</si>
  <si>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</si>
  <si>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</si>
  <si>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</si>
  <si>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</si>
  <si>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</si>
  <si>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</si>
  <si>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</si>
  <si>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</si>
  <si>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</si>
  <si>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</si>
  <si>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</si>
  <si>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</si>
  <si>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</si>
  <si>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</si>
  <si>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</si>
  <si>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</si>
  <si>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</si>
  <si>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</si>
  <si>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</si>
  <si>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</si>
  <si>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</si>
  <si>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</si>
  <si>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</si>
  <si>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</si>
  <si>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</si>
  <si>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</si>
  <si>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</si>
  <si>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</si>
  <si>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</si>
  <si>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</si>
  <si>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</si>
  <si>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</si>
  <si>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</si>
  <si>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</si>
  <si>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</si>
  <si>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</si>
  <si>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</si>
  <si>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</si>
  <si>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</si>
  <si>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</si>
  <si>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</si>
  <si>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</si>
  <si>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</si>
  <si>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</si>
  <si>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</si>
  <si>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</si>
  <si>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</si>
  <si>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</si>
  <si>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</si>
  <si>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</si>
  <si>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</si>
  <si>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</si>
  <si>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</si>
  <si>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</si>
  <si>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</si>
  <si>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</si>
  <si>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</si>
  <si>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</si>
  <si>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</si>
  <si>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</si>
  <si>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</si>
  <si>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</si>
  <si>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</si>
  <si>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</si>
  <si>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</si>
  <si>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</si>
  <si>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</si>
  <si>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</si>
  <si>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</si>
  <si>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</si>
  <si>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</si>
  <si>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</si>
  <si>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</si>
  <si>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</si>
  <si>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</si>
  <si>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</si>
  <si>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</si>
  <si>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</si>
  <si>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</si>
  <si>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</si>
  <si>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</si>
  <si>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</si>
  <si>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</si>
  <si>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</si>
  <si>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</si>
  <si>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</si>
  <si>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</si>
  <si>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</si>
  <si>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</si>
  <si>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</si>
  <si>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</si>
  <si>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</si>
  <si>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</si>
  <si>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</si>
  <si>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</si>
  <si>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</si>
  <si>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</si>
  <si>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</si>
  <si>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</si>
  <si>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</si>
  <si>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</si>
  <si>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</si>
  <si>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</si>
  <si>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</si>
  <si>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</si>
  <si>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</si>
  <si>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</si>
  <si>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</si>
  <si>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</si>
  <si>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</si>
  <si>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</si>
  <si>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</si>
  <si>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</si>
  <si>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</si>
  <si>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</si>
  <si>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</si>
  <si>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</si>
  <si>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</si>
  <si>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</si>
  <si>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</si>
  <si>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</si>
  <si>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</si>
  <si>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</si>
  <si>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</si>
  <si>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</si>
  <si>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</si>
  <si>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</si>
  <si>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</si>
  <si>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</si>
  <si>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</si>
  <si>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</si>
  <si>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</si>
  <si>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</si>
  <si>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</si>
  <si>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</si>
  <si>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</si>
  <si>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</si>
  <si>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</si>
  <si>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</si>
  <si>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</si>
  <si>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</si>
  <si>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</si>
  <si>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</si>
  <si>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</si>
  <si>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</si>
  <si>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</si>
  <si>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</si>
  <si>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</si>
  <si>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</si>
  <si>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</si>
  <si>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</si>
  <si>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</si>
  <si>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</si>
  <si>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</si>
  <si>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</si>
  <si>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</si>
  <si>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</si>
  <si>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</si>
  <si>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</si>
  <si>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</si>
  <si>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</si>
  <si>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</si>
  <si>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</si>
  <si>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</si>
  <si>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</si>
  <si>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</si>
  <si>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</si>
  <si>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</si>
  <si>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</si>
  <si>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</si>
  <si>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</si>
  <si>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</si>
  <si>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</si>
  <si>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</si>
  <si>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</si>
  <si>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</si>
  <si>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</si>
  <si>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</si>
  <si>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</si>
  <si>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</si>
  <si>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</si>
  <si>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</si>
  <si>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</si>
  <si>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</si>
  <si>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</si>
  <si>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</si>
  <si>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</si>
  <si>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</si>
  <si>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</si>
  <si>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</si>
  <si>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</si>
  <si>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</si>
  <si>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</si>
  <si>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</si>
  <si>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</si>
  <si>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</si>
  <si>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</si>
  <si>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</si>
  <si>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</si>
  <si>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</si>
  <si>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</si>
  <si>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</si>
  <si>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</si>
  <si>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</si>
  <si>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</si>
  <si>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</si>
  <si>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</si>
  <si>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</si>
  <si>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</si>
  <si>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</si>
  <si>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</si>
  <si>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</si>
  <si>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</si>
  <si>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</si>
  <si>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</si>
  <si>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</si>
  <si>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</si>
  <si>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</si>
  <si>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</si>
  <si>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</si>
  <si>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</si>
  <si>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</si>
  <si>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</si>
  <si>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</si>
  <si>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</si>
  <si>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</si>
  <si>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</si>
  <si>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</si>
  <si>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</si>
  <si>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</si>
  <si>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</si>
  <si>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</si>
  <si>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</si>
  <si>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</si>
  <si>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</si>
  <si>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</si>
  <si>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</si>
  <si>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</si>
  <si>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</si>
  <si>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</si>
  <si>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</si>
  <si>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</si>
  <si>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</si>
  <si>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</si>
  <si>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</si>
  <si>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</si>
  <si>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</si>
  <si>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</si>
  <si>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</si>
  <si>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</si>
  <si>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</si>
  <si>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</si>
  <si>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</si>
  <si>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</si>
  <si>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</si>
  <si>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</si>
  <si>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</si>
  <si>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</si>
  <si>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</si>
  <si>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</si>
  <si>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</si>
  <si>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</si>
  <si>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</si>
  <si>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</si>
  <si>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</si>
  <si>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</si>
  <si>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</si>
  <si>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</si>
  <si>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</si>
  <si>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</si>
  <si>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</si>
  <si>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</si>
  <si>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</si>
  <si>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</si>
  <si>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</si>
  <si>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</si>
  <si>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</si>
  <si>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</si>
  <si>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</si>
  <si>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</si>
  <si>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</si>
  <si>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</si>
  <si>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</si>
  <si>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</si>
  <si>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</si>
  <si>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</si>
  <si>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</si>
  <si>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</si>
  <si>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</si>
  <si>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</si>
  <si>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</si>
  <si>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</si>
  <si>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</si>
  <si>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</si>
  <si>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</si>
  <si>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</si>
  <si>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</si>
  <si>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</si>
  <si>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</si>
  <si>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</si>
  <si>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</si>
  <si>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</si>
  <si>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</si>
  <si>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</si>
  <si>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</si>
  <si>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</si>
  <si>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</si>
  <si>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</si>
  <si>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</si>
  <si>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</si>
  <si>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</si>
  <si>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</si>
  <si>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</si>
  <si>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</si>
  <si>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</si>
  <si>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</si>
  <si>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</si>
  <si>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</si>
  <si>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</si>
  <si>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</si>
  <si>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</si>
  <si>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</si>
  <si>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</si>
  <si>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</si>
  <si>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</si>
  <si>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</si>
  <si>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</si>
  <si>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</si>
  <si>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</si>
  <si>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</si>
  <si>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</si>
  <si>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</si>
  <si>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</si>
  <si>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</si>
  <si>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</si>
  <si>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</si>
  <si>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</si>
  <si>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</si>
  <si>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</si>
  <si>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</si>
  <si>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</si>
  <si>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</si>
  <si>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</si>
  <si>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</si>
  <si>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</si>
  <si>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</si>
  <si>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</si>
  <si>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</si>
  <si>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</si>
  <si>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</si>
  <si>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</si>
  <si>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</si>
  <si>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</si>
  <si>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</si>
  <si>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</si>
  <si>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</si>
  <si>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</si>
  <si>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</si>
  <si>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</si>
  <si>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</si>
  <si>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</si>
  <si>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</si>
  <si>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</si>
  <si>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</si>
  <si>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</si>
  <si>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</si>
  <si>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</si>
  <si>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</si>
  <si>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</si>
  <si>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</si>
  <si>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</si>
  <si>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</si>
  <si>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</si>
  <si>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</si>
  <si>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</si>
  <si>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</si>
  <si>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</si>
  <si>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</si>
  <si>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</si>
  <si>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</si>
  <si>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</si>
  <si>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</si>
  <si>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</si>
  <si>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</si>
  <si>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</si>
  <si>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</si>
  <si>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</si>
  <si>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</si>
  <si>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</si>
  <si>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</si>
  <si>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</si>
  <si>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</si>
  <si>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</si>
  <si>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</si>
  <si>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</si>
  <si>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</si>
  <si>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</si>
  <si>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</si>
  <si>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</si>
  <si>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</si>
  <si>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</si>
  <si>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</si>
  <si>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</si>
  <si>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</si>
  <si>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</si>
  <si>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</si>
  <si>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</si>
  <si>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</si>
  <si>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</si>
  <si>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</si>
  <si>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</si>
  <si>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</si>
  <si>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</si>
  <si>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</si>
  <si>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</si>
  <si>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</si>
  <si>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</si>
  <si>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</si>
  <si>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</si>
  <si>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</si>
  <si>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</si>
  <si>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</si>
  <si>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</si>
  <si>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</si>
  <si>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</si>
  <si>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</si>
  <si>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</si>
  <si>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</si>
  <si>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</si>
  <si>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</si>
  <si>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</si>
  <si>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</si>
  <si>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</si>
  <si>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</si>
  <si>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</si>
  <si>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</si>
  <si>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</si>
  <si>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</si>
  <si>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</si>
  <si>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</si>
  <si>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</si>
  <si>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</si>
  <si>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</si>
  <si>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</si>
  <si>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</si>
  <si>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</si>
  <si>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</si>
  <si>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</si>
  <si>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</si>
  <si>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</si>
  <si>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</si>
  <si>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</si>
  <si>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</si>
  <si>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</si>
  <si>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</si>
  <si>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</si>
  <si>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</si>
  <si>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</si>
  <si>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</si>
  <si>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</si>
  <si>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</si>
  <si>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</si>
  <si>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</si>
  <si>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</si>
  <si>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</si>
  <si>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</si>
  <si>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</si>
  <si>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</si>
  <si>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</si>
  <si>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</si>
  <si>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</si>
  <si>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</si>
  <si>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</si>
  <si>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</si>
  <si>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</si>
  <si>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</si>
  <si>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</si>
  <si>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</si>
  <si>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</si>
  <si>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</si>
  <si>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</si>
  <si>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</si>
  <si>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</si>
  <si>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</si>
  <si>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</si>
  <si>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</si>
  <si>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</si>
  <si>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</si>
  <si>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</si>
  <si>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</si>
  <si>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</si>
  <si>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</si>
  <si>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</si>
  <si>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</si>
  <si>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</si>
  <si>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</si>
  <si>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</si>
  <si>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</si>
  <si>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</si>
  <si>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</si>
  <si>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</si>
  <si>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</si>
  <si>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</si>
  <si>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</si>
  <si>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</si>
  <si>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</si>
  <si>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</si>
  <si>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</si>
  <si>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</si>
  <si>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</si>
  <si>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</si>
  <si>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</si>
  <si>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</si>
  <si>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</si>
  <si>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</si>
  <si>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</si>
  <si>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</si>
  <si>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</si>
  <si>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</si>
  <si>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</si>
  <si>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</si>
  <si>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</si>
  <si>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</si>
  <si>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</si>
  <si>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</si>
  <si>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</si>
  <si>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</si>
  <si>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</si>
  <si>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</si>
  <si>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</si>
  <si>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</si>
  <si>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</si>
  <si>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</si>
  <si>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</si>
  <si>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</si>
  <si>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</si>
  <si>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</si>
  <si>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</si>
  <si>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</si>
  <si>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</si>
  <si>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</si>
  <si>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</si>
  <si>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</si>
  <si>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</si>
  <si>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</si>
  <si>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</si>
  <si>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</si>
  <si>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</si>
  <si>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</si>
  <si>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</si>
  <si>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</si>
  <si>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</si>
  <si>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</si>
  <si>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</si>
  <si>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</si>
  <si>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</si>
  <si>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</si>
  <si>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</si>
  <si>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</si>
  <si>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</si>
  <si>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</si>
  <si>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</si>
  <si>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</si>
  <si>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</si>
  <si>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</si>
  <si>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</si>
  <si>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</si>
  <si>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</si>
  <si>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</si>
  <si>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</si>
  <si>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</si>
  <si>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</si>
  <si>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</si>
  <si>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</si>
  <si>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</si>
  <si>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</si>
  <si>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</si>
  <si>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</si>
  <si>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</si>
  <si>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</si>
  <si>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</si>
  <si>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</si>
  <si>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</si>
  <si>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</si>
  <si>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</si>
  <si>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</si>
  <si>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</si>
  <si>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</si>
  <si>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</si>
  <si>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</si>
  <si>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</si>
  <si>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</si>
  <si>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</si>
  <si>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</si>
  <si>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</si>
  <si>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</si>
  <si>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</si>
  <si>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</si>
  <si>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</si>
  <si>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</si>
  <si>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</si>
  <si>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</si>
  <si>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</si>
  <si>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</si>
  <si>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</si>
  <si>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</si>
  <si>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</si>
  <si>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</si>
  <si>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</si>
  <si>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</si>
  <si>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</si>
  <si>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</si>
  <si>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</si>
  <si>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</si>
  <si>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</si>
  <si>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</si>
  <si>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</si>
  <si>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</si>
  <si>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</si>
  <si>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</si>
  <si>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</si>
  <si>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</si>
  <si>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</si>
  <si>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</si>
  <si>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</si>
  <si>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</si>
  <si>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</si>
  <si>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</si>
  <si>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</si>
  <si>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</si>
  <si>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</si>
  <si>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</si>
  <si>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</si>
  <si>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</si>
  <si>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</si>
  <si>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</si>
  <si>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</si>
  <si>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</si>
  <si>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</si>
  <si>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</si>
  <si>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</si>
  <si>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</si>
  <si>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</si>
  <si>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</si>
  <si>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</si>
  <si>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</si>
  <si>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</si>
  <si>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</si>
  <si>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</si>
  <si>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</si>
  <si>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</si>
  <si>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</si>
  <si>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</si>
  <si>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</si>
  <si>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</si>
  <si>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</si>
  <si>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</si>
  <si>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</si>
  <si>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</si>
  <si>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</si>
  <si>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</si>
  <si>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</si>
  <si>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</si>
  <si>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</si>
  <si>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</si>
  <si>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</si>
  <si>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</si>
  <si>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</si>
  <si>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</si>
  <si>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</si>
  <si>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</si>
  <si>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</si>
  <si>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</si>
  <si>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</si>
  <si>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</si>
  <si>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</si>
  <si>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</si>
  <si>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</si>
  <si>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</si>
  <si>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</si>
  <si>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</si>
  <si>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</si>
  <si>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</si>
  <si>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</si>
  <si>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</si>
  <si>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</si>
  <si>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</si>
  <si>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</si>
  <si>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</si>
  <si>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</si>
  <si>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</si>
  <si>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</si>
  <si>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</si>
  <si>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</si>
  <si>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</si>
  <si>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</si>
  <si>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</si>
  <si>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</si>
  <si>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</si>
  <si>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</si>
  <si>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</si>
  <si>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</si>
  <si>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</si>
  <si>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</si>
  <si>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</si>
  <si>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</si>
  <si>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</si>
  <si>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</si>
  <si>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</si>
  <si>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</si>
  <si>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</si>
  <si>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</si>
  <si>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</si>
  <si>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</si>
  <si>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</si>
  <si>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</si>
  <si>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</si>
  <si>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</si>
  <si>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</si>
  <si>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</si>
  <si>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</si>
  <si>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</si>
  <si>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</si>
  <si>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</si>
  <si>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</si>
  <si>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</si>
  <si>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</si>
  <si>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</si>
  <si>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</si>
  <si>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</si>
  <si>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</si>
  <si>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</si>
  <si>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</si>
  <si>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</si>
  <si>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</si>
  <si>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</si>
  <si>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</si>
  <si>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</si>
  <si>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</si>
  <si>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</si>
  <si>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</si>
  <si>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</si>
  <si>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</si>
  <si>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</si>
  <si>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</si>
  <si>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</si>
  <si>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</si>
  <si>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</si>
  <si>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</si>
  <si>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</si>
  <si>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</si>
  <si>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</si>
  <si>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</si>
  <si>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</si>
  <si>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</si>
  <si>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</si>
  <si>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</si>
  <si>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</si>
  <si>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</si>
  <si>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</si>
  <si>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</si>
  <si>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</si>
  <si>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</si>
  <si>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</si>
  <si>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</si>
  <si>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</si>
  <si>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</si>
  <si>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</si>
  <si>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</si>
  <si>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</si>
  <si>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</si>
  <si>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</si>
  <si>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</si>
  <si>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</si>
  <si>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</si>
  <si>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</si>
  <si>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</si>
  <si>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</si>
  <si>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</si>
  <si>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</si>
  <si>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</si>
  <si>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</si>
  <si>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</si>
  <si>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</si>
  <si>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</si>
  <si>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</si>
  <si>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</si>
  <si>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</si>
  <si>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</si>
  <si>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</si>
  <si>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</si>
  <si>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</si>
  <si>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</si>
  <si>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</si>
  <si>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</si>
  <si>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</si>
  <si>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</si>
  <si>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</si>
  <si>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</si>
  <si>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</si>
  <si>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</si>
  <si>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</si>
  <si>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</si>
  <si>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</si>
  <si>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</si>
  <si>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</si>
  <si>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</si>
  <si>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</si>
  <si>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</si>
  <si>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</si>
  <si>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</si>
  <si>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</si>
  <si>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</si>
  <si>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</si>
  <si>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</si>
  <si>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</si>
  <si>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</si>
  <si>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</si>
  <si>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</si>
  <si>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</si>
  <si>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</si>
  <si>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</si>
  <si>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</si>
  <si>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</si>
  <si>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</si>
  <si>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</si>
  <si>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</si>
  <si>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</si>
  <si>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</si>
  <si>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</si>
  <si>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</si>
  <si>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</si>
  <si>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</si>
  <si>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</si>
  <si>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</si>
  <si>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</si>
  <si>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</si>
  <si>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</si>
  <si>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</si>
  <si>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</si>
  <si>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</si>
  <si>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</si>
  <si>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</si>
  <si>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</si>
  <si>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</si>
  <si>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</si>
  <si>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</si>
  <si>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</si>
  <si>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</si>
  <si>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</si>
  <si>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</si>
  <si>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</si>
  <si>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</si>
  <si>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</si>
  <si>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</si>
  <si>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</si>
  <si>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</si>
  <si>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</si>
  <si>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</si>
  <si>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</si>
  <si>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</si>
  <si>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</si>
  <si>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</si>
  <si>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</si>
  <si>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</si>
  <si>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</si>
  <si>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</si>
  <si>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</si>
  <si>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</si>
  <si>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</si>
  <si>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</si>
  <si>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</si>
  <si>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</si>
  <si>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</si>
  <si>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</si>
  <si>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</si>
  <si>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</si>
  <si>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</si>
  <si>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</si>
  <si>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</si>
  <si>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</si>
  <si>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</si>
  <si>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</si>
  <si>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</si>
  <si>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</si>
  <si>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</si>
  <si>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</si>
  <si>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</si>
  <si>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</si>
  <si>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</si>
  <si>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</si>
  <si>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</si>
  <si>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</si>
  <si>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</si>
  <si>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</si>
  <si>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</si>
  <si>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</si>
  <si>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</si>
  <si>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</si>
  <si>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</si>
  <si>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</si>
  <si>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</si>
  <si>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</si>
  <si>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</si>
  <si>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</si>
  <si>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</si>
  <si>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</si>
  <si>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</si>
  <si>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</si>
  <si>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</si>
  <si>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</si>
  <si>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</si>
  <si>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</si>
  <si>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</si>
  <si>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</si>
  <si>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</si>
  <si>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</si>
  <si>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</si>
  <si>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</si>
  <si>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</si>
  <si>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</si>
  <si>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</si>
  <si>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</si>
  <si>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</si>
  <si>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</si>
  <si>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</si>
  <si>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</si>
  <si>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</si>
  <si>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</si>
  <si>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</si>
  <si>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</si>
  <si>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</si>
  <si>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</si>
  <si>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</si>
  <si>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</si>
  <si>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</si>
  <si>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</si>
  <si>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</si>
  <si>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</si>
  <si>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</si>
  <si>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</si>
  <si>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</si>
  <si>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</si>
  <si>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</si>
  <si>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</si>
  <si>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</si>
  <si>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</si>
  <si>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</si>
  <si>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</si>
  <si>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</si>
  <si>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</si>
  <si>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</si>
  <si>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</si>
  <si>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</si>
  <si>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</si>
  <si>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</si>
  <si>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</si>
  <si>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</si>
  <si>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</si>
  <si>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</si>
  <si>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</si>
  <si>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</si>
  <si>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</si>
  <si>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</si>
  <si>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</si>
  <si>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</si>
  <si>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</si>
  <si>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</si>
  <si>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</si>
  <si>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</si>
  <si>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</si>
  <si>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</si>
  <si>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</si>
  <si>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</si>
  <si>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</si>
  <si>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</si>
  <si>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</si>
  <si>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</si>
  <si>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</si>
  <si>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</si>
  <si>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</si>
  <si>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</si>
  <si>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</si>
  <si>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</si>
  <si>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</si>
  <si>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</si>
  <si>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</si>
  <si>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</si>
  <si>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</si>
  <si>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</si>
  <si>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</si>
  <si>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</si>
  <si>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</si>
  <si>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</si>
  <si>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</si>
  <si>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</si>
  <si>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</si>
  <si>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</si>
  <si>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</si>
  <si>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</si>
  <si>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</si>
  <si>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</si>
  <si>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</si>
  <si>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</si>
  <si>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</si>
  <si>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</si>
  <si>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</si>
  <si>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</si>
  <si>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</si>
  <si>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</si>
  <si>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</si>
  <si>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</si>
  <si>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</si>
  <si>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</si>
  <si>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</si>
  <si>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</si>
  <si>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</si>
  <si>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</si>
  <si>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</si>
  <si>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</si>
  <si>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</si>
  <si>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</si>
  <si>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</si>
  <si>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</si>
  <si>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</si>
  <si>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</si>
  <si>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</si>
  <si>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</si>
  <si>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</si>
  <si>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</si>
  <si>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</si>
  <si>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</si>
  <si>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</si>
  <si>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</si>
  <si>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</si>
  <si>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</si>
  <si>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</si>
  <si>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</si>
  <si>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</si>
  <si>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</si>
  <si>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</si>
  <si>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</si>
  <si>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</si>
  <si>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</si>
  <si>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</si>
  <si>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</si>
  <si>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</si>
  <si>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</si>
  <si>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</si>
  <si>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</si>
  <si>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</si>
  <si>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</si>
  <si>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</si>
  <si>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</si>
  <si>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</si>
  <si>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</si>
  <si>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</si>
  <si>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</si>
  <si>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</si>
  <si>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</si>
  <si>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</si>
  <si>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</si>
  <si>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</si>
  <si>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</si>
  <si>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</si>
  <si>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</si>
  <si>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</si>
  <si>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</si>
  <si>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</si>
  <si>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</si>
  <si>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</si>
  <si>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</si>
  <si>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</si>
  <si>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</si>
  <si>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</si>
  <si>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</si>
  <si>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</si>
  <si>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</si>
  <si>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</si>
  <si>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</si>
  <si>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</si>
  <si>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</si>
  <si>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</si>
  <si>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</si>
  <si>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</si>
  <si>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</si>
  <si>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</si>
  <si>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</si>
  <si>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</si>
  <si>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</si>
  <si>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</si>
  <si>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</si>
  <si>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</si>
  <si>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</si>
  <si>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</si>
  <si>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</si>
  <si>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</si>
  <si>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</si>
  <si>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</si>
  <si>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</si>
  <si>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</si>
  <si>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</si>
  <si>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</si>
  <si>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</si>
  <si>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</si>
  <si>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</si>
  <si>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</si>
  <si>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</si>
  <si>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</si>
  <si>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</si>
  <si>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</si>
  <si>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</si>
  <si>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</si>
  <si>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</si>
  <si>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</si>
  <si>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</si>
  <si>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</si>
  <si>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</si>
  <si>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</si>
  <si>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</si>
  <si>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</si>
  <si>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</si>
  <si>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</si>
  <si>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</si>
  <si>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</si>
  <si>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</si>
  <si>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</si>
  <si>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</si>
  <si>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</si>
  <si>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</si>
  <si>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</si>
  <si>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</si>
  <si>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</si>
  <si>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</si>
  <si>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</si>
  <si>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</si>
  <si>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</si>
  <si>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</si>
  <si>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</si>
  <si>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</si>
  <si>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</si>
  <si>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</si>
  <si>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</si>
  <si>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</si>
  <si>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</si>
  <si>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</si>
  <si>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</si>
  <si>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</si>
  <si>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</si>
  <si>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</si>
  <si>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</si>
  <si>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</si>
  <si>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</si>
  <si>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</si>
  <si>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</si>
  <si>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</si>
  <si>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</si>
  <si>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</si>
  <si>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</si>
  <si>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</si>
  <si>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</si>
  <si>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</si>
  <si>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</si>
  <si>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</si>
  <si>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</si>
  <si>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</si>
  <si>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</si>
  <si>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</si>
  <si>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</si>
  <si>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</si>
  <si>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</si>
  <si>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</si>
  <si>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</si>
  <si>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</si>
  <si>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</si>
  <si>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</si>
  <si>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</si>
  <si>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</si>
  <si>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</si>
  <si>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</si>
  <si>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</si>
  <si>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</si>
  <si>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</si>
  <si>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</si>
  <si>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</si>
  <si>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</si>
  <si>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</si>
  <si>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</si>
  <si>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</si>
  <si>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</si>
  <si>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</si>
  <si>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</si>
  <si>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</si>
  <si>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</si>
  <si>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</si>
  <si>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</si>
  <si>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</si>
  <si>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</si>
  <si>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</si>
  <si>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</si>
  <si>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</si>
  <si>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</si>
  <si>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</si>
  <si>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</si>
  <si>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</si>
  <si>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</si>
  <si>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</si>
  <si>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</si>
  <si>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</si>
  <si>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</si>
  <si>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</si>
  <si>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</si>
  <si>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</si>
  <si>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</si>
  <si>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</si>
  <si>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</si>
  <si>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</si>
  <si>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</si>
  <si>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</si>
  <si>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</si>
  <si>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</si>
  <si>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</si>
  <si>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</si>
  <si>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</si>
  <si>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</si>
  <si>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</si>
  <si>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</si>
  <si>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</si>
  <si>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</si>
  <si>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</si>
  <si>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</si>
  <si>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</si>
  <si>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</si>
  <si>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</si>
  <si>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</si>
  <si>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</si>
  <si>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</si>
  <si>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</si>
  <si>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</si>
  <si>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</si>
  <si>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</si>
  <si>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</si>
  <si>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</si>
  <si>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</si>
  <si>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</si>
  <si>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</si>
  <si>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</si>
  <si>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</si>
  <si>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</si>
  <si>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</si>
  <si>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</si>
  <si>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</si>
  <si>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</si>
  <si>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</si>
  <si>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</si>
  <si>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</si>
  <si>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</si>
  <si>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</si>
  <si>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</si>
  <si>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</si>
  <si>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</si>
  <si>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</si>
  <si>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</si>
  <si>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</si>
  <si>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</si>
  <si>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</si>
  <si>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</si>
  <si>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</si>
  <si>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</si>
  <si>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</si>
  <si>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</si>
  <si>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</si>
  <si>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</si>
  <si>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</si>
  <si>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</si>
  <si>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</si>
  <si>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</si>
  <si>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</si>
  <si>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</si>
  <si>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</si>
  <si>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</si>
  <si>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</si>
  <si>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</si>
  <si>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</si>
  <si>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</si>
  <si>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</si>
  <si>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</si>
  <si>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</si>
  <si>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</si>
  <si>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</si>
  <si>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</si>
  <si>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</si>
  <si>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</si>
  <si>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</si>
  <si>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</si>
  <si>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</si>
  <si>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</si>
  <si>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</si>
  <si>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</si>
  <si>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</si>
  <si>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</si>
  <si>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</si>
  <si>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</si>
  <si>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</si>
  <si>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</si>
  <si>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</si>
  <si>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</si>
  <si>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</si>
  <si>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</si>
  <si>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</si>
  <si>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</si>
  <si>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</si>
  <si>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</si>
  <si>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</si>
  <si>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</si>
  <si>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</si>
  <si>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</si>
  <si>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</si>
  <si>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</si>
  <si>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</si>
  <si>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</si>
  <si>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</si>
  <si>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</si>
  <si>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</si>
  <si>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</si>
  <si>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</si>
  <si>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</si>
  <si>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</si>
  <si>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</si>
  <si>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</si>
  <si>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</si>
  <si>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</si>
  <si>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</si>
  <si>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</si>
  <si>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</si>
  <si>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</si>
  <si>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</si>
  <si>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</si>
  <si>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</si>
  <si>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</si>
  <si>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</si>
  <si>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</si>
  <si>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</si>
  <si>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</si>
  <si>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</si>
  <si>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</si>
  <si>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</si>
  <si>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</si>
  <si>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</si>
  <si>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</si>
  <si>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</si>
  <si>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</si>
  <si>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</si>
  <si>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</si>
  <si>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</si>
  <si>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</si>
  <si>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</si>
  <si>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</si>
  <si>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</si>
  <si>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</si>
  <si>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</si>
  <si>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</si>
  <si>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</si>
  <si>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</si>
  <si>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</si>
  <si>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</si>
  <si>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</si>
  <si>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</si>
  <si>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</si>
  <si>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</si>
  <si>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</si>
  <si>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</si>
  <si>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</si>
  <si>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</si>
  <si>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</si>
  <si>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</si>
  <si>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</si>
  <si>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</si>
  <si>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</si>
  <si>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</si>
  <si>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</si>
  <si>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</si>
  <si>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</si>
  <si>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</si>
  <si>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</si>
  <si>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</si>
  <si>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</si>
  <si>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</si>
  <si>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</si>
  <si>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</si>
  <si>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</si>
  <si>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</si>
  <si>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</si>
  <si>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</si>
  <si>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</si>
  <si>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</si>
  <si>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</si>
  <si>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</si>
  <si>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</si>
  <si>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</si>
  <si>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</si>
  <si>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</si>
  <si>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</si>
  <si>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</si>
  <si>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</si>
  <si>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</si>
  <si>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</si>
  <si>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</si>
  <si>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</si>
  <si>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</si>
  <si>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</si>
  <si>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</si>
  <si>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</si>
  <si>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</si>
  <si>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</si>
  <si>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</si>
  <si>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</si>
  <si>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</si>
  <si>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</si>
  <si>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</si>
  <si>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</si>
  <si>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</si>
  <si>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</si>
  <si>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</si>
  <si>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</si>
  <si>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</si>
  <si>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</si>
  <si>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</si>
  <si>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</si>
  <si>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</si>
  <si>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</si>
  <si>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</si>
  <si>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</si>
  <si>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</si>
  <si>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</si>
  <si>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</si>
  <si>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</si>
  <si>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</si>
  <si>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</si>
  <si>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</si>
  <si>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</si>
  <si>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</si>
  <si>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</si>
  <si>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</si>
  <si>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</si>
  <si>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</si>
  <si>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</si>
  <si>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</si>
  <si>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</si>
  <si>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</si>
  <si>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</si>
  <si>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</si>
  <si>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</si>
  <si>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</si>
  <si>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</si>
  <si>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</si>
  <si>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</si>
  <si>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</si>
  <si>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</si>
  <si>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</si>
  <si>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</si>
  <si>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</si>
  <si>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</si>
  <si>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</si>
  <si>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</si>
  <si>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</si>
  <si>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</si>
  <si>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</si>
  <si>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</si>
  <si>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</si>
  <si>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</si>
  <si>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</si>
  <si>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</si>
  <si>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</si>
  <si>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</si>
  <si>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</si>
  <si>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</si>
  <si>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</si>
  <si>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</si>
  <si>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</si>
  <si>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</si>
  <si>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</si>
  <si>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</si>
  <si>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</si>
  <si>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</si>
  <si>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</si>
  <si>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</si>
  <si>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</si>
  <si>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</si>
  <si>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</si>
  <si>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</si>
  <si>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</si>
  <si>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</si>
  <si>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</si>
  <si>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</si>
  <si>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</si>
  <si>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</si>
  <si>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</si>
  <si>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</si>
  <si>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</si>
  <si>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</si>
  <si>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</si>
  <si>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</si>
  <si>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</si>
  <si>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</si>
  <si>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</si>
  <si>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</si>
  <si>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</si>
  <si>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</si>
  <si>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</si>
  <si>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</si>
  <si>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</si>
  <si>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</si>
  <si>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</si>
  <si>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</si>
  <si>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</si>
  <si>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</si>
  <si>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</si>
  <si>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</si>
  <si>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</si>
  <si>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</si>
  <si>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</si>
  <si>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</si>
  <si>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</si>
  <si>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</si>
  <si>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</si>
  <si>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</si>
  <si>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</si>
  <si>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</si>
  <si>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</si>
  <si>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</si>
  <si>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</si>
  <si>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</si>
  <si>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</si>
  <si>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</si>
  <si>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</si>
  <si>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</si>
  <si>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</si>
  <si>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</si>
  <si>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</si>
  <si>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</si>
  <si>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</si>
  <si>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</si>
  <si>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</si>
  <si>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</si>
  <si>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</si>
  <si>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</si>
  <si>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</si>
  <si>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</si>
  <si>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</si>
  <si>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</si>
  <si>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</si>
  <si>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</si>
  <si>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</si>
  <si>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</si>
  <si>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</si>
  <si>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</si>
  <si>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</si>
  <si>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</si>
  <si>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</si>
  <si>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</si>
  <si>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</si>
  <si>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</si>
  <si>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</si>
  <si>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</si>
  <si>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</si>
  <si>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</si>
  <si>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</si>
  <si>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</si>
  <si>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</si>
  <si>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</si>
  <si>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</si>
  <si>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</si>
  <si>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</si>
  <si>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</si>
  <si>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</si>
  <si>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</si>
  <si>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</si>
  <si>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</si>
  <si>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</si>
  <si>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</si>
  <si>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</si>
  <si>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</si>
  <si>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</si>
  <si>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</si>
  <si>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</si>
  <si>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</si>
  <si>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</si>
  <si>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</si>
  <si>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</si>
  <si>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</si>
  <si>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</si>
  <si>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</si>
  <si>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</si>
  <si>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</si>
  <si>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</si>
  <si>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</si>
  <si>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</si>
  <si>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</si>
  <si>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</si>
  <si>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</si>
  <si>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</si>
  <si>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</si>
  <si>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</si>
  <si>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</si>
  <si>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</si>
  <si>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</si>
  <si>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</si>
  <si>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</si>
  <si>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</si>
  <si>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</si>
  <si>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</si>
  <si>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</si>
  <si>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</si>
  <si>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</si>
  <si>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</si>
  <si>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</si>
  <si>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</si>
  <si>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</si>
  <si>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</si>
  <si>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</si>
  <si>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</si>
  <si>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</si>
  <si>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</si>
  <si>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</si>
  <si>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</si>
  <si>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</si>
  <si>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</si>
  <si>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</si>
  <si>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</si>
  <si>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</si>
  <si>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</si>
  <si>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</si>
  <si>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</si>
  <si>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</si>
  <si>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</si>
  <si>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</si>
  <si>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</si>
  <si>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</si>
  <si>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</si>
  <si>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</si>
  <si>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</si>
  <si>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</si>
  <si>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</si>
  <si>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</si>
  <si>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</si>
  <si>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</si>
  <si>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</si>
  <si>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</si>
  <si>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</si>
  <si>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</si>
  <si>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</si>
  <si>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</si>
  <si>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</si>
  <si>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</si>
  <si>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</si>
  <si>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</si>
  <si>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</si>
  <si>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</si>
  <si>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</si>
  <si>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</si>
  <si>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</si>
  <si>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</si>
  <si>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</si>
  <si>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</si>
  <si>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</si>
  <si>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</si>
  <si>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</si>
  <si>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</si>
  <si>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</si>
  <si>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</si>
  <si>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</si>
  <si>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</si>
  <si>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</si>
  <si>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</si>
  <si>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</si>
  <si>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</si>
  <si>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</si>
  <si>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</si>
  <si>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</si>
  <si>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</si>
  <si>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</si>
  <si>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</si>
  <si>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</si>
  <si>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</si>
  <si>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</si>
  <si>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</si>
  <si>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</si>
  <si>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</si>
  <si>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</si>
  <si>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</si>
  <si>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</si>
  <si>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</si>
  <si>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</si>
  <si>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</si>
  <si>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</si>
  <si>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</si>
  <si>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</si>
  <si>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</si>
  <si>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</si>
  <si>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</si>
  <si>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</si>
  <si>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</si>
  <si>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</si>
  <si>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</si>
  <si>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</si>
  <si>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</si>
  <si>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</si>
  <si>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</si>
  <si>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</si>
  <si>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</si>
  <si>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</si>
  <si>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</si>
  <si>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</si>
  <si>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</si>
  <si>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</si>
  <si>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</si>
  <si>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</si>
  <si>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</si>
  <si>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</si>
  <si>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</si>
  <si>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</si>
  <si>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</si>
  <si>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</si>
  <si>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</si>
  <si>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</si>
  <si>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</si>
  <si>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</si>
  <si>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</si>
  <si>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</si>
  <si>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</si>
  <si>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</si>
  <si>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</si>
  <si>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</si>
  <si>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</si>
  <si>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</si>
  <si>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</si>
  <si>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</si>
  <si>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</si>
  <si>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</si>
  <si>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</si>
  <si>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</si>
  <si>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</si>
  <si>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</si>
  <si>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</si>
  <si>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</si>
  <si>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</si>
  <si>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</si>
  <si>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</si>
  <si>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</si>
  <si>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</si>
  <si>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</si>
  <si>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</si>
  <si>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</si>
  <si>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</si>
  <si>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</si>
  <si>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</si>
  <si>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</si>
  <si>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</si>
  <si>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</si>
  <si>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</si>
  <si>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</si>
  <si>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</si>
  <si>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</si>
  <si>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</si>
  <si>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</si>
  <si>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</si>
  <si>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</si>
  <si>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</si>
  <si>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</si>
  <si>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</si>
  <si>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</si>
  <si>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</si>
  <si>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</si>
  <si>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</si>
  <si>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</si>
  <si>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</si>
  <si>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</si>
  <si>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</si>
  <si>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</si>
  <si>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</si>
  <si>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</si>
  <si>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</si>
  <si>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</si>
  <si>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</si>
  <si>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</si>
  <si>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</si>
  <si>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</si>
  <si>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</si>
  <si>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</si>
  <si>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</si>
  <si>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</si>
  <si>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</si>
  <si>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</si>
  <si>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</si>
  <si>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</si>
  <si>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</si>
  <si>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</si>
  <si>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</si>
  <si>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</si>
  <si>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</si>
  <si>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</si>
  <si>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</si>
  <si>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</si>
  <si>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</si>
  <si>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</si>
  <si>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</si>
  <si>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</si>
  <si>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</si>
  <si>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</si>
  <si>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</si>
  <si>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</si>
  <si>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</si>
  <si>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</si>
  <si>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</si>
  <si>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</si>
  <si>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</si>
  <si>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</si>
  <si>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</si>
  <si>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</si>
  <si>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</si>
  <si>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</si>
  <si>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</si>
  <si>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</si>
  <si>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</si>
  <si>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</si>
  <si>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</si>
  <si>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</si>
  <si>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</si>
  <si>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</si>
  <si>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</si>
  <si>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</si>
  <si>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</si>
  <si>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</si>
  <si>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</si>
  <si>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</si>
  <si>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</si>
  <si>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</si>
  <si>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</si>
  <si>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</si>
  <si>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</si>
  <si>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</si>
  <si>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</si>
  <si>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</si>
  <si>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</si>
  <si>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</si>
  <si>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</si>
  <si>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</si>
  <si>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</si>
  <si>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</si>
  <si>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</si>
  <si>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</si>
  <si>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</si>
  <si>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</si>
  <si>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</si>
  <si>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</si>
  <si>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</si>
  <si>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</si>
  <si>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</si>
  <si>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</si>
  <si>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</si>
  <si>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</si>
  <si>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</si>
  <si>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</si>
  <si>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</si>
  <si>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</si>
  <si>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</si>
  <si>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</si>
  <si>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</si>
  <si>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</si>
  <si>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</si>
  <si>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</si>
  <si>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</si>
  <si>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</si>
  <si>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</si>
  <si>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</si>
  <si>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</si>
  <si>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</si>
  <si>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</si>
  <si>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</si>
  <si>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</si>
  <si>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</si>
  <si>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</si>
  <si>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</si>
  <si>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</si>
  <si>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</si>
  <si>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</si>
  <si>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</si>
  <si>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</si>
  <si>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</si>
  <si>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</si>
  <si>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</si>
  <si>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</si>
  <si>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</si>
  <si>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</si>
  <si>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</si>
  <si>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</si>
  <si>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</si>
  <si>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</si>
  <si>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</si>
  <si>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</si>
  <si>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</si>
  <si>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</si>
  <si>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</si>
  <si>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</si>
  <si>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</si>
  <si>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</si>
  <si>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</si>
  <si>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</si>
  <si>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</si>
  <si>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</si>
  <si>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</si>
  <si>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</si>
  <si>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</si>
  <si>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</si>
  <si>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</si>
  <si>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</si>
  <si>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</si>
  <si>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</si>
  <si>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</si>
  <si>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</si>
  <si>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</si>
  <si>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</si>
  <si>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</si>
  <si>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</si>
  <si>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</si>
  <si>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</si>
  <si>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</si>
  <si>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</si>
  <si>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</si>
  <si>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</si>
  <si>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</si>
  <si>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</si>
  <si>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</si>
  <si>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</si>
  <si>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</si>
  <si>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</si>
  <si>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</si>
  <si>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</si>
  <si>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</si>
  <si>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</si>
  <si>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</si>
  <si>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</si>
  <si>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</si>
  <si>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</si>
  <si>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</si>
  <si>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</si>
  <si>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</si>
  <si>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</si>
  <si>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</si>
  <si>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</si>
  <si>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</si>
  <si>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</si>
  <si>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</si>
  <si>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</si>
  <si>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</si>
  <si>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</si>
  <si>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</si>
  <si>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</si>
  <si>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</si>
  <si>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</si>
  <si>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</si>
  <si>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</si>
  <si>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</si>
  <si>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</si>
  <si>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</si>
  <si>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</si>
  <si>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</si>
  <si>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</si>
  <si>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</si>
  <si>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</si>
  <si>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</si>
  <si>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</si>
  <si>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</si>
  <si>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</si>
  <si>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</si>
  <si>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</si>
  <si>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</si>
  <si>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</si>
  <si>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</si>
  <si>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</si>
  <si>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</si>
  <si>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</si>
  <si>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</si>
  <si>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</si>
  <si>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</si>
  <si>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</si>
  <si>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</si>
  <si>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</si>
  <si>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</si>
  <si>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</si>
  <si>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</si>
  <si>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</si>
  <si>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</si>
  <si>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</si>
  <si>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</si>
  <si>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</si>
  <si>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</si>
  <si>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</si>
  <si>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</si>
  <si>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</si>
  <si>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</si>
  <si>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</si>
  <si>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</si>
  <si>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</si>
  <si>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</si>
  <si>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</si>
  <si>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</si>
  <si>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</si>
  <si>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</si>
  <si>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</si>
  <si>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</si>
  <si>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</si>
  <si>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</si>
  <si>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</si>
  <si>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</si>
  <si>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</si>
  <si>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</si>
  <si>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</si>
  <si>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</si>
  <si>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</si>
  <si>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</si>
  <si>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</si>
  <si>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</si>
  <si>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</si>
  <si>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</si>
  <si>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</si>
  <si>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</si>
  <si>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</si>
  <si>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</si>
  <si>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</si>
  <si>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</si>
  <si>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</si>
  <si>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</si>
  <si>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</si>
  <si>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</si>
  <si>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</si>
  <si>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</si>
  <si>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</si>
  <si>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</si>
  <si>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</si>
  <si>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</si>
  <si>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</si>
  <si>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</si>
  <si>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</si>
  <si>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</si>
  <si>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</si>
  <si>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</si>
  <si>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</si>
  <si>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</si>
  <si>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</si>
  <si>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</si>
  <si>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</si>
  <si>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</si>
  <si>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</si>
  <si>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</si>
  <si>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</si>
  <si>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</si>
  <si>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</si>
  <si>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</si>
  <si>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</si>
  <si>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</si>
  <si>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</si>
  <si>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</si>
  <si>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</si>
  <si>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</si>
  <si>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</si>
  <si>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</si>
  <si>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</si>
  <si>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</si>
  <si>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</si>
  <si>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</si>
  <si>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</si>
  <si>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</si>
  <si>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</si>
  <si>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</si>
  <si>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</si>
  <si>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</si>
  <si>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</si>
  <si>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</si>
  <si>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</si>
  <si>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</si>
  <si>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</si>
  <si>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</si>
  <si>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</si>
  <si>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</si>
  <si>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</si>
  <si>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</si>
  <si>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</si>
  <si>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</si>
  <si>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</si>
  <si>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</si>
  <si>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</si>
  <si>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</si>
  <si>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</si>
  <si>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</si>
  <si>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</si>
  <si>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</si>
  <si>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</si>
  <si>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</si>
  <si>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</si>
  <si>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</si>
  <si>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</si>
  <si>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</si>
  <si>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</si>
  <si>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</si>
  <si>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</si>
  <si>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</si>
  <si>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</si>
  <si>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</si>
  <si>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</si>
  <si>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</si>
  <si>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</si>
  <si>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</si>
  <si>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</si>
  <si>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</si>
  <si>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</si>
  <si>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</si>
  <si>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</si>
  <si>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</si>
  <si>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</si>
  <si>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</si>
  <si>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</si>
  <si>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</si>
  <si>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</si>
  <si>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</si>
  <si>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</si>
  <si>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</si>
  <si>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</si>
  <si>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</si>
  <si>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</si>
  <si>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</si>
  <si>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</si>
  <si>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</si>
  <si>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</si>
  <si>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</si>
  <si>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</si>
  <si>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</si>
  <si>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</si>
  <si>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</si>
  <si>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</si>
  <si>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</si>
  <si>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</si>
  <si>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</si>
  <si>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</si>
  <si>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</si>
  <si>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</si>
  <si>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</si>
  <si>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</si>
  <si>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</si>
  <si>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</si>
  <si>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</si>
  <si>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</si>
  <si>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</si>
  <si>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</si>
  <si>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</si>
  <si>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</si>
  <si>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</si>
  <si>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</si>
  <si>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</si>
  <si>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</si>
  <si>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</si>
  <si>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</si>
  <si>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</si>
  <si>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</si>
  <si>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</si>
  <si>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</si>
  <si>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</si>
  <si>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</si>
  <si>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</si>
  <si>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</si>
  <si>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</si>
  <si>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</si>
  <si>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</si>
  <si>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</si>
  <si>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</si>
  <si>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</si>
  <si>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</si>
  <si>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</si>
  <si>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</si>
  <si>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</si>
  <si>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</si>
  <si>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</si>
  <si>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</si>
  <si>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</si>
  <si>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</si>
  <si>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</si>
  <si>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</si>
  <si>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</si>
  <si>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</si>
  <si>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</si>
  <si>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</si>
  <si>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</si>
  <si>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</si>
  <si>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</si>
  <si>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</si>
  <si>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</si>
  <si>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</si>
  <si>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</si>
  <si>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</si>
  <si>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</si>
  <si>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</si>
  <si>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</si>
  <si>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</si>
  <si>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</si>
  <si>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</si>
  <si>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</si>
  <si>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</si>
  <si>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</si>
  <si>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</si>
  <si>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</si>
  <si>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</si>
  <si>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</si>
  <si>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</si>
  <si>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</si>
  <si>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</si>
  <si>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</si>
  <si>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</si>
  <si>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</si>
  <si>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</si>
  <si>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</si>
  <si>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</si>
  <si>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</si>
  <si>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</si>
  <si>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</si>
  <si>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</si>
  <si>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</si>
  <si>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</si>
  <si>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</si>
  <si>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</si>
  <si>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</si>
  <si>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</si>
  <si>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</si>
  <si>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</si>
  <si>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</si>
  <si>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</si>
  <si>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</si>
  <si>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</si>
  <si>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</si>
  <si>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</si>
  <si>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</si>
  <si>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</si>
  <si>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</si>
  <si>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</si>
  <si>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</si>
  <si>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</si>
  <si>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</si>
  <si>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</si>
  <si>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</si>
  <si>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</si>
  <si>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</si>
  <si>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</si>
  <si>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</si>
  <si>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</si>
  <si>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</si>
  <si>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</si>
  <si>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</si>
  <si>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</si>
  <si>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</si>
  <si>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</si>
  <si>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</si>
  <si>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</si>
  <si>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</si>
  <si>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</si>
  <si>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</si>
  <si>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</si>
  <si>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</si>
  <si>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</si>
  <si>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</si>
  <si>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</si>
  <si>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</si>
  <si>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</si>
  <si>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</si>
  <si>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</si>
  <si>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</si>
  <si>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</si>
  <si>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</si>
  <si>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</si>
  <si>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</si>
  <si>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</si>
  <si>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</si>
  <si>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</si>
  <si>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</si>
  <si>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</si>
  <si>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</si>
  <si>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</si>
  <si>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</si>
  <si>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</si>
  <si>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</si>
  <si>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</si>
  <si>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</si>
  <si>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</si>
  <si>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</si>
  <si>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</si>
  <si>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</si>
  <si>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</si>
  <si>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</si>
  <si>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</si>
  <si>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</si>
  <si>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</si>
  <si>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</si>
  <si>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</si>
  <si>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</si>
  <si>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</si>
  <si>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</si>
  <si>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</si>
  <si>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</si>
  <si>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</si>
  <si>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</si>
  <si>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</si>
  <si>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</si>
  <si>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</si>
  <si>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</si>
  <si>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</si>
  <si>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</si>
  <si>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</si>
  <si>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</si>
  <si>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</si>
  <si>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</si>
  <si>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</si>
  <si>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</si>
  <si>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</si>
  <si>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</si>
  <si>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</si>
  <si>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</si>
  <si>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</si>
  <si>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</si>
  <si>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</si>
  <si>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</si>
  <si>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</si>
  <si>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</si>
  <si>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</si>
  <si>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</si>
  <si>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</si>
  <si>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</si>
  <si>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</si>
  <si>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</si>
  <si>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</si>
  <si>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</si>
  <si>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</si>
  <si>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</si>
  <si>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</si>
  <si>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</si>
  <si>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</si>
  <si>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</si>
  <si>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</si>
  <si>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</si>
  <si>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</si>
  <si>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</si>
  <si>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</si>
  <si>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</si>
  <si>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</si>
  <si>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</si>
  <si>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</si>
  <si>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</si>
  <si>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</si>
  <si>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</si>
  <si>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</si>
  <si>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</si>
  <si>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</si>
  <si>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</si>
  <si>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</si>
  <si>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</si>
  <si>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</si>
  <si>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</si>
  <si>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</si>
  <si>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</si>
  <si>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</si>
  <si>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</si>
  <si>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</si>
  <si>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</si>
  <si>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</si>
  <si>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</si>
  <si>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</si>
  <si>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</si>
  <si>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</si>
  <si>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</si>
  <si>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</si>
  <si>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</si>
  <si>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</si>
  <si>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</si>
  <si>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</si>
  <si>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</si>
  <si>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</si>
  <si>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</si>
  <si>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</si>
  <si>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</si>
  <si>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</si>
  <si>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</si>
  <si>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</si>
  <si>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</si>
  <si>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</si>
  <si>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</si>
  <si>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</si>
  <si>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</si>
  <si>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</si>
  <si>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</si>
  <si>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</si>
  <si>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</si>
  <si>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</si>
  <si>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</si>
  <si>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</si>
  <si>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</si>
  <si>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</si>
  <si>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</si>
  <si>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</si>
  <si>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</si>
  <si>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</si>
  <si>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</si>
  <si>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</si>
  <si>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</si>
  <si>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</si>
  <si>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</si>
  <si>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</si>
  <si>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</si>
  <si>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</si>
  <si>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</si>
  <si>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</si>
  <si>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</si>
  <si>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</si>
  <si>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</si>
  <si>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</si>
  <si>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</si>
  <si>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</si>
  <si>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</si>
  <si>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</si>
  <si>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</si>
  <si>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</si>
  <si>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</si>
  <si>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</si>
  <si>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</si>
  <si>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</si>
  <si>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</si>
  <si>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</si>
  <si>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</si>
  <si>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</si>
  <si>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</si>
  <si>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</si>
  <si>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</si>
  <si>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</si>
  <si>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</si>
  <si>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</si>
  <si>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</si>
  <si>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</si>
  <si>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</si>
  <si>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</si>
  <si>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</si>
  <si>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</si>
  <si>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</si>
  <si>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</si>
  <si>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</si>
  <si>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</si>
  <si>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</si>
  <si>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</si>
  <si>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</si>
  <si>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</si>
  <si>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</si>
  <si>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</si>
  <si>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</si>
  <si>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</si>
  <si>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</si>
  <si>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</si>
  <si>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</si>
  <si>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</si>
  <si>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</si>
  <si>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</si>
  <si>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</si>
  <si>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</si>
  <si>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</si>
  <si>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</si>
  <si>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</si>
  <si>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</si>
  <si>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</si>
  <si>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</si>
  <si>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</si>
  <si>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</si>
  <si>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</si>
  <si>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</si>
  <si>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</si>
  <si>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</si>
  <si>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</si>
  <si>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</si>
  <si>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</si>
  <si>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</si>
  <si>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</si>
  <si>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</si>
  <si>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</si>
  <si>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</si>
  <si>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</si>
  <si>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</si>
  <si>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</si>
  <si>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</si>
  <si>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</si>
  <si>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</si>
  <si>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</si>
  <si>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</si>
  <si>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</si>
  <si>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</si>
  <si>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</si>
  <si>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</si>
  <si>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</si>
  <si>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</si>
  <si>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</si>
  <si>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</si>
  <si>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</si>
  <si>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</si>
  <si>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</si>
  <si>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</si>
  <si>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</si>
  <si>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</si>
  <si>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</si>
  <si>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</si>
  <si>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</si>
  <si>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</si>
  <si>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</si>
  <si>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</si>
  <si>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</si>
  <si>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</si>
  <si>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</si>
  <si>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</si>
  <si>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</si>
  <si>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</si>
  <si>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</si>
  <si>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</si>
  <si>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</si>
  <si>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</si>
  <si>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</si>
  <si>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</si>
  <si>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</si>
  <si>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</si>
  <si>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</si>
  <si>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</si>
  <si>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</si>
  <si>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</si>
  <si>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</si>
  <si>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</si>
  <si>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</si>
  <si>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</si>
  <si>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</si>
  <si>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</si>
  <si>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</si>
  <si>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</si>
  <si>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</si>
  <si>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</si>
  <si>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</si>
  <si>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</si>
  <si>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</si>
  <si>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</si>
  <si>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</si>
  <si>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</si>
  <si>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</si>
  <si>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</si>
  <si>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</si>
  <si>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</si>
  <si>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</si>
  <si>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</si>
  <si>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</si>
  <si>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</si>
  <si>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</si>
  <si>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</si>
  <si>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</si>
  <si>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</si>
  <si>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</si>
  <si>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</si>
  <si>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</si>
  <si>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</si>
  <si>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</si>
  <si>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</si>
  <si>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</si>
  <si>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</si>
  <si>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</si>
  <si>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</si>
  <si>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</si>
  <si>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</si>
  <si>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</si>
  <si>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</si>
  <si>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</si>
  <si>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</si>
  <si>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</si>
  <si>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</si>
  <si>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</si>
  <si>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</si>
  <si>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</si>
  <si>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</si>
  <si>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</si>
  <si>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</si>
  <si>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</si>
  <si>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</si>
  <si>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</si>
  <si>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</si>
  <si>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</si>
  <si>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</si>
  <si>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</si>
  <si>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</si>
  <si>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</si>
  <si>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</si>
  <si>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</si>
  <si>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</si>
  <si>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</si>
  <si>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</si>
  <si>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</si>
  <si>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</si>
  <si>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</si>
  <si>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</si>
  <si>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</si>
  <si>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</si>
  <si>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</si>
  <si>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</si>
  <si>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</si>
  <si>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</si>
  <si>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</si>
  <si>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</si>
  <si>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</si>
  <si>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</si>
  <si>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</si>
  <si>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</si>
  <si>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</si>
  <si>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</si>
  <si>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</si>
  <si>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</si>
  <si>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</si>
  <si>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</si>
  <si>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</si>
  <si>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</si>
  <si>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</si>
  <si>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</si>
  <si>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</si>
  <si>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</si>
  <si>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</si>
  <si>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</si>
  <si>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</si>
  <si>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</si>
  <si>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</si>
  <si>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</si>
  <si>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</si>
  <si>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</si>
  <si>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</si>
  <si>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</si>
  <si>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</si>
  <si>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</si>
  <si>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</si>
  <si>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</si>
  <si>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</si>
  <si>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</si>
  <si>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</si>
  <si>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</si>
  <si>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</si>
  <si>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</si>
  <si>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</si>
  <si>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</si>
  <si>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</si>
  <si>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</si>
  <si>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</si>
  <si>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</si>
  <si>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</si>
  <si>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</si>
  <si>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</si>
  <si>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</si>
  <si>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</si>
  <si>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</si>
  <si>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</si>
  <si>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</si>
  <si>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</si>
  <si>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</si>
  <si>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</si>
  <si>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</si>
  <si>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</si>
  <si>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</si>
  <si>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</si>
  <si>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</si>
  <si>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</si>
  <si>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</si>
  <si>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</si>
  <si>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</si>
  <si>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</si>
  <si>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</si>
  <si>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</si>
  <si>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</si>
  <si>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</si>
  <si>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</si>
  <si>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</si>
  <si>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</si>
  <si>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</si>
  <si>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</si>
  <si>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</si>
  <si>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</si>
  <si>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</si>
  <si>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</si>
  <si>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</si>
  <si>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</si>
  <si>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</si>
  <si>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</si>
  <si>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</si>
  <si>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</si>
  <si>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</si>
  <si>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</si>
  <si>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</si>
  <si>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</si>
  <si>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</si>
  <si>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</si>
  <si>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</si>
  <si>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</si>
  <si>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</si>
  <si>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</si>
  <si>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</si>
  <si>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</si>
  <si>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</si>
  <si>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</si>
  <si>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</si>
  <si>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</si>
  <si>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</si>
  <si>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</si>
  <si>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</si>
  <si>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</si>
  <si>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</si>
  <si>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</si>
  <si>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</si>
  <si>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</si>
  <si>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</si>
  <si>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</si>
  <si>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</si>
  <si>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</si>
  <si>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</si>
  <si>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</si>
  <si>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</si>
  <si>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</si>
  <si>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</si>
  <si>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</si>
  <si>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</si>
  <si>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</si>
  <si>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</si>
  <si>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</si>
  <si>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</si>
  <si>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</si>
  <si>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</si>
  <si>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</si>
  <si>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</si>
  <si>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</si>
  <si>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</si>
  <si>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</si>
  <si>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</si>
  <si>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</si>
  <si>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</si>
  <si>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</si>
  <si>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</si>
  <si>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</si>
  <si>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</si>
  <si>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收益法（汇总）</t>
    <phoneticPr fontId="16" type="noConversion"/>
  </si>
  <si>
    <t>欧红伟</t>
  </si>
  <si>
    <t>崔锴</t>
  </si>
  <si>
    <t>抵押</t>
  </si>
  <si>
    <t>房地产抵押价值</t>
  </si>
  <si>
    <t>企业</t>
  </si>
  <si>
    <t>其他：</t>
  </si>
  <si>
    <t>廊坊市</t>
    <phoneticPr fontId="6" type="noConversion"/>
  </si>
  <si>
    <t>出让</t>
  </si>
  <si>
    <r>
      <rPr>
        <sz val="12"/>
        <color theme="9" tint="-0.249977111117893"/>
        <rFont val="宋体"/>
        <family val="3"/>
        <charset val="134"/>
      </rPr>
      <t>《不动产权证》</t>
    </r>
    <r>
      <rPr>
        <sz val="12"/>
        <color theme="9" tint="-0.249977111117893"/>
        <rFont val="Arial"/>
        <family val="2"/>
      </rPr>
      <t/>
    </r>
    <phoneticPr fontId="6" type="noConversion"/>
  </si>
  <si>
    <t>《不动产权证》</t>
    <phoneticPr fontId="6" type="noConversion"/>
  </si>
  <si>
    <t>综合项目（居住、综合）</t>
  </si>
  <si>
    <t>无</t>
  </si>
  <si>
    <t>否</t>
  </si>
  <si>
    <t>现房</t>
  </si>
  <si>
    <t>通路</t>
  </si>
  <si>
    <t>通电</t>
  </si>
  <si>
    <t>通讯</t>
  </si>
  <si>
    <t>通上水</t>
  </si>
  <si>
    <t>通下水</t>
  </si>
  <si>
    <t>通热</t>
  </si>
  <si>
    <t>燃气</t>
  </si>
  <si>
    <t>酒店用房</t>
  </si>
  <si>
    <t>酒店用房</t>
    <phoneticPr fontId="16" type="noConversion"/>
  </si>
  <si>
    <t>商业用房</t>
  </si>
  <si>
    <t>商业用房</t>
    <phoneticPr fontId="16" type="noConversion"/>
  </si>
  <si>
    <t>地上</t>
  </si>
  <si>
    <t>是</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</si>
  <si>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</si>
  <si>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</si>
  <si>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估价对象位于美林君渡小区，周边商业氛围成熟，人流量较大，商业繁华度较好</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</si>
  <si>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</si>
  <si>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</si>
  <si>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</si>
  <si>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</si>
  <si>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燕顺路</t>
    </r>
    <phoneticPr fontId="25" type="noConversion"/>
  </si>
  <si>
    <t>双面临街</t>
  </si>
  <si>
    <t>较一致</t>
    <phoneticPr fontId="25" type="noConversion"/>
  </si>
  <si>
    <t>项目全部</t>
  </si>
  <si>
    <t>较好</t>
  </si>
  <si>
    <t>七通</t>
  </si>
  <si>
    <t>商业</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</si>
  <si>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</si>
  <si>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</si>
  <si>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</si>
  <si>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</si>
  <si>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</si>
  <si>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</si>
  <si>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较不规则</t>
    <phoneticPr fontId="31" type="noConversion"/>
  </si>
  <si>
    <t>好</t>
  </si>
  <si>
    <t>一般</t>
  </si>
  <si>
    <t>较差</t>
  </si>
  <si>
    <t>差</t>
  </si>
  <si>
    <t>六通</t>
  </si>
  <si>
    <t>五通</t>
  </si>
  <si>
    <t>四通</t>
  </si>
  <si>
    <t>三通</t>
  </si>
  <si>
    <t>0</t>
    <phoneticPr fontId="31" type="noConversion"/>
  </si>
  <si>
    <t>押一</t>
  </si>
  <si>
    <t>钢混</t>
  </si>
  <si>
    <t>非生产用房</t>
  </si>
  <si>
    <t>收益法-商业用房</t>
  </si>
  <si>
    <t>收益法-商业用房</t>
    <phoneticPr fontId="16" type="noConversion"/>
  </si>
  <si>
    <t>收益法-酒店用房</t>
    <phoneticPr fontId="16" type="noConversion"/>
  </si>
  <si>
    <t>地块名称</t>
  </si>
  <si>
    <t>城市</t>
  </si>
  <si>
    <t>用地性质</t>
  </si>
  <si>
    <t>区县</t>
  </si>
  <si>
    <t>建设用地面积(㎡)</t>
  </si>
  <si>
    <t>容积率</t>
  </si>
  <si>
    <t>成交日期</t>
  </si>
  <si>
    <t>成交每亩价(万元/亩)</t>
  </si>
  <si>
    <t>成交楼面价(元/㎡)</t>
  </si>
  <si>
    <t>燕郊高新区思菩兰西路西侧、港中旅公司用地北侧</t>
  </si>
  <si>
    <t>廊坊市</t>
  </si>
  <si>
    <t>商业/办公用地</t>
  </si>
  <si>
    <t>燕郊</t>
  </si>
  <si>
    <t>大于0.6并且小于或等于1</t>
  </si>
  <si>
    <t>2015-01-28</t>
  </si>
  <si>
    <t>燕郊高新区康城大街北侧、港中旅公司用地西侧</t>
  </si>
  <si>
    <t>燕郊高新区港中旅公司用地北侧、田辛庄村地东侧</t>
  </si>
  <si>
    <t>102国道北侧、东五路东侧</t>
  </si>
  <si>
    <t>大于1并且小于或等于3.9</t>
  </si>
  <si>
    <t>2014-05-21</t>
  </si>
  <si>
    <t>学院大街南侧、燕昌路东侧</t>
  </si>
  <si>
    <t>大于1并且小于或等于2</t>
  </si>
  <si>
    <t>2014-01-26</t>
  </si>
  <si>
    <t>燕灵路东侧、诚越公司用地北侧</t>
  </si>
  <si>
    <t>2013-12-27</t>
  </si>
  <si>
    <t>化大南路南侧、燕灵路西侧</t>
  </si>
  <si>
    <t>燕灵路西侧</t>
  </si>
  <si>
    <t>大于或等于1并且小于或等于2</t>
  </si>
  <si>
    <t>2013-12-26</t>
  </si>
  <si>
    <t>西北东路西侧、高新大街南侧</t>
  </si>
  <si>
    <t>2013-09-27</t>
  </si>
  <si>
    <t>康城大街北侧、思菩兰西路西侧</t>
  </si>
  <si>
    <t>大于或等于0.6并且小于或等于1</t>
  </si>
  <si>
    <t>2013-09-02</t>
  </si>
  <si>
    <t>康城大街北侧、YJG2013-025和YJG2013-027号地西侧</t>
  </si>
  <si>
    <t>京华高尔夫路南侧、思菩兰西路西侧</t>
  </si>
  <si>
    <t>YJG2013-021号地南侧、思菩兰西路西侧</t>
  </si>
  <si>
    <t>YJG2013-027号地北侧、思菩兰西路西侧</t>
  </si>
  <si>
    <t>YJG2013-017号地北侧、思菩兰西路西侧</t>
  </si>
  <si>
    <t>2013-08-19</t>
  </si>
  <si>
    <t>正常</t>
  </si>
  <si>
    <t>较一致</t>
  </si>
  <si>
    <t>区域自然环境：；人文环境；综合评价环境状况较好</t>
  </si>
  <si>
    <t>估价对象所在区域基础设施水平较好</t>
  </si>
  <si>
    <t>未包含在土地购买价格中</t>
  </si>
  <si>
    <t>全部缴纳</t>
  </si>
  <si>
    <t>收益法-酒店用房</t>
  </si>
  <si>
    <t>收益法（汇总）</t>
  </si>
  <si>
    <t>成本法</t>
  </si>
  <si>
    <t>办公</t>
    <phoneticPr fontId="143" type="noConversion"/>
  </si>
  <si>
    <r>
      <t>1</t>
    </r>
    <r>
      <rPr>
        <sz val="11"/>
        <color theme="1"/>
        <rFont val="宋体"/>
        <family val="3"/>
        <charset val="134"/>
        <scheme val="minor"/>
      </rPr>
      <t>5000-16000</t>
    </r>
    <phoneticPr fontId="143" type="noConversion"/>
  </si>
  <si>
    <t>商业1层</t>
    <phoneticPr fontId="143" type="noConversion"/>
  </si>
  <si>
    <t>住宅</t>
    <phoneticPr fontId="143" type="noConversion"/>
  </si>
  <si>
    <t>地面单价</t>
    <phoneticPr fontId="143" type="noConversion"/>
  </si>
  <si>
    <t>总价</t>
    <phoneticPr fontId="143" type="noConversion"/>
  </si>
  <si>
    <t>建筑面积</t>
    <phoneticPr fontId="143" type="noConversion"/>
  </si>
  <si>
    <t>酒店</t>
    <phoneticPr fontId="143" type="noConversion"/>
  </si>
  <si>
    <t>商业</t>
    <phoneticPr fontId="143" type="noConversion"/>
  </si>
  <si>
    <t>楼面单价</t>
    <phoneticPr fontId="143" type="noConversion"/>
  </si>
  <si>
    <t>三河市燕郊开发区燕顺路西侧、高压走廊北侧美林君渡（美林新东城B区续建及C区）16号楼</t>
    <phoneticPr fontId="6" type="noConversion"/>
  </si>
  <si>
    <t>原件</t>
  </si>
  <si>
    <t>2018-1-0245-P01DYGJ1</t>
    <phoneticPr fontId="6" type="noConversion"/>
  </si>
  <si>
    <t>三河市天宝嘉麟房地产开发有限公司</t>
    <phoneticPr fontId="6" type="noConversion"/>
  </si>
  <si>
    <t>华夏朝阳门支行</t>
    <phoneticPr fontId="6" type="noConversion"/>
  </si>
  <si>
    <t>2019年</t>
    <phoneticPr fontId="143" type="noConversion"/>
  </si>
  <si>
    <t>2020年</t>
  </si>
  <si>
    <t>2021年</t>
  </si>
  <si>
    <t>2022年</t>
  </si>
  <si>
    <t>2023年</t>
  </si>
  <si>
    <t>2024年</t>
  </si>
  <si>
    <t>2025年</t>
  </si>
  <si>
    <t>2026年</t>
  </si>
  <si>
    <r>
      <t>2</t>
    </r>
    <r>
      <rPr>
        <sz val="11"/>
        <color theme="1"/>
        <rFont val="宋体"/>
        <family val="3"/>
        <charset val="134"/>
        <scheme val="minor"/>
      </rPr>
      <t>018年剩余</t>
    </r>
    <phoneticPr fontId="143" type="noConversion"/>
  </si>
  <si>
    <t>40</t>
    <phoneticPr fontId="31" type="noConversion"/>
  </si>
  <si>
    <t>支路</t>
  </si>
  <si>
    <t>思菩兰西路</t>
    <phoneticPr fontId="31" type="noConversion"/>
  </si>
  <si>
    <t>周边商业氛围一般，人流量一般，商业繁华度一般</t>
    <phoneticPr fontId="31" type="noConversion"/>
  </si>
  <si>
    <t>估价对象周边道路状况一般、公共交通通达情况一般、停车便捷程度一般，综合评价交通便捷度一般</t>
    <phoneticPr fontId="31" type="noConversion"/>
  </si>
  <si>
    <t>估价对象所在区域公共配套设施齐备情况一般</t>
    <phoneticPr fontId="31" type="noConversion"/>
  </si>
  <si>
    <t>康城大街</t>
    <phoneticPr fontId="31" type="noConversion"/>
  </si>
  <si>
    <r>
      <rPr>
        <sz val="11"/>
        <color theme="1"/>
        <rFont val="宋体"/>
        <family val="3"/>
        <charset val="134"/>
      </rPr>
      <t>项目位置</t>
    </r>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</si>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</sst>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58" xfId="0" applyFont="1" applyBorder="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5" borderId="0" xfId="0" applyFill="1" applyAlignment="1">
      <alignment horizontal="center"/>
    </xf>
    <xf numFmtId="0" fontId="0" fillId="5" borderId="0" xfId="0" applyFill="1">
      <alignment vertical="center"/>
    </xf>
    <xf numFmtId="17" fontId="47" fillId="6" borderId="30" xfId="0" applyNumberFormat="1" applyFont="1" applyFill="1" applyBorder="1" applyAlignment="1" applyProtection="1">
      <alignment horizontal="center" vertical="center" wrapText="1"/>
      <protection locked="0"/>
    </xf>
    <xf numFmtId="0" fontId="99" fillId="0" borderId="0" xfId="0" applyFont="1">
      <alignment vertical="center"/>
    </xf>
    <xf numFmtId="181" fontId="105" fillId="8" borderId="1"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47" fillId="8" borderId="1" xfId="0" applyNumberFormat="1" applyFont="1" applyFill="1" applyBorder="1" applyAlignment="1" applyProtection="1">
      <alignment vertical="center"/>
      <protection locked="0"/>
    </xf>
    <xf numFmtId="0" fontId="0" fillId="0" borderId="0" xfId="0" applyFont="1" applyAlignment="1">
      <alignment horizontal="center"/>
    </xf>
    <xf numFmtId="1" fontId="0" fillId="0" borderId="0" xfId="0" applyNumberForma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31" fontId="99" fillId="0" borderId="0" xfId="0" applyNumberFormat="1" applyFont="1">
      <alignment vertical="center"/>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8" borderId="1" xfId="0" applyNumberFormat="1" applyFont="1" applyFill="1" applyBorder="1" applyAlignment="1" applyProtection="1">
      <alignment horizontal="center" vertical="center" wrapText="1"/>
      <protection locked="0"/>
    </xf>
    <xf numFmtId="49" fontId="104" fillId="0" borderId="23" xfId="0" applyNumberFormat="1"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9" fontId="47" fillId="8" borderId="37" xfId="0" applyNumberFormat="1" applyFont="1" applyFill="1" applyBorder="1" applyAlignment="1" applyProtection="1">
      <alignment horizontal="center" vertical="center" wrapText="1"/>
      <protection locked="0"/>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3"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177" fontId="56" fillId="8" borderId="1" xfId="1" applyNumberFormat="1" applyFont="1" applyFill="1" applyBorder="1" applyAlignment="1" applyProtection="1">
      <alignment horizontal="center"/>
    </xf>
    <xf numFmtId="14" fontId="0" fillId="0" borderId="0" xfId="0" applyNumberFormat="1">
      <alignment vertical="center"/>
    </xf>
    <xf numFmtId="2" fontId="0" fillId="0" borderId="0" xfId="0" applyNumberFormat="1">
      <alignment vertical="center"/>
    </xf>
    <xf numFmtId="0" fontId="47" fillId="8" borderId="23" xfId="0" applyNumberFormat="1" applyFont="1" applyFill="1" applyBorder="1" applyAlignment="1" applyProtection="1">
      <alignment horizontal="center" vertical="center" wrapText="1"/>
      <protection locked="0"/>
    </xf>
    <xf numFmtId="0" fontId="47" fillId="8" borderId="3"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0" fontId="47" fillId="8" borderId="3"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1214</v>
      </c>
      <c r="B1" s="1586" t="s">
        <v>1293</v>
      </c>
    </row>
    <row r="2" spans="1:2" s="1591" customFormat="1" ht="15" thickTop="1">
      <c r="A2" s="1589" t="s">
        <v>1215</v>
      </c>
      <c r="B2" s="1590" t="str">
        <f>'预评函-封皮'!B37:I37</f>
        <v>廊坊市三河市燕郊开发区燕顺路西侧、高压走廊北侧美林君渡（美林新东城B区续建及C区）16号楼房地产抵押价值预评估</v>
      </c>
    </row>
    <row r="3" spans="1:2" s="1594" customFormat="1">
      <c r="A3" s="1592" t="s">
        <v>1216</v>
      </c>
      <c r="B3" s="1593" t="str">
        <f>'预评函-封皮'!B40</f>
        <v>三河市天宝嘉麟房地产开发有限公司</v>
      </c>
    </row>
    <row r="4" spans="1:2" s="1594" customFormat="1">
      <c r="A4" s="1592" t="s">
        <v>1217</v>
      </c>
      <c r="B4" s="1593" t="str">
        <f ca="1">'预评函-封皮'!B46</f>
        <v>欧红伟（注册号：1120000080)、崔锴（注册号：1120100036)</v>
      </c>
    </row>
    <row r="5" spans="1:2" s="1588" customFormat="1" ht="15" thickBot="1">
      <c r="A5" s="1595" t="s">
        <v>1218</v>
      </c>
      <c r="B5" s="1596" t="str">
        <f>'预评函-封皮'!B49</f>
        <v>康正预评字2018-1-0245-P01DYGJ1号</v>
      </c>
    </row>
    <row r="6" spans="1:2" s="1591" customFormat="1" ht="15" thickTop="1">
      <c r="A6" s="1589" t="s">
        <v>1219</v>
      </c>
      <c r="B6" s="1590" t="str">
        <f>'预评函-1'!A4</f>
        <v>受贵公司委托，我公司对廊坊市三河市燕郊开发区燕顺路西侧、高压走廊北侧美林君渡（美林新东城B区续建及C区）16号楼房地产抵押价值进行了预评估。</v>
      </c>
    </row>
    <row r="7" spans="1:2" s="1594" customFormat="1">
      <c r="A7" s="1592" t="s">
        <v>1259</v>
      </c>
      <c r="B7" s="1593" t="str">
        <f>'预评函-1'!A7</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2" s="1594" customFormat="1">
      <c r="A8" s="1592" t="s">
        <v>1260</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1261</v>
      </c>
      <c r="B9" s="1593" t="str">
        <f>'预评函-1'!A10</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0" spans="1:2" s="1594" customFormat="1">
      <c r="A10" s="1592" t="s">
        <v>1262</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1220</v>
      </c>
      <c r="B11" s="1593" t="str">
        <f>'预评函-1'!A13</f>
        <v>为估价委托人在向华夏朝阳门支行办理贷款手续过程中，确定房地产抵押贷款额度提供参考依据而评估房地产抵押价值。</v>
      </c>
    </row>
    <row r="12" spans="1:2" s="1594" customFormat="1">
      <c r="A12" s="1592" t="s">
        <v>1221</v>
      </c>
      <c r="B12" s="1593" t="str">
        <f>'预评函-1'!A15</f>
        <v>2018年4月16日（评估专业人员实地查勘之日）</v>
      </c>
    </row>
    <row r="13" spans="1:2" s="1594" customFormat="1">
      <c r="A13" s="1592" t="s">
        <v>1222</v>
      </c>
      <c r="B13" s="1593" t="str">
        <f>'预评函-1'!A18</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4" spans="1:2" s="1594" customFormat="1">
      <c r="A14" s="1592" t="s">
        <v>1223</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1224</v>
      </c>
      <c r="B15" s="1593" t="str">
        <f>'预评函-1'!A20</f>
        <v>本次估价的“房地产抵押价值”是指估价对象在价值时点的“房地产价值”扣减估价师于价值时点所知悉的法定优先受偿款后的余额。</v>
      </c>
    </row>
    <row r="16" spans="1:2" s="1594" customFormat="1">
      <c r="A16" s="1592" t="s">
        <v>1225</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1226</v>
      </c>
      <c r="B17" s="1593" t="str">
        <f>'预评函-1'!A22</f>
        <v/>
      </c>
    </row>
    <row r="18" spans="1:2" s="1588" customFormat="1" ht="15" thickBot="1">
      <c r="A18" s="1595" t="s">
        <v>1227</v>
      </c>
      <c r="B18" s="1596" t="str">
        <f>'预评函-1'!A24</f>
        <v>本次评估采用的主估价方法为成本法和收益法。</v>
      </c>
    </row>
    <row r="19" spans="1:2" s="1591" customFormat="1" ht="15" thickTop="1">
      <c r="A19" s="1589" t="s">
        <v>1228</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1229</v>
      </c>
      <c r="B20" s="1593">
        <f ca="1">'预评函-2'!D5</f>
        <v>17069</v>
      </c>
    </row>
    <row r="21" spans="1:2" s="1594" customFormat="1">
      <c r="A21" s="1592" t="s">
        <v>1230</v>
      </c>
      <c r="B21" s="1593">
        <f ca="1">'预评函-2'!D7</f>
        <v>14093</v>
      </c>
    </row>
    <row r="22" spans="1:2" s="1594" customFormat="1">
      <c r="A22" s="1592" t="s">
        <v>1231</v>
      </c>
      <c r="B22" s="1593" t="str">
        <f ca="1">'预评函-2'!D6</f>
        <v>壹亿柒仟零陆拾玖万元整</v>
      </c>
    </row>
    <row r="23" spans="1:2" s="1594" customFormat="1">
      <c r="A23" s="1592" t="s">
        <v>1282</v>
      </c>
      <c r="B23" s="1593" t="str">
        <f>'预评函-2'!B8</f>
        <v>2.估价师知悉的法定优先受偿款</v>
      </c>
    </row>
    <row r="24" spans="1:2" s="1594" customFormat="1">
      <c r="A24" s="1592" t="s">
        <v>1288</v>
      </c>
      <c r="B24" s="1593">
        <f>'预评函-2'!D8</f>
        <v>0</v>
      </c>
    </row>
    <row r="25" spans="1:2" s="1594" customFormat="1">
      <c r="A25" s="1592" t="s">
        <v>1232</v>
      </c>
      <c r="B25" s="1593" t="str">
        <f>'预评函-2'!D9</f>
        <v>零元整</v>
      </c>
    </row>
    <row r="26" spans="1:2" s="1594" customFormat="1">
      <c r="A26" s="1592" t="s">
        <v>1233</v>
      </c>
      <c r="B26" s="1593">
        <f>'预评函-2'!D10</f>
        <v>0</v>
      </c>
    </row>
    <row r="27" spans="1:2" s="1594" customFormat="1">
      <c r="A27" s="1592" t="s">
        <v>1234</v>
      </c>
      <c r="B27" s="1593">
        <f>'预评函-2'!D11</f>
        <v>0</v>
      </c>
    </row>
    <row r="28" spans="1:2" s="1594" customFormat="1">
      <c r="A28" s="1592" t="s">
        <v>1235</v>
      </c>
      <c r="B28" s="1593">
        <f>'预评函-2'!D12</f>
        <v>0</v>
      </c>
    </row>
    <row r="29" spans="1:2" s="1594" customFormat="1">
      <c r="A29" s="1592" t="s">
        <v>1286</v>
      </c>
      <c r="B29" s="1593" t="str">
        <f>'预评函-2'!B13</f>
        <v>3.房地产抵押价值</v>
      </c>
    </row>
    <row r="30" spans="1:2" s="1594" customFormat="1">
      <c r="A30" s="1592" t="s">
        <v>1287</v>
      </c>
      <c r="B30" s="1593">
        <f ca="1">'预评函-2'!D13</f>
        <v>17069</v>
      </c>
    </row>
    <row r="31" spans="1:2" s="1594" customFormat="1">
      <c r="A31" s="1592" t="s">
        <v>1269</v>
      </c>
      <c r="B31" s="1593">
        <f ca="1">'预评函-2'!D15</f>
        <v>14093</v>
      </c>
    </row>
    <row r="32" spans="1:2" s="1594" customFormat="1">
      <c r="A32" s="1592" t="s">
        <v>1236</v>
      </c>
      <c r="B32" s="1593" t="str">
        <f ca="1">'预评函-2'!D14</f>
        <v>壹亿柒仟零陆拾玖万元整</v>
      </c>
    </row>
    <row r="33" spans="1:2" s="1594" customFormat="1">
      <c r="A33" s="1592" t="s">
        <v>1271</v>
      </c>
      <c r="B33" s="1593" t="str">
        <f>'预评函-2'!B16</f>
        <v>——</v>
      </c>
    </row>
    <row r="34" spans="1:2" s="1594" customFormat="1">
      <c r="A34" s="1592" t="s">
        <v>1289</v>
      </c>
      <c r="B34" s="1593" t="str">
        <f>'预评函-2'!D16</f>
        <v>——</v>
      </c>
    </row>
    <row r="35" spans="1:2" s="1594" customFormat="1">
      <c r="A35" s="1592" t="s">
        <v>1270</v>
      </c>
      <c r="B35" s="1593" t="str">
        <f>'预评函-2'!D18</f>
        <v>——</v>
      </c>
    </row>
    <row r="36" spans="1:2" s="1594" customFormat="1">
      <c r="A36" s="1592" t="s">
        <v>1237</v>
      </c>
      <c r="B36" s="1593" t="e">
        <f>'预评函-2'!D17</f>
        <v>#VALUE!</v>
      </c>
    </row>
    <row r="37" spans="1:2" s="1594" customFormat="1">
      <c r="A37" s="1592" t="s">
        <v>1272</v>
      </c>
      <c r="B37" s="1593" t="str">
        <f>'预评函-2'!B19</f>
        <v>——</v>
      </c>
    </row>
    <row r="38" spans="1:2" s="1594" customFormat="1">
      <c r="A38" s="1592" t="s">
        <v>1290</v>
      </c>
      <c r="B38" s="1593" t="str">
        <f>'预评函-2'!D19</f>
        <v>——</v>
      </c>
    </row>
    <row r="39" spans="1:2" s="1594" customFormat="1">
      <c r="A39" s="1592" t="s">
        <v>1238</v>
      </c>
      <c r="B39" s="1593" t="str">
        <f>'预评函-2'!D21</f>
        <v>——</v>
      </c>
    </row>
    <row r="40" spans="1:2" s="1594" customFormat="1">
      <c r="A40" s="1592" t="s">
        <v>1239</v>
      </c>
      <c r="B40" s="1593" t="e">
        <f>'预评函-2'!D20</f>
        <v>#VALUE!</v>
      </c>
    </row>
    <row r="41" spans="1:2" s="1594" customFormat="1">
      <c r="A41" s="1592" t="s">
        <v>1285</v>
      </c>
      <c r="B41" s="1593" t="str">
        <f>'预评函-3'!A4</f>
        <v>廊坊市三河市燕郊开发区燕顺路西侧、高压走廊北侧美林君渡（美林新东城B区续建及C区）16号楼房地产</v>
      </c>
    </row>
    <row r="42" spans="1:2" s="1594" customFormat="1">
      <c r="A42" s="1592" t="s">
        <v>1283</v>
      </c>
      <c r="B42" s="1593" t="str">
        <f>'预评函-3'!B2</f>
        <v>建筑面积</v>
      </c>
    </row>
    <row r="43" spans="1:2" s="1594" customFormat="1">
      <c r="A43" s="1592" t="s">
        <v>1284</v>
      </c>
      <c r="B43" s="1593">
        <f>'预评函-3'!B4</f>
        <v>12111.68</v>
      </c>
    </row>
    <row r="44" spans="1:2" s="1594" customFormat="1">
      <c r="A44" s="1592" t="s">
        <v>1268</v>
      </c>
      <c r="B44" s="1593" t="str">
        <f>'预评函-3'!C2</f>
        <v>(分摊)土地面积</v>
      </c>
    </row>
    <row r="45" spans="1:2" s="1594" customFormat="1">
      <c r="A45" s="1592" t="s">
        <v>1240</v>
      </c>
      <c r="B45" s="1593">
        <f>'预评函-3'!C4</f>
        <v>9365.7099999999991</v>
      </c>
    </row>
    <row r="46" spans="1:2" s="1594" customFormat="1">
      <c r="A46" s="1592" t="s">
        <v>1266</v>
      </c>
      <c r="B46" s="1593" t="str">
        <f>'预评函-3'!D2</f>
        <v>出让国有建设用地使用权价值</v>
      </c>
    </row>
    <row r="47" spans="1:2" s="1594" customFormat="1">
      <c r="A47" s="1592" t="s">
        <v>1241</v>
      </c>
      <c r="B47" s="1593" t="e">
        <f ca="1">'预评函-3'!D4</f>
        <v>#REF!</v>
      </c>
    </row>
    <row r="48" spans="1:2" s="1594" customFormat="1">
      <c r="A48" s="1592" t="s">
        <v>1242</v>
      </c>
      <c r="B48" s="1593" t="e">
        <f ca="1">'预评函-3'!E4</f>
        <v>#REF!</v>
      </c>
    </row>
    <row r="49" spans="1:2" s="1594" customFormat="1">
      <c r="A49" s="1592" t="s">
        <v>1243</v>
      </c>
      <c r="B49" s="1593" t="e">
        <f ca="1">'预评函-3'!D5</f>
        <v>#REF!</v>
      </c>
    </row>
    <row r="50" spans="1:2" s="1594" customFormat="1">
      <c r="A50" s="1592" t="s">
        <v>1267</v>
      </c>
      <c r="B50" s="1593" t="str">
        <f>'预评函-3'!F2</f>
        <v>在建建筑物价值</v>
      </c>
    </row>
    <row r="51" spans="1:2" s="1594" customFormat="1">
      <c r="A51" s="1592" t="s">
        <v>1244</v>
      </c>
      <c r="B51" s="1593" t="e">
        <f ca="1">'预评函-3'!F4</f>
        <v>#REF!</v>
      </c>
    </row>
    <row r="52" spans="1:2" s="1594" customFormat="1">
      <c r="A52" s="1592" t="s">
        <v>1245</v>
      </c>
      <c r="B52" s="1593" t="e">
        <f ca="1">'预评函-3'!G4</f>
        <v>#REF!</v>
      </c>
    </row>
    <row r="53" spans="1:2" s="1594" customFormat="1">
      <c r="A53" s="1592" t="s">
        <v>1273</v>
      </c>
      <c r="B53" s="1593" t="e">
        <f ca="1">'预评函-3'!F5</f>
        <v>#REF!</v>
      </c>
    </row>
    <row r="54" spans="1:2" s="1594" customFormat="1">
      <c r="A54" s="1592" t="s">
        <v>1291</v>
      </c>
      <c r="B54" s="1593" t="str">
        <f>'预评函-3'!A8</f>
        <v>房地产抵押价值</v>
      </c>
    </row>
    <row r="55" spans="1:2" s="1594" customFormat="1">
      <c r="A55" s="1592" t="s">
        <v>1274</v>
      </c>
      <c r="B55" s="1593" t="str">
        <f>'预评函-3'!A10</f>
        <v/>
      </c>
    </row>
    <row r="56" spans="1:2" s="1594" customFormat="1">
      <c r="A56" s="1592" t="s">
        <v>1275</v>
      </c>
      <c r="B56" s="1593" t="str">
        <f>'预评函-3'!A12</f>
        <v/>
      </c>
    </row>
    <row r="57" spans="1:2" s="1588" customFormat="1" ht="15" thickBot="1">
      <c r="A57" s="1595" t="s">
        <v>1292</v>
      </c>
      <c r="B57" s="1596" t="str">
        <f>'预评函-3'!A6</f>
        <v>估价师知悉的法定优先受偿款</v>
      </c>
    </row>
    <row r="58" spans="1:2" s="1591" customFormat="1" ht="15" thickTop="1">
      <c r="A58" s="1589" t="s">
        <v>1246</v>
      </c>
      <c r="B58" s="1590" t="str">
        <f>'预评函-4'!A12</f>
        <v>2.本《评估意见函》仅供金融机构进行内部审核使用，不做其他目的之用。</v>
      </c>
    </row>
    <row r="59" spans="1:2" s="1594" customFormat="1">
      <c r="A59" s="1592" t="s">
        <v>1247</v>
      </c>
      <c r="B59" s="1593" t="str">
        <f>'预评函-4'!A13</f>
        <v>3.抵押双方在办理抵押登记手续时，应使用本公司出具的正式《房地产评估报告》，特提醒报告使用者注意。</v>
      </c>
    </row>
    <row r="60" spans="1:2" s="1594" customFormat="1">
      <c r="A60" s="1592" t="s">
        <v>1248</v>
      </c>
      <c r="B60" s="1593" t="str">
        <f>'预评函-4'!A14</f>
        <v>4.本次评估估价师所知悉的法定优先受偿款情况说明如下：</v>
      </c>
    </row>
    <row r="61" spans="1:2" s="1594" customFormat="1">
      <c r="A61" s="1592" t="s">
        <v>1249</v>
      </c>
      <c r="B61" s="1593"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1250</v>
      </c>
      <c r="B62" s="1593" t="str">
        <f>'预评函-4'!A16</f>
        <v>（2）根据《工程款支付情况说明》，截至价值时点，估价对象不存在应付未付工程款项。（只要没有施工方盖章的，均“设定”进行表述）</v>
      </c>
    </row>
    <row r="63" spans="1:2" s="1594" customFormat="1">
      <c r="A63" s="1592" t="s">
        <v>1251</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1263</v>
      </c>
      <c r="B64" s="1593" t="str">
        <f>'预评函-4'!A18</f>
        <v>故，本次评估不存在估价师知悉的法定优先受偿款</v>
      </c>
    </row>
    <row r="65" spans="1:2" s="1594" customFormat="1">
      <c r="A65" s="1592" t="s">
        <v>1252</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1253</v>
      </c>
      <c r="B66" s="1593" t="str">
        <f>'预评函-4'!A20</f>
        <v>——</v>
      </c>
    </row>
    <row r="67" spans="1:2" s="1594" customFormat="1">
      <c r="A67" s="1592" t="s">
        <v>1264</v>
      </c>
      <c r="B67" s="1593" t="str">
        <f>'预评函-4'!A21</f>
        <v>——</v>
      </c>
    </row>
    <row r="68" spans="1:2" s="1594" customFormat="1">
      <c r="A68" s="1592" t="s">
        <v>1265</v>
      </c>
      <c r="B68" s="1593" t="str">
        <f>'预评函-4'!A22</f>
        <v>8.其他需特殊说明事项：无（注意调整序号）</v>
      </c>
    </row>
    <row r="69" spans="1:2" s="1588" customFormat="1" ht="15" thickBot="1">
      <c r="A69" s="1595" t="s">
        <v>1254</v>
      </c>
      <c r="B69" s="1597">
        <f>'预评函-4'!C31</f>
        <v>42551</v>
      </c>
    </row>
    <row r="70" spans="1:2" ht="15" thickTop="1">
      <c r="A70" s="1598" t="s">
        <v>1255</v>
      </c>
      <c r="B70" s="1599" t="str">
        <f>'预评函-4'!A4</f>
        <v>欧红伟</v>
      </c>
    </row>
    <row r="71" spans="1:2">
      <c r="A71" s="1592" t="s">
        <v>1256</v>
      </c>
      <c r="B71" s="1593">
        <f ca="1">'预评函-4'!B4</f>
        <v>1120000080</v>
      </c>
    </row>
    <row r="72" spans="1:2">
      <c r="A72" s="1592" t="s">
        <v>1257</v>
      </c>
      <c r="B72" s="1601" t="str">
        <f>'预评函-4'!A5</f>
        <v>崔锴</v>
      </c>
    </row>
    <row r="73" spans="1:2" s="1588" customFormat="1" ht="15" thickBot="1">
      <c r="A73" s="1595" t="s">
        <v>1258</v>
      </c>
      <c r="B73" s="1596">
        <f ca="1">'预评函-4'!B5</f>
        <v>1120100036</v>
      </c>
    </row>
    <row r="74" spans="1:2" ht="15" thickTop="1">
      <c r="A74" s="1585" t="s">
        <v>1294</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7" sqref="Y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70</v>
      </c>
      <c r="B1" s="2009" t="s">
        <v>1684</v>
      </c>
      <c r="C1" s="2010" t="s">
        <v>757</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752</v>
      </c>
      <c r="Q1" s="2012" t="s">
        <v>1142</v>
      </c>
      <c r="R1" s="2011" t="s">
        <v>1136</v>
      </c>
      <c r="S1" s="2011" t="s">
        <v>1697</v>
      </c>
      <c r="T1" s="2013" t="s">
        <v>1698</v>
      </c>
      <c r="U1" s="2011" t="s">
        <v>1699</v>
      </c>
      <c r="V1" s="2011" t="s">
        <v>1700</v>
      </c>
      <c r="W1" s="2011" t="s">
        <v>754</v>
      </c>
    </row>
    <row r="2" spans="1:23">
      <c r="A2" s="2015" t="s">
        <v>3020</v>
      </c>
      <c r="B2" s="2015" t="s">
        <v>1701</v>
      </c>
      <c r="C2" s="2016" t="s">
        <v>758</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1138</v>
      </c>
      <c r="S2" s="2017" t="s">
        <v>1707</v>
      </c>
      <c r="T2" s="2017" t="s">
        <v>1708</v>
      </c>
      <c r="U2" s="2017" t="s">
        <v>1707</v>
      </c>
      <c r="V2" s="2017" t="s">
        <v>1709</v>
      </c>
      <c r="W2" s="2017" t="s">
        <v>1707</v>
      </c>
    </row>
    <row r="3" spans="1:23">
      <c r="A3" s="2015" t="s">
        <v>3022</v>
      </c>
      <c r="B3" s="2018" t="s">
        <v>3059</v>
      </c>
      <c r="C3" s="2019" t="s">
        <v>759</v>
      </c>
      <c r="D3" s="2017" t="s">
        <v>1710</v>
      </c>
      <c r="E3" s="2017" t="s">
        <v>16</v>
      </c>
      <c r="F3" s="2017" t="s">
        <v>1711</v>
      </c>
      <c r="G3" s="2017">
        <v>50</v>
      </c>
      <c r="H3" s="2017" t="s">
        <v>1711</v>
      </c>
      <c r="I3" s="2017" t="s">
        <v>1712</v>
      </c>
      <c r="J3" s="2017" t="s">
        <v>1713</v>
      </c>
      <c r="K3" s="2017" t="s">
        <v>1714</v>
      </c>
      <c r="L3" s="2017" t="s">
        <v>1714</v>
      </c>
      <c r="M3" s="2017" t="s">
        <v>1714</v>
      </c>
      <c r="N3" s="2017" t="s">
        <v>1714</v>
      </c>
      <c r="O3" s="2017" t="s">
        <v>1714</v>
      </c>
      <c r="P3" s="2017" t="s">
        <v>1714</v>
      </c>
      <c r="Q3" s="2017" t="s">
        <v>1714</v>
      </c>
      <c r="R3" s="2017" t="s">
        <v>1137</v>
      </c>
      <c r="S3" s="2017" t="s">
        <v>1714</v>
      </c>
      <c r="T3" s="2017" t="s">
        <v>1715</v>
      </c>
      <c r="U3" s="2017" t="s">
        <v>1714</v>
      </c>
      <c r="V3" s="2017" t="s">
        <v>1716</v>
      </c>
      <c r="W3" s="2017" t="s">
        <v>1714</v>
      </c>
    </row>
    <row r="4" spans="1:23">
      <c r="A4" s="2015"/>
      <c r="B4" s="2015" t="s">
        <v>1736</v>
      </c>
      <c r="C4" s="2016" t="s">
        <v>760</v>
      </c>
      <c r="D4" s="2017" t="s">
        <v>866</v>
      </c>
      <c r="E4" s="2017" t="s">
        <v>1717</v>
      </c>
      <c r="F4" s="2017" t="s">
        <v>1718</v>
      </c>
      <c r="G4" s="2017">
        <v>70</v>
      </c>
      <c r="H4" s="2017" t="s">
        <v>1718</v>
      </c>
      <c r="I4" s="2017" t="s">
        <v>1719</v>
      </c>
      <c r="K4" s="2017" t="s">
        <v>1720</v>
      </c>
      <c r="L4" s="2017" t="s">
        <v>1720</v>
      </c>
      <c r="M4" s="2017" t="s">
        <v>1720</v>
      </c>
      <c r="N4" s="2017" t="s">
        <v>1720</v>
      </c>
      <c r="O4" s="2017" t="s">
        <v>1720</v>
      </c>
      <c r="P4" s="2017" t="s">
        <v>1720</v>
      </c>
      <c r="Q4" s="2017" t="s">
        <v>1720</v>
      </c>
      <c r="R4" s="2017" t="s">
        <v>1139</v>
      </c>
      <c r="S4" s="2017" t="s">
        <v>1720</v>
      </c>
      <c r="T4" s="2017" t="s">
        <v>1721</v>
      </c>
      <c r="U4" s="2017" t="s">
        <v>1720</v>
      </c>
      <c r="W4" s="2017" t="s">
        <v>1720</v>
      </c>
    </row>
    <row r="5" spans="1:23">
      <c r="A5" s="2015"/>
      <c r="B5" s="2940" t="s">
        <v>2997</v>
      </c>
      <c r="C5" s="2016" t="s">
        <v>761</v>
      </c>
      <c r="F5" s="2017" t="s">
        <v>1722</v>
      </c>
      <c r="H5" s="2017" t="s">
        <v>1723</v>
      </c>
      <c r="I5" s="2017" t="s">
        <v>1724</v>
      </c>
      <c r="K5" s="2017" t="s">
        <v>1725</v>
      </c>
      <c r="L5" s="2017" t="s">
        <v>1725</v>
      </c>
      <c r="M5" s="2017" t="s">
        <v>1725</v>
      </c>
      <c r="N5" s="2017" t="s">
        <v>1725</v>
      </c>
      <c r="O5" s="2017" t="s">
        <v>1725</v>
      </c>
      <c r="P5" s="2017" t="s">
        <v>1725</v>
      </c>
      <c r="Q5" s="2017" t="s">
        <v>1725</v>
      </c>
      <c r="R5" s="2017" t="s">
        <v>1140</v>
      </c>
      <c r="S5" s="2017" t="s">
        <v>1725</v>
      </c>
      <c r="T5" s="2017" t="s">
        <v>1726</v>
      </c>
      <c r="U5" s="2017" t="s">
        <v>1725</v>
      </c>
      <c r="W5" s="2017" t="s">
        <v>1725</v>
      </c>
    </row>
    <row r="6" spans="1:23">
      <c r="A6" s="2015"/>
      <c r="B6" s="2018" t="s">
        <v>3060</v>
      </c>
      <c r="C6" s="2021" t="s">
        <v>29</v>
      </c>
      <c r="F6" s="2017" t="s">
        <v>1723</v>
      </c>
      <c r="H6" s="2017" t="s">
        <v>1727</v>
      </c>
      <c r="I6" s="2017" t="s">
        <v>1728</v>
      </c>
      <c r="K6" s="2017" t="s">
        <v>1729</v>
      </c>
      <c r="L6" s="2017" t="s">
        <v>1729</v>
      </c>
      <c r="M6" s="2017" t="s">
        <v>1729</v>
      </c>
      <c r="N6" s="2017" t="s">
        <v>1729</v>
      </c>
      <c r="O6" s="2017" t="s">
        <v>1729</v>
      </c>
      <c r="P6" s="2017" t="s">
        <v>1729</v>
      </c>
      <c r="Q6" s="2017" t="s">
        <v>1729</v>
      </c>
      <c r="R6" s="2017" t="s">
        <v>1141</v>
      </c>
      <c r="S6" s="2017" t="s">
        <v>1729</v>
      </c>
      <c r="T6" s="2017"/>
      <c r="U6" s="2017" t="s">
        <v>1729</v>
      </c>
      <c r="W6" s="2017" t="s">
        <v>1729</v>
      </c>
    </row>
    <row r="7" spans="1:23">
      <c r="A7" s="2015"/>
      <c r="B7" s="2018"/>
      <c r="C7" s="2016" t="s">
        <v>30</v>
      </c>
      <c r="F7" s="2017" t="s">
        <v>1730</v>
      </c>
      <c r="H7" s="2017" t="s">
        <v>1731</v>
      </c>
      <c r="I7" s="2017" t="s">
        <v>1732</v>
      </c>
    </row>
    <row r="8" spans="1:23">
      <c r="A8" s="2015"/>
      <c r="B8" s="2015"/>
      <c r="C8" s="2016" t="s">
        <v>762</v>
      </c>
      <c r="F8" s="2017" t="s">
        <v>1733</v>
      </c>
      <c r="H8" s="2017"/>
      <c r="I8" s="2017" t="s">
        <v>1734</v>
      </c>
    </row>
    <row r="9" spans="1:23">
      <c r="A9" s="2015"/>
      <c r="B9" s="2015"/>
      <c r="C9" s="2016" t="s">
        <v>763</v>
      </c>
      <c r="F9" s="2017" t="s">
        <v>1735</v>
      </c>
      <c r="H9" s="2017"/>
    </row>
    <row r="10" spans="1:23">
      <c r="A10" s="2015"/>
      <c r="B10" s="2015"/>
      <c r="C10" s="2016" t="s">
        <v>764</v>
      </c>
      <c r="F10" s="2017" t="s">
        <v>16</v>
      </c>
    </row>
    <row r="11" spans="1:23">
      <c r="A11" s="2015"/>
      <c r="B11" s="2015"/>
      <c r="C11" s="2016" t="s">
        <v>765</v>
      </c>
    </row>
    <row r="12" spans="1:23">
      <c r="A12" s="2015"/>
      <c r="B12" s="2015"/>
      <c r="C12" s="2016" t="s">
        <v>766</v>
      </c>
    </row>
    <row r="13" spans="1:23">
      <c r="A13" s="2015"/>
      <c r="B13" s="2015"/>
      <c r="C13" s="2016" t="s">
        <v>767</v>
      </c>
    </row>
    <row r="14" spans="1:23">
      <c r="A14" s="2015"/>
      <c r="B14" s="1944"/>
      <c r="C14" s="2017" t="s">
        <v>16</v>
      </c>
    </row>
    <row r="15" spans="1:23">
      <c r="A15" s="2015"/>
      <c r="B15" s="2015"/>
      <c r="C15" s="2016"/>
    </row>
    <row r="16" spans="1:23">
      <c r="A16" s="2015"/>
      <c r="B16" s="2015"/>
      <c r="C16" s="2016"/>
    </row>
    <row r="17" spans="1:3">
      <c r="A17" s="2015"/>
      <c r="B17" s="2015" t="s">
        <v>755</v>
      </c>
      <c r="C17" s="2016"/>
    </row>
    <row r="18" spans="1:3">
      <c r="A18" s="2015"/>
      <c r="B18" s="2015" t="s">
        <v>755</v>
      </c>
      <c r="C18" s="2016"/>
    </row>
    <row r="19" spans="1:3">
      <c r="A19" s="2015"/>
      <c r="B19" s="2015" t="s">
        <v>755</v>
      </c>
      <c r="C19" s="2016"/>
    </row>
    <row r="20" spans="1:3">
      <c r="A20" s="2015"/>
      <c r="B20" s="2015" t="s">
        <v>755</v>
      </c>
      <c r="C20" s="2016"/>
    </row>
    <row r="21" spans="1:3">
      <c r="A21" s="2015"/>
      <c r="B21" s="2015" t="s">
        <v>755</v>
      </c>
      <c r="C21" s="2016"/>
    </row>
    <row r="22" spans="1:3">
      <c r="A22" s="2015"/>
      <c r="B22" s="2015" t="s">
        <v>755</v>
      </c>
      <c r="C22" s="2016"/>
    </row>
    <row r="23" spans="1:3">
      <c r="A23" s="2015"/>
      <c r="B23" s="2015" t="s">
        <v>755</v>
      </c>
      <c r="C23" s="2016"/>
    </row>
    <row r="24" spans="1:3">
      <c r="A24" s="2015"/>
      <c r="B24" s="2015" t="s">
        <v>755</v>
      </c>
      <c r="C24" s="2016"/>
    </row>
    <row r="25" spans="1:3">
      <c r="A25" s="2015"/>
      <c r="B25" s="2015" t="s">
        <v>755</v>
      </c>
      <c r="C25" s="2016"/>
    </row>
    <row r="26" spans="1:3">
      <c r="A26" s="2015"/>
      <c r="B26" s="2015" t="s">
        <v>755</v>
      </c>
      <c r="C26" s="2016"/>
    </row>
    <row r="27" spans="1:3">
      <c r="A27" s="2015" t="s">
        <v>755</v>
      </c>
      <c r="B27" s="2015" t="s">
        <v>755</v>
      </c>
      <c r="C27" s="2016"/>
    </row>
    <row r="28" spans="1:3">
      <c r="A28" s="2015" t="s">
        <v>755</v>
      </c>
      <c r="B28" s="2015" t="s">
        <v>755</v>
      </c>
      <c r="C28" s="2016"/>
    </row>
    <row r="29" spans="1:3">
      <c r="A29" s="2015" t="s">
        <v>755</v>
      </c>
      <c r="B29" s="2015" t="s">
        <v>755</v>
      </c>
      <c r="C29" s="2016"/>
    </row>
    <row r="30" spans="1:3">
      <c r="A30" s="2015" t="s">
        <v>755</v>
      </c>
      <c r="B30" s="2015" t="s">
        <v>755</v>
      </c>
      <c r="C30" s="2016"/>
    </row>
    <row r="31" spans="1:3">
      <c r="A31" s="2015" t="s">
        <v>755</v>
      </c>
      <c r="B31" s="2015" t="s">
        <v>755</v>
      </c>
      <c r="C31" s="2016"/>
    </row>
    <row r="32" spans="1:3">
      <c r="A32" s="2015" t="s">
        <v>755</v>
      </c>
      <c r="B32" s="2015" t="s">
        <v>755</v>
      </c>
      <c r="C32" s="2016"/>
    </row>
    <row r="33" spans="1:3">
      <c r="A33" s="2015" t="s">
        <v>755</v>
      </c>
      <c r="B33" s="2015" t="s">
        <v>755</v>
      </c>
      <c r="C33" s="2016"/>
    </row>
    <row r="34" spans="1:3">
      <c r="A34" s="2015" t="s">
        <v>755</v>
      </c>
      <c r="B34" s="2015" t="s">
        <v>755</v>
      </c>
      <c r="C34" s="2016"/>
    </row>
    <row r="35" spans="1:3">
      <c r="A35" s="2015" t="s">
        <v>755</v>
      </c>
      <c r="B35" s="2015" t="s">
        <v>755</v>
      </c>
      <c r="C35" s="2016"/>
    </row>
    <row r="36" spans="1:3">
      <c r="A36" s="2015" t="s">
        <v>755</v>
      </c>
      <c r="B36" s="2015" t="s">
        <v>755</v>
      </c>
      <c r="C36" s="2016"/>
    </row>
    <row r="37" spans="1:3">
      <c r="A37" s="2015" t="s">
        <v>755</v>
      </c>
      <c r="B37" s="2015" t="s">
        <v>755</v>
      </c>
      <c r="C37" s="2016"/>
    </row>
    <row r="38" spans="1:3">
      <c r="A38" s="2015" t="s">
        <v>755</v>
      </c>
      <c r="B38" s="2015" t="s">
        <v>755</v>
      </c>
      <c r="C38" s="2016"/>
    </row>
    <row r="39" spans="1:3">
      <c r="A39" s="2015" t="s">
        <v>755</v>
      </c>
      <c r="B39" s="2015" t="s">
        <v>755</v>
      </c>
      <c r="C39" s="2016"/>
    </row>
    <row r="40" spans="1:3">
      <c r="A40" s="2015" t="s">
        <v>755</v>
      </c>
      <c r="B40" s="2015" t="s">
        <v>755</v>
      </c>
      <c r="C40" s="2016"/>
    </row>
    <row r="41" spans="1:3">
      <c r="A41" s="2015" t="s">
        <v>755</v>
      </c>
      <c r="B41" s="2015" t="s">
        <v>755</v>
      </c>
      <c r="C41" s="2016"/>
    </row>
    <row r="42" spans="1:3">
      <c r="A42" s="2015" t="s">
        <v>755</v>
      </c>
      <c r="B42" s="2015" t="s">
        <v>755</v>
      </c>
      <c r="C42" s="2016"/>
    </row>
    <row r="43" spans="1:3">
      <c r="A43" s="2015" t="s">
        <v>755</v>
      </c>
      <c r="B43" s="2015" t="s">
        <v>755</v>
      </c>
      <c r="C43" s="2016"/>
    </row>
    <row r="44" spans="1:3">
      <c r="A44" s="2015" t="s">
        <v>755</v>
      </c>
      <c r="B44" s="2015" t="s">
        <v>755</v>
      </c>
      <c r="C44" s="2016"/>
    </row>
    <row r="45" spans="1:3">
      <c r="A45" s="2015" t="s">
        <v>755</v>
      </c>
      <c r="B45" s="2015" t="s">
        <v>755</v>
      </c>
      <c r="C45" s="2016"/>
    </row>
    <row r="46" spans="1:3">
      <c r="A46" s="2015" t="s">
        <v>755</v>
      </c>
      <c r="B46" s="2015" t="s">
        <v>755</v>
      </c>
      <c r="C46" s="2016"/>
    </row>
    <row r="47" spans="1:3">
      <c r="A47" s="2015" t="s">
        <v>755</v>
      </c>
      <c r="B47" s="2015" t="s">
        <v>755</v>
      </c>
      <c r="C47" s="2016"/>
    </row>
    <row r="48" spans="1:3">
      <c r="A48" s="2015" t="s">
        <v>755</v>
      </c>
      <c r="B48" s="2015" t="s">
        <v>755</v>
      </c>
      <c r="C48" s="2016"/>
    </row>
    <row r="49" spans="1:4">
      <c r="A49" s="2015" t="s">
        <v>755</v>
      </c>
      <c r="B49" s="2015" t="s">
        <v>755</v>
      </c>
      <c r="C49" s="2016"/>
    </row>
    <row r="50" spans="1:4">
      <c r="A50" s="2015" t="s">
        <v>755</v>
      </c>
      <c r="B50" s="2015" t="s">
        <v>755</v>
      </c>
      <c r="C50" s="2016"/>
    </row>
    <row r="51" spans="1:4">
      <c r="A51" s="2022" t="s">
        <v>855</v>
      </c>
      <c r="B51" s="2023" t="str">
        <f>"为估价委托人在向"&amp;项目基本情况!B6&amp;"办理贷款手续过程中，确定房地产抵押贷款额度提供参考依据而评估房地产抵押价值。"</f>
        <v>为估价委托人在向华夏朝阳门支行办理贷款手续过程中，确定房地产抵押贷款额度提供参考依据而评估房地产抵押价值。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市三河市燕郊开发区燕顺路西侧、高压走廊北侧美林君渡（美林新东城B区续建及C区）16号楼房地产作为抵押担保物，向华夏朝阳门支行办理贷款手续。华夏朝阳门支行特委托北京康正宏基房地产评估有限公司对上述抵押物进行评估。本次评估为确定房地产抵押贷款额度提供参考依据而评估房地产抵押价值。</v>
      </c>
      <c r="D51" s="2023" t="s">
        <v>1279</v>
      </c>
    </row>
    <row r="52" spans="1:4">
      <c r="A52" s="2022" t="s">
        <v>856</v>
      </c>
      <c r="B52" s="2022" t="s">
        <v>857</v>
      </c>
      <c r="C52" s="2020" t="s">
        <v>858</v>
      </c>
      <c r="D52" s="2020" t="s">
        <v>859</v>
      </c>
    </row>
    <row r="53" spans="1:4">
      <c r="A53" s="3016"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3" t="s">
        <v>862</v>
      </c>
      <c r="C54" s="2020" t="s">
        <v>1276</v>
      </c>
    </row>
    <row r="55" spans="1:4">
      <c r="A55" s="3016"/>
      <c r="B55" s="2023" t="s">
        <v>863</v>
      </c>
      <c r="C55" s="2020" t="s">
        <v>1277</v>
      </c>
    </row>
    <row r="56" spans="1:4">
      <c r="A56" s="3016"/>
      <c r="B56" s="2023" t="s">
        <v>864</v>
      </c>
      <c r="C56" s="2020" t="s">
        <v>1281</v>
      </c>
    </row>
    <row r="57" spans="1:4">
      <c r="A57" s="3016"/>
      <c r="B57" s="2023" t="s">
        <v>865</v>
      </c>
      <c r="C57" s="2020" t="s">
        <v>1278</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1737</v>
      </c>
      <c r="B1" s="3017" t="str">
        <f>IF(B10="北京市","北京市",C10)&amp;F10&amp;IF(结果表!G1="在建","出让国有建设用地使用权及在建建筑物",IF(结果表!G1="土地","出让国有建设用地使用权",))&amp;B9&amp;"预评估"</f>
        <v>廊坊市三河市燕郊开发区燕顺路西侧、高压走廊北侧美林君渡（美林新东城B区续建及C区）16号楼房地产抵押价值预评估</v>
      </c>
      <c r="C1" s="3018"/>
      <c r="D1" s="3018"/>
      <c r="E1" s="3018"/>
      <c r="F1" s="3018"/>
      <c r="G1" s="3018"/>
      <c r="H1" s="3018"/>
      <c r="I1" s="301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廊坊市三河市燕郊开发区燕顺路西侧、高压走廊北侧美林君渡（美林新东城B区续建及C区）16号楼房地产抵押价值</v>
      </c>
    </row>
    <row r="2" spans="1:19" ht="18" customHeight="1">
      <c r="A2" s="2027" t="s">
        <v>1738</v>
      </c>
      <c r="B2" s="1041" t="s">
        <v>3122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廊坊市三河市燕郊开发区燕顺路西侧、高压走廊北侧美林君渡（美林新东城B区续建及C区）16号楼房地产</v>
      </c>
    </row>
    <row r="3" spans="1:19" ht="18" customHeight="1">
      <c r="A3" s="2036" t="s">
        <v>1739</v>
      </c>
      <c r="B3" s="2037">
        <v>43206</v>
      </c>
      <c r="C3" s="2038" t="s">
        <v>1740</v>
      </c>
      <c r="D3" s="2037">
        <f>B3</f>
        <v>43206</v>
      </c>
      <c r="E3" s="2027"/>
      <c r="F3" s="2027"/>
      <c r="G3" s="2027"/>
      <c r="H3" s="2027"/>
      <c r="I3" s="2027"/>
      <c r="J3" s="2027"/>
      <c r="K3" s="2028"/>
      <c r="L3" s="2029"/>
      <c r="M3" s="2029"/>
      <c r="N3" s="2030"/>
      <c r="O3" s="2031"/>
      <c r="P3" s="2030"/>
      <c r="Q3" s="2030"/>
      <c r="R3" s="2030"/>
      <c r="S3" s="2032"/>
    </row>
    <row r="4" spans="1:19" ht="18" customHeight="1" thickBot="1">
      <c r="A4" s="2039" t="s">
        <v>1741</v>
      </c>
      <c r="B4" s="2040" t="s">
        <v>2998</v>
      </c>
      <c r="C4" s="1039">
        <f ca="1">SUMIF(注册房地产估价师,B4,估价师及机构信息!B3:B24)</f>
        <v>1120000080</v>
      </c>
      <c r="D4" s="2040" t="s">
        <v>2999</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1742</v>
      </c>
      <c r="B5" s="2968" t="s">
        <v>3123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1743</v>
      </c>
      <c r="B6" s="2969" t="s">
        <v>3124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1744</v>
      </c>
      <c r="B7" s="2052"/>
      <c r="C7" s="2049"/>
      <c r="D7" s="2050"/>
      <c r="E7" s="2035"/>
      <c r="F7" s="2043"/>
      <c r="G7" s="2043"/>
      <c r="H7" s="2043"/>
      <c r="I7" s="2043"/>
      <c r="J7" s="2043"/>
      <c r="K7" s="2053"/>
      <c r="L7" s="2029"/>
      <c r="M7" s="2029"/>
      <c r="N7" s="2030"/>
      <c r="O7" s="2031"/>
      <c r="P7" s="2030"/>
      <c r="Q7" s="2030"/>
      <c r="R7" s="2030"/>
    </row>
    <row r="8" spans="1:19" ht="18" customHeight="1">
      <c r="A8" s="2048" t="s">
        <v>1745</v>
      </c>
      <c r="B8" s="2054" t="s">
        <v>3000</v>
      </c>
      <c r="C8" s="2055"/>
      <c r="D8" s="3020" t="s">
        <v>1746</v>
      </c>
      <c r="E8" s="2056" t="s">
        <v>3001</v>
      </c>
      <c r="F8" s="2057"/>
      <c r="G8" s="2027"/>
      <c r="H8" s="2027"/>
      <c r="I8" s="2027"/>
      <c r="J8" s="2043"/>
      <c r="K8" s="2044"/>
      <c r="L8" s="2029"/>
      <c r="M8" s="2029"/>
      <c r="N8" s="2030"/>
      <c r="O8" s="2031"/>
      <c r="P8" s="2030"/>
      <c r="Q8" s="2030"/>
      <c r="R8" s="2030"/>
    </row>
    <row r="9" spans="1:19" ht="18" customHeight="1" thickBot="1">
      <c r="A9" s="2041" t="s">
        <v>1747</v>
      </c>
      <c r="B9" s="2058" t="s">
        <v>3001</v>
      </c>
      <c r="C9" s="2059"/>
      <c r="D9" s="3021"/>
      <c r="E9" s="2058" t="s">
        <v>69</v>
      </c>
      <c r="F9" s="2060"/>
      <c r="G9" s="2061"/>
      <c r="H9" s="2061"/>
      <c r="I9" s="2061"/>
      <c r="J9" s="2043"/>
      <c r="K9" s="2053"/>
      <c r="L9" s="2029"/>
      <c r="M9" s="2029"/>
      <c r="N9" s="2030"/>
      <c r="O9" s="2031"/>
      <c r="P9" s="2030"/>
      <c r="Q9" s="2030"/>
      <c r="R9" s="2030"/>
    </row>
    <row r="10" spans="1:19" ht="18" customHeight="1" thickTop="1">
      <c r="A10" s="2062" t="s">
        <v>1748</v>
      </c>
      <c r="B10" s="2063" t="s">
        <v>3003</v>
      </c>
      <c r="C10" s="2941" t="s">
        <v>3004</v>
      </c>
      <c r="D10" s="2047"/>
      <c r="E10" s="2064" t="s">
        <v>1749</v>
      </c>
      <c r="F10" s="2942" t="s">
        <v>3120</v>
      </c>
      <c r="G10" s="2065"/>
      <c r="H10" s="2066"/>
      <c r="I10" s="2047"/>
      <c r="J10" s="2043"/>
      <c r="K10" s="2053"/>
      <c r="L10" s="2029"/>
      <c r="M10" s="2029"/>
      <c r="N10" s="2030"/>
      <c r="O10" s="2031"/>
      <c r="P10" s="2030"/>
      <c r="Q10" s="2030"/>
      <c r="R10" s="2030"/>
    </row>
    <row r="11" spans="1:19" ht="18" customHeight="1">
      <c r="A11" s="2067" t="s">
        <v>1750</v>
      </c>
      <c r="B11" s="2068" t="s">
        <v>3002</v>
      </c>
      <c r="C11" s="2069"/>
      <c r="D11" s="2070"/>
      <c r="E11" s="2043"/>
      <c r="F11" s="2043"/>
      <c r="G11" s="2043"/>
      <c r="H11" s="2043"/>
      <c r="I11" s="2043"/>
      <c r="J11" s="2043"/>
      <c r="K11" s="2053"/>
      <c r="L11" s="2029"/>
      <c r="M11" s="2029"/>
      <c r="N11" s="2030"/>
      <c r="O11" s="2031"/>
      <c r="P11" s="2030"/>
      <c r="Q11" s="2030"/>
      <c r="R11" s="2030"/>
    </row>
    <row r="12" spans="1:19" ht="18" customHeight="1">
      <c r="A12" s="2071" t="s">
        <v>1751</v>
      </c>
      <c r="B12" s="2068" t="s">
        <v>3005</v>
      </c>
      <c r="C12" s="2072" t="s">
        <v>1752</v>
      </c>
      <c r="D12" s="2073" t="s">
        <v>1753</v>
      </c>
      <c r="E12" s="2073" t="s">
        <v>1754</v>
      </c>
      <c r="F12" s="2073" t="s">
        <v>1755</v>
      </c>
      <c r="G12" s="2073" t="s">
        <v>1756</v>
      </c>
      <c r="H12" s="2073" t="s">
        <v>1757</v>
      </c>
      <c r="I12" s="2073" t="s">
        <v>1758</v>
      </c>
      <c r="J12" s="2043"/>
      <c r="K12" s="2053"/>
      <c r="L12" s="2029"/>
      <c r="M12" s="2029"/>
      <c r="N12" s="2030"/>
      <c r="O12" s="2031"/>
      <c r="P12" s="2030"/>
      <c r="Q12" s="2030"/>
      <c r="R12" s="2030"/>
    </row>
    <row r="13" spans="1:19" ht="18" customHeight="1">
      <c r="A13" s="2074"/>
      <c r="B13" s="2075"/>
      <c r="C13" s="2076" t="s">
        <v>1759</v>
      </c>
      <c r="D13" s="2077"/>
      <c r="E13" s="2077">
        <v>52992</v>
      </c>
      <c r="F13" s="2077"/>
      <c r="G13" s="2077"/>
      <c r="H13" s="2077"/>
      <c r="I13" s="1049">
        <v>46538</v>
      </c>
      <c r="J13" s="2043"/>
      <c r="K13" s="2053"/>
      <c r="L13" s="2029"/>
      <c r="M13" s="2029"/>
      <c r="N13" s="2030"/>
      <c r="O13" s="2031"/>
      <c r="P13" s="2030"/>
      <c r="Q13" s="2030"/>
      <c r="R13" s="2030"/>
    </row>
    <row r="14" spans="1:19" ht="18" customHeight="1">
      <c r="A14" s="2074"/>
      <c r="B14" s="2075"/>
      <c r="C14" s="2076" t="s">
        <v>1760</v>
      </c>
      <c r="D14" s="1052"/>
      <c r="E14" s="1052">
        <v>40</v>
      </c>
      <c r="F14" s="1052"/>
      <c r="G14" s="1052"/>
      <c r="H14" s="1052"/>
      <c r="I14" s="1052"/>
      <c r="J14" s="2043"/>
      <c r="K14" s="2078"/>
      <c r="L14" s="2029"/>
      <c r="M14" s="2029"/>
      <c r="N14" s="2030"/>
      <c r="O14" s="2031"/>
      <c r="P14" s="2030"/>
      <c r="Q14" s="2030"/>
      <c r="R14" s="2030"/>
    </row>
    <row r="15" spans="1:19" ht="18" customHeight="1">
      <c r="A15" s="2062"/>
      <c r="B15" s="2079"/>
      <c r="C15" s="2076" t="s">
        <v>1761</v>
      </c>
      <c r="D15" s="1051" t="str">
        <f>IF(B12="出让",IF(D13="","",ROUNDDOWN(MIN((D13-$D$3)/365,D14),2)),D14)</f>
        <v/>
      </c>
      <c r="E15" s="1051">
        <f>IF(B12="出让",IF(E13="","",ROUNDDOWN(MIN((E13-$D$3)/365,E14),2)),E14)</f>
        <v>26.81</v>
      </c>
      <c r="F15" s="1051" t="str">
        <f>IF(B12="出让",IF(F13="","",ROUNDDOWN(MIN((F13-$D$3)/365,F14),2)),F14)</f>
        <v/>
      </c>
      <c r="G15" s="1051" t="str">
        <f>IF(B12="出让",IF(G13="","",ROUNDDOWN(MIN((G13-$D$3)/365,G14),2)),G14)</f>
        <v/>
      </c>
      <c r="H15" s="1051" t="str">
        <f>IF(B12="出让",IF(H13="","",ROUNDDOWN(MIN((H13-$D$3)/365,H14),2)),H14)</f>
        <v/>
      </c>
      <c r="I15" s="1051">
        <f>IF(B12="出让",IF(I13="","",ROUNDDOWN(MIN((I13-$D$3)/365,I14),2)),I14)</f>
        <v>9.1199999999999992</v>
      </c>
      <c r="J15" s="2043"/>
      <c r="K15" s="2080"/>
      <c r="L15" s="2081"/>
      <c r="M15" s="2081"/>
      <c r="N15" s="2082"/>
      <c r="O15" s="2081"/>
      <c r="P15" s="2082"/>
      <c r="Q15" s="2030"/>
      <c r="R15" s="2030"/>
    </row>
    <row r="16" spans="1:19" ht="30.75" customHeight="1">
      <c r="A16" s="2064" t="s">
        <v>1762</v>
      </c>
      <c r="B16" s="3027"/>
      <c r="C16" s="3028"/>
      <c r="D16" s="3029"/>
      <c r="E16" s="2083" t="s">
        <v>1763</v>
      </c>
      <c r="F16" s="3030"/>
      <c r="G16" s="3031"/>
      <c r="H16" s="3031"/>
      <c r="I16" s="3032"/>
      <c r="J16" s="2030"/>
      <c r="K16" s="2080"/>
      <c r="L16" s="2081"/>
      <c r="M16" s="2081"/>
      <c r="N16" s="2082"/>
      <c r="O16" s="2081"/>
      <c r="P16" s="2082"/>
      <c r="Q16" s="2030"/>
      <c r="R16" s="2030"/>
    </row>
    <row r="17" spans="1:22" ht="18" customHeight="1">
      <c r="A17" s="2084" t="s">
        <v>1764</v>
      </c>
      <c r="B17" s="2036" t="s">
        <v>1765</v>
      </c>
      <c r="C17" s="1056">
        <f>'数据-汇总表'!E3</f>
        <v>12111.68</v>
      </c>
      <c r="D17" s="2085" t="s">
        <v>1766</v>
      </c>
      <c r="E17" s="3033" t="s">
        <v>3006</v>
      </c>
      <c r="F17" s="3034"/>
      <c r="G17" s="3034"/>
      <c r="H17" s="3034"/>
      <c r="I17" s="3035"/>
      <c r="J17" s="2030"/>
      <c r="K17" s="2086"/>
      <c r="L17" s="2081"/>
      <c r="M17" s="2081"/>
      <c r="N17" s="2082"/>
      <c r="O17" s="2081"/>
      <c r="P17" s="2082"/>
      <c r="Q17" s="2030"/>
      <c r="R17" s="2030"/>
      <c r="S17" s="2030"/>
      <c r="T17" s="2030"/>
      <c r="U17" s="2030"/>
      <c r="V17" s="2030"/>
    </row>
    <row r="18" spans="1:22" ht="36" customHeight="1" thickBot="1">
      <c r="A18" s="2087" t="s">
        <v>1767</v>
      </c>
      <c r="B18" s="2039" t="s">
        <v>1768</v>
      </c>
      <c r="C18" s="1446">
        <f>'数据-汇总表'!D3</f>
        <v>9365.7099999999991</v>
      </c>
      <c r="D18" s="2088" t="s">
        <v>1766</v>
      </c>
      <c r="E18" s="3036" t="s">
        <v>3007</v>
      </c>
      <c r="F18" s="3037"/>
      <c r="G18" s="3037"/>
      <c r="H18" s="3037"/>
      <c r="I18" s="3038"/>
      <c r="J18" s="2030"/>
      <c r="K18" s="2086"/>
      <c r="L18" s="2081"/>
      <c r="M18" s="2081"/>
      <c r="N18" s="2082"/>
      <c r="O18" s="2081"/>
      <c r="P18" s="2082"/>
      <c r="Q18" s="2030"/>
      <c r="R18" s="2030"/>
      <c r="S18" s="2030"/>
      <c r="T18" s="2030"/>
      <c r="U18" s="2030"/>
      <c r="V18" s="2030"/>
    </row>
    <row r="19" spans="1:22" ht="37.5" customHeight="1" thickTop="1" thickBot="1">
      <c r="A19" s="372" t="s">
        <v>1769</v>
      </c>
      <c r="B19" s="351" t="s">
        <v>1770</v>
      </c>
      <c r="C19" s="2089" t="s">
        <v>69</v>
      </c>
      <c r="D19" s="2090" t="s">
        <v>1771</v>
      </c>
      <c r="E19" s="2091" t="s">
        <v>69</v>
      </c>
      <c r="F19" s="2092" t="str">
        <f>IF(AND(C19="是",E19="否"),"是否提供他项权证或相关说明","")</f>
        <v/>
      </c>
      <c r="G19" s="2093" t="s">
        <v>69</v>
      </c>
      <c r="H19" s="2043"/>
      <c r="I19" s="2043"/>
      <c r="J19" s="2043"/>
      <c r="K19" s="2053"/>
      <c r="L19" s="2029"/>
      <c r="M19" s="2029"/>
      <c r="N19" s="2082"/>
      <c r="O19" s="2081"/>
      <c r="P19" s="2082"/>
      <c r="Q19" s="2030"/>
      <c r="R19" s="2030"/>
      <c r="S19" s="2030"/>
      <c r="T19" s="2030"/>
      <c r="U19" s="2030"/>
      <c r="V19" s="2030"/>
    </row>
    <row r="20" spans="1:22" ht="18" customHeight="1">
      <c r="A20" s="2094" t="s">
        <v>1772</v>
      </c>
      <c r="B20" s="3023" t="s">
        <v>1773</v>
      </c>
      <c r="C20" s="3024"/>
      <c r="D20" s="3025" t="s">
        <v>1774</v>
      </c>
      <c r="E20" s="3026"/>
      <c r="F20" s="2095" t="s">
        <v>1775</v>
      </c>
      <c r="G20" s="2043"/>
      <c r="H20" s="2043"/>
      <c r="I20" s="2043"/>
      <c r="J20" s="2043"/>
      <c r="K20" s="3022" t="s">
        <v>1776</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1777</v>
      </c>
      <c r="C21" s="2097" t="s">
        <v>3121</v>
      </c>
      <c r="D21" s="2098" t="s">
        <v>1778</v>
      </c>
      <c r="E21" s="2099" t="s">
        <v>69</v>
      </c>
      <c r="F21" s="2100"/>
      <c r="G21" s="2043"/>
      <c r="H21" s="2043"/>
      <c r="I21" s="2043"/>
      <c r="J21" s="2043"/>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1779</v>
      </c>
      <c r="C22" s="2097" t="s">
        <v>3121</v>
      </c>
      <c r="D22" s="2027"/>
      <c r="E22" s="2027"/>
      <c r="F22" s="2102"/>
      <c r="G22" s="2043"/>
      <c r="H22" s="2043"/>
      <c r="I22" s="2043"/>
      <c r="J22" s="2043"/>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1780</v>
      </c>
      <c r="B23" s="182" t="s">
        <v>1781</v>
      </c>
      <c r="C23" s="2104"/>
      <c r="D23" s="2105" t="s">
        <v>1781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1782</v>
      </c>
      <c r="C24" s="2109"/>
      <c r="D24" s="2103" t="s">
        <v>1782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1783</v>
      </c>
      <c r="C25" s="2109"/>
      <c r="D25" s="2103" t="s">
        <v>1783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1784</v>
      </c>
      <c r="C26" s="2113"/>
      <c r="D26" s="2114" t="s">
        <v>1785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40" t="s">
        <v>1786</v>
      </c>
      <c r="B27" s="2062" t="s">
        <v>1787</v>
      </c>
      <c r="C27" s="2117" t="s">
        <v>3008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0"/>
      <c r="B28" s="2036" t="s">
        <v>1788</v>
      </c>
      <c r="C28" s="2119" t="s">
        <v>3009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0"/>
      <c r="B29" s="2036" t="s">
        <v>1789</v>
      </c>
      <c r="C29" s="2122" t="s">
        <v>3010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41"/>
      <c r="B30" s="2036" t="s">
        <v>1790</v>
      </c>
      <c r="C30" s="3042"/>
      <c r="D30" s="3043"/>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4" t="s">
        <v>1791</v>
      </c>
      <c r="B31" s="2124" t="s">
        <v>3011</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45"/>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45"/>
      <c r="B33" s="2128"/>
      <c r="C33" s="2067"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1792</v>
      </c>
      <c r="B34" s="2131" t="s">
        <v>3012</v>
      </c>
      <c r="C34" s="2131" t="s">
        <v>3013</v>
      </c>
      <c r="D34" s="2131" t="s">
        <v>3014</v>
      </c>
      <c r="E34" s="2131" t="s">
        <v>3015</v>
      </c>
      <c r="F34" s="2131" t="s">
        <v>3016</v>
      </c>
      <c r="G34" s="2131" t="s">
        <v>3017</v>
      </c>
      <c r="H34" s="2131" t="s">
        <v>3018</v>
      </c>
      <c r="I34" s="2043"/>
      <c r="J34" s="2043"/>
      <c r="K34" s="1796">
        <f>COUNTIF(B34:H34,"——")</f>
        <v>0</v>
      </c>
      <c r="L34" s="2072" t="s">
        <v>1793</v>
      </c>
      <c r="M34" s="2072" t="s">
        <v>1794</v>
      </c>
      <c r="N34" s="2072" t="s">
        <v>1795</v>
      </c>
      <c r="O34" s="2072" t="s">
        <v>1796</v>
      </c>
      <c r="P34" s="2072" t="s">
        <v>1797</v>
      </c>
      <c r="Q34" s="2072" t="s">
        <v>1798</v>
      </c>
      <c r="R34" s="2072" t="s">
        <v>1799</v>
      </c>
      <c r="S34" s="3039" t="s">
        <v>1800</v>
      </c>
      <c r="T34" s="2132" t="str">
        <f>NUMBERSTRING(7-K34,1)&amp;"通"</f>
        <v>七通</v>
      </c>
      <c r="U34" s="2030"/>
      <c r="V34" s="2030"/>
    </row>
    <row r="35" spans="1:22" ht="18" customHeight="1">
      <c r="A35" s="2133"/>
      <c r="B35" s="3046" t="s">
        <v>1801</v>
      </c>
      <c r="C35" s="3046"/>
      <c r="D35" s="3046"/>
      <c r="E35" s="3046"/>
      <c r="F35" s="2134" t="str">
        <f>C10</f>
        <v>廊坊市</v>
      </c>
      <c r="G35" s="2043"/>
      <c r="H35" s="2043"/>
      <c r="I35" s="2043"/>
      <c r="J35" s="2043"/>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39"/>
      <c r="T35" s="47" t="str">
        <f>IF(T34="一通",L35,IF(T34="二通",M35,IF(T34="三通",N35,IF(T34="四通",O35,IF(T34="五通",P35,IF(T34="六通",Q35,R35))))))</f>
        <v>通路、通电、通讯、通上水、通下水、通热、燃气</v>
      </c>
      <c r="U35" s="2030"/>
      <c r="V35" s="2030"/>
    </row>
    <row r="36" spans="1:22" ht="18" customHeight="1">
      <c r="A36" s="2135"/>
      <c r="B36" s="2134" t="s">
        <v>1802</v>
      </c>
      <c r="C36" s="2134" t="s">
        <v>1803</v>
      </c>
      <c r="D36" s="2134" t="s">
        <v>1804</v>
      </c>
      <c r="E36" s="2134" t="s">
        <v>1805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1809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1810</v>
      </c>
      <c r="B42" s="1796" t="s">
        <v>1811</v>
      </c>
      <c r="C42" s="1796" t="s">
        <v>1812</v>
      </c>
      <c r="D42" s="1796" t="s">
        <v>1813</v>
      </c>
      <c r="E42" s="1796" t="s">
        <v>1814</v>
      </c>
      <c r="F42" s="1796" t="s">
        <v>1815</v>
      </c>
      <c r="G42" s="1796" t="s">
        <v>1816</v>
      </c>
      <c r="H42" s="1796" t="s">
        <v>1817</v>
      </c>
      <c r="I42" s="1796" t="s">
        <v>1818</v>
      </c>
      <c r="J42" s="2150" t="s">
        <v>1819</v>
      </c>
      <c r="K42" s="2073" t="s">
        <v>1820</v>
      </c>
      <c r="L42" s="2073" t="s">
        <v>1821</v>
      </c>
      <c r="M42" s="2073" t="s">
        <v>1822</v>
      </c>
      <c r="N42" s="1796" t="s">
        <v>1823</v>
      </c>
      <c r="O42" s="1796" t="s">
        <v>1824</v>
      </c>
      <c r="P42" s="1796" t="s">
        <v>1825</v>
      </c>
      <c r="Q42" s="2072" t="s">
        <v>1826</v>
      </c>
      <c r="R42" s="2072" t="s">
        <v>1827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1829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1830</v>
      </c>
      <c r="B2" s="11" t="s">
        <v>1831</v>
      </c>
      <c r="C2" s="11" t="s">
        <v>1832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1833</v>
      </c>
      <c r="AZ2" s="1272" t="s">
        <v>1834</v>
      </c>
      <c r="BA2" s="11" t="s">
        <v>1835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3298">
        <f>ROUND(135381.8*(I13+K13)/(85721.9+25690.23+13124.98+26000.9+12298.1+12238.82),2)</f>
        <v>9365.7099999999991</v>
      </c>
      <c r="B3" s="13">
        <f>IF(C3="否",G5-AT5,G5)</f>
        <v>12111.68</v>
      </c>
      <c r="C3" s="2166" t="s">
        <v>1836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1837</v>
      </c>
      <c r="B5" s="1804"/>
      <c r="C5" s="1804"/>
      <c r="D5" s="1807"/>
      <c r="E5" s="15" t="s">
        <v>1</v>
      </c>
      <c r="F5" s="15">
        <f>SUM(F13:F587)</f>
        <v>0</v>
      </c>
      <c r="G5" s="15">
        <f>SUM(G13:G587)</f>
        <v>12111.68</v>
      </c>
      <c r="H5" s="15">
        <f t="shared" ref="H5:AT5" si="0">SUM(H13:H656)</f>
        <v>12111.68</v>
      </c>
      <c r="I5" s="15">
        <f t="shared" si="0"/>
        <v>10206.15</v>
      </c>
      <c r="J5" s="15">
        <f t="shared" si="0"/>
        <v>0</v>
      </c>
      <c r="K5" s="15">
        <f t="shared" si="0"/>
        <v>1905.53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1837</v>
      </c>
      <c r="AW5" s="1804"/>
      <c r="AX5" s="1804"/>
      <c r="AY5" s="16" t="s">
        <v>3</v>
      </c>
      <c r="AZ5" s="17">
        <f t="shared" ref="AZ5:BT5" si="1">SUM(AZ13:AZ656)</f>
        <v>12111.68</v>
      </c>
      <c r="BA5" s="17">
        <f t="shared" si="1"/>
        <v>12111.68</v>
      </c>
      <c r="BB5" s="17">
        <f t="shared" si="1"/>
        <v>10206.15</v>
      </c>
      <c r="BC5" s="17">
        <f t="shared" si="1"/>
        <v>1905.53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1838</v>
      </c>
      <c r="B6" s="2172"/>
      <c r="C6" s="2172"/>
      <c r="D6" s="2173"/>
      <c r="E6" s="15">
        <f>H6+AC6+AT6</f>
        <v>9365.7099999999991</v>
      </c>
      <c r="F6" s="15" t="s">
        <v>1</v>
      </c>
      <c r="G6" s="15" t="s">
        <v>2</v>
      </c>
      <c r="H6" s="19">
        <f>SUMIF(I$12:AB$12,"总值",I6:AB6)</f>
        <v>9365.7099999999991</v>
      </c>
      <c r="I6" s="15">
        <f t="shared" ref="I6:AB6" si="2">ROUND($A$3*I5/$B$3,2)</f>
        <v>7892.2</v>
      </c>
      <c r="J6" s="15">
        <f t="shared" si="2"/>
        <v>0</v>
      </c>
      <c r="K6" s="15">
        <f t="shared" si="2"/>
        <v>1473.51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1838</v>
      </c>
      <c r="AW6" s="2172"/>
      <c r="AX6" s="2172"/>
      <c r="AY6" s="20">
        <f>IF(AY3&gt;0,AY3,ROUND($A$3*AZ5/$B$3,2))</f>
        <v>9365.7099999999991</v>
      </c>
      <c r="AZ6" s="15" t="s">
        <v>3</v>
      </c>
      <c r="BA6" s="15">
        <f>ROUND($AY$6*BA5/$AZ$5,2)</f>
        <v>9365.7099999999991</v>
      </c>
      <c r="BB6" s="15">
        <f>ROUND($AY$6*BB5/$AZ$5,2)</f>
        <v>7892.2</v>
      </c>
      <c r="BC6" s="15">
        <f t="shared" ref="BC6:BH6" si="4">ROUND($AY$6*BC5/$AZ$5,2)</f>
        <v>1473.51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1846</v>
      </c>
      <c r="AV7" s="22" t="s">
        <v>1847</v>
      </c>
      <c r="AW7" s="2164" t="s">
        <v>1848</v>
      </c>
      <c r="AX7" s="22" t="s">
        <v>1841</v>
      </c>
      <c r="AY7" s="1804"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19"/>
      <c r="K8" s="1819"/>
      <c r="L8" s="1819"/>
      <c r="M8" s="1819"/>
      <c r="N8" s="1819"/>
      <c r="O8" s="1819"/>
      <c r="P8" s="1819"/>
      <c r="Q8" s="1819"/>
      <c r="R8" s="1819"/>
      <c r="S8" s="1819"/>
      <c r="T8" s="1819"/>
      <c r="U8" s="1819"/>
      <c r="V8" s="2184"/>
      <c r="W8" s="1819"/>
      <c r="X8" s="1819"/>
      <c r="Y8" s="1819"/>
      <c r="Z8" s="1819"/>
      <c r="AA8" s="2184"/>
      <c r="AB8" s="2185"/>
      <c r="AC8" s="983" t="s">
        <v>1852</v>
      </c>
      <c r="AD8" s="2186"/>
      <c r="AE8" s="2178"/>
      <c r="AF8" s="1819"/>
      <c r="AG8" s="1819"/>
      <c r="AH8" s="1819"/>
      <c r="AI8" s="1819"/>
      <c r="AJ8" s="1819"/>
      <c r="AK8" s="1819"/>
      <c r="AL8" s="1819"/>
      <c r="AM8" s="1819"/>
      <c r="AN8" s="1819"/>
      <c r="AO8" s="1819"/>
      <c r="AP8" s="1819"/>
      <c r="AQ8" s="1819"/>
      <c r="AR8" s="1819"/>
      <c r="AS8" s="1819"/>
      <c r="AT8" s="1294" t="s">
        <v>1853</v>
      </c>
      <c r="AU8" s="2180" t="s">
        <v>1854</v>
      </c>
      <c r="AV8" s="1294"/>
      <c r="AW8" s="2163"/>
      <c r="AX8" s="1294"/>
      <c r="AY8" s="2164" t="s">
        <v>1855</v>
      </c>
      <c r="AZ8" s="1818" t="s">
        <v>1856</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7" customFormat="1" ht="12.75">
      <c r="A9" s="2180"/>
      <c r="B9" s="2180"/>
      <c r="C9" s="2180"/>
      <c r="D9" s="2180"/>
      <c r="E9" s="2180"/>
      <c r="F9" s="2180"/>
      <c r="G9" s="1294"/>
      <c r="H9" s="2188" t="s">
        <v>1857</v>
      </c>
      <c r="I9" s="2189" t="s">
        <v>3023</v>
      </c>
      <c r="J9" s="983"/>
      <c r="K9" s="2189" t="s">
        <v>3023</v>
      </c>
      <c r="L9" s="983"/>
      <c r="M9" s="2189"/>
      <c r="N9" s="983"/>
      <c r="O9" s="2189"/>
      <c r="P9" s="983"/>
      <c r="Q9" s="2189"/>
      <c r="R9" s="983"/>
      <c r="S9" s="2189"/>
      <c r="T9" s="983"/>
      <c r="U9" s="2189"/>
      <c r="V9" s="983"/>
      <c r="W9" s="2189"/>
      <c r="X9" s="2190"/>
      <c r="Y9" s="2189"/>
      <c r="Z9" s="983"/>
      <c r="AA9" s="2189"/>
      <c r="AB9" s="983"/>
      <c r="AC9" s="2181" t="s">
        <v>1857</v>
      </c>
      <c r="AD9" s="14" t="s">
        <v>1858</v>
      </c>
      <c r="AE9" s="1300"/>
      <c r="AF9" s="14" t="s">
        <v>1859</v>
      </c>
      <c r="AG9" s="1300"/>
      <c r="AH9" s="14" t="s">
        <v>1858</v>
      </c>
      <c r="AI9" s="1300"/>
      <c r="AJ9" s="14" t="s">
        <v>1859</v>
      </c>
      <c r="AK9" s="1300"/>
      <c r="AL9" s="14" t="s">
        <v>1858</v>
      </c>
      <c r="AM9" s="1300"/>
      <c r="AN9" s="14" t="s">
        <v>1859</v>
      </c>
      <c r="AO9" s="1300"/>
      <c r="AP9" s="14" t="s">
        <v>1858</v>
      </c>
      <c r="AQ9" s="1300"/>
      <c r="AR9" s="14" t="s">
        <v>1859</v>
      </c>
      <c r="AS9" s="2191"/>
      <c r="AT9" s="2180"/>
      <c r="AU9" s="2180" t="s">
        <v>1860</v>
      </c>
      <c r="AV9" s="1294"/>
      <c r="AW9" s="2163"/>
      <c r="AX9" s="1294"/>
      <c r="AY9" s="27"/>
      <c r="AZ9" s="27" t="s">
        <v>1850</v>
      </c>
      <c r="BA9" s="2192" t="s">
        <v>1861</v>
      </c>
      <c r="BB9" s="2193"/>
      <c r="BC9" s="1340"/>
      <c r="BD9" s="1340"/>
      <c r="BE9" s="1340"/>
      <c r="BF9" s="1340"/>
      <c r="BG9" s="1340"/>
      <c r="BH9" s="1340"/>
      <c r="BI9" s="1340"/>
      <c r="BJ9" s="1340"/>
      <c r="BK9" s="2194"/>
      <c r="BL9" s="14" t="s">
        <v>1862</v>
      </c>
      <c r="BM9" s="1819"/>
      <c r="BN9" s="2183"/>
      <c r="BO9" s="1819"/>
      <c r="BP9" s="1819"/>
      <c r="BQ9" s="1819"/>
      <c r="BR9" s="1819"/>
      <c r="BS9" s="1819"/>
      <c r="BT9" s="25"/>
    </row>
    <row r="10" spans="1:72" s="2187" customFormat="1" ht="12.75">
      <c r="A10" s="2180"/>
      <c r="B10" s="2180"/>
      <c r="C10" s="2180"/>
      <c r="D10" s="2180"/>
      <c r="E10" s="2180"/>
      <c r="F10" s="2180"/>
      <c r="G10" s="1294"/>
      <c r="H10" s="27"/>
      <c r="I10" s="2189" t="s">
        <v>1372</v>
      </c>
      <c r="J10" s="983"/>
      <c r="K10" s="2195" t="s">
        <v>1372</v>
      </c>
      <c r="L10" s="983"/>
      <c r="M10" s="2195"/>
      <c r="N10" s="983"/>
      <c r="O10" s="2195"/>
      <c r="P10" s="983"/>
      <c r="Q10" s="2195"/>
      <c r="R10" s="983"/>
      <c r="S10" s="2195"/>
      <c r="T10" s="983"/>
      <c r="U10" s="2195"/>
      <c r="V10" s="983"/>
      <c r="W10" s="2195"/>
      <c r="X10" s="983"/>
      <c r="Y10" s="2195"/>
      <c r="Z10" s="983"/>
      <c r="AA10" s="2195"/>
      <c r="AB10" s="983"/>
      <c r="AC10" s="1294"/>
      <c r="AD10" s="14" t="s">
        <v>1863</v>
      </c>
      <c r="AE10" s="2196"/>
      <c r="AF10" s="14" t="s">
        <v>1863</v>
      </c>
      <c r="AG10" s="2196"/>
      <c r="AH10" s="14" t="s">
        <v>1864</v>
      </c>
      <c r="AI10" s="2196"/>
      <c r="AJ10" s="14" t="s">
        <v>1864</v>
      </c>
      <c r="AK10" s="2196"/>
      <c r="AL10" s="14" t="s">
        <v>1865</v>
      </c>
      <c r="AM10" s="1300"/>
      <c r="AN10" s="14" t="s">
        <v>1865</v>
      </c>
      <c r="AO10" s="1300"/>
      <c r="AP10" s="14" t="s">
        <v>1866</v>
      </c>
      <c r="AQ10" s="1300"/>
      <c r="AR10" s="14" t="s">
        <v>1866</v>
      </c>
      <c r="AS10" s="1300"/>
      <c r="AT10" s="2180"/>
      <c r="AU10" s="2180"/>
      <c r="AV10" s="1294"/>
      <c r="AW10" s="2163"/>
      <c r="AX10" s="1294"/>
      <c r="AY10" s="27"/>
      <c r="AZ10" s="27"/>
      <c r="BA10" s="2197" t="s">
        <v>1857</v>
      </c>
      <c r="BB10" s="2198" t="str">
        <f>I9</f>
        <v>地上</v>
      </c>
      <c r="BC10" s="28" t="str">
        <f>K9</f>
        <v>地上</v>
      </c>
      <c r="BD10" s="28">
        <f>M9</f>
        <v>0</v>
      </c>
      <c r="BE10" s="28">
        <f>O9</f>
        <v>0</v>
      </c>
      <c r="BF10" s="28">
        <f>Q9</f>
        <v>0</v>
      </c>
      <c r="BG10" s="28">
        <f>S9</f>
        <v>0</v>
      </c>
      <c r="BH10" s="28">
        <f>U9</f>
        <v>0</v>
      </c>
      <c r="BI10" s="28">
        <f>W9</f>
        <v>0</v>
      </c>
      <c r="BJ10" s="28">
        <f>Y9</f>
        <v>0</v>
      </c>
      <c r="BK10" s="28">
        <f>AA9</f>
        <v>0</v>
      </c>
      <c r="BL10" s="24" t="s">
        <v>1857</v>
      </c>
      <c r="BM10" s="1818" t="str">
        <f>AD9</f>
        <v>地上</v>
      </c>
      <c r="BN10" s="28" t="str">
        <f>AF9</f>
        <v>地下</v>
      </c>
      <c r="BO10" s="1818" t="str">
        <f>AH9</f>
        <v>地上</v>
      </c>
      <c r="BP10" s="28" t="str">
        <f>AJ9</f>
        <v>地下</v>
      </c>
      <c r="BQ10" s="1818" t="str">
        <f>AL9</f>
        <v>地上</v>
      </c>
      <c r="BR10" s="28" t="str">
        <f>AN9</f>
        <v>地下</v>
      </c>
      <c r="BS10" s="1818" t="str">
        <f>AP9</f>
        <v>地上</v>
      </c>
      <c r="BT10" s="2199" t="str">
        <f>AR9</f>
        <v>地下</v>
      </c>
    </row>
    <row r="11" spans="1:72" s="2187" customFormat="1" ht="12.75">
      <c r="A11" s="2180"/>
      <c r="B11" s="2180"/>
      <c r="C11" s="2180"/>
      <c r="D11" s="2180"/>
      <c r="E11" s="2180"/>
      <c r="F11" s="2180"/>
      <c r="G11" s="1294"/>
      <c r="H11" s="2197"/>
      <c r="I11" s="2200" t="s">
        <v>3019</v>
      </c>
      <c r="J11" s="2201"/>
      <c r="K11" s="2200" t="s">
        <v>3021</v>
      </c>
      <c r="L11" s="2201"/>
      <c r="M11" s="2200"/>
      <c r="N11" s="2201"/>
      <c r="O11" s="2200"/>
      <c r="P11" s="2201"/>
      <c r="Q11" s="2200"/>
      <c r="R11" s="2201"/>
      <c r="S11" s="2200"/>
      <c r="T11" s="2201"/>
      <c r="U11" s="2200"/>
      <c r="V11" s="2201"/>
      <c r="W11" s="2200"/>
      <c r="X11" s="2201"/>
      <c r="Y11" s="2200"/>
      <c r="Z11" s="2201"/>
      <c r="AA11" s="2200"/>
      <c r="AB11" s="2201"/>
      <c r="AC11" s="1294"/>
      <c r="AD11" s="2202" t="s">
        <v>1867</v>
      </c>
      <c r="AE11" s="1820"/>
      <c r="AF11" s="2202" t="s">
        <v>1867</v>
      </c>
      <c r="AG11" s="1820"/>
      <c r="AH11" s="2202" t="s">
        <v>1868</v>
      </c>
      <c r="AI11" s="2203"/>
      <c r="AJ11" s="2202" t="s">
        <v>1868</v>
      </c>
      <c r="AK11" s="1820"/>
      <c r="AL11" s="1818"/>
      <c r="AM11" s="1820"/>
      <c r="AN11" s="1818"/>
      <c r="AO11" s="1820"/>
      <c r="AP11" s="1818"/>
      <c r="AQ11" s="1820"/>
      <c r="AR11" s="1818"/>
      <c r="AS11" s="1820"/>
      <c r="AT11" s="2163"/>
      <c r="AU11" s="2180"/>
      <c r="AV11" s="1294"/>
      <c r="AW11" s="2163"/>
      <c r="AX11" s="1294"/>
      <c r="AY11" s="27"/>
      <c r="AZ11" s="27"/>
      <c r="BA11" s="27"/>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7"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3" t="s">
        <v>1870</v>
      </c>
      <c r="W12" s="11" t="s">
        <v>1869</v>
      </c>
      <c r="X12" s="11" t="s">
        <v>1870</v>
      </c>
      <c r="Y12" s="11" t="s">
        <v>1869</v>
      </c>
      <c r="Z12" s="11" t="s">
        <v>1870</v>
      </c>
      <c r="AA12" s="11" t="s">
        <v>1869</v>
      </c>
      <c r="AB12" s="11" t="s">
        <v>1870</v>
      </c>
      <c r="AC12" s="2207"/>
      <c r="AD12" s="1807"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29" t="s">
        <v>1869</v>
      </c>
      <c r="AS12" s="2205" t="s">
        <v>1870</v>
      </c>
      <c r="AT12" s="2208"/>
      <c r="AU12" s="2205"/>
      <c r="AV12" s="30"/>
      <c r="AW12" s="2164"/>
      <c r="AX12" s="30"/>
      <c r="AY12" s="2209"/>
      <c r="AZ12" s="27"/>
      <c r="BA12" s="2197"/>
      <c r="BB12" s="23" t="str">
        <f>I11</f>
        <v>酒店用房</v>
      </c>
      <c r="BC12" s="2210" t="str">
        <f>K11</f>
        <v>商业用房</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3" t="str">
        <f>AH11</f>
        <v>（住宅、计出让金）</v>
      </c>
      <c r="BP12" s="23" t="str">
        <f>AJ11</f>
        <v>（住宅、计出让金）</v>
      </c>
      <c r="BQ12" s="23">
        <f>AL11</f>
        <v>0</v>
      </c>
      <c r="BR12" s="23">
        <f>AN11</f>
        <v>0</v>
      </c>
      <c r="BS12" s="24">
        <f>AP11</f>
        <v>0</v>
      </c>
      <c r="BT12" s="2204">
        <f>AR11</f>
        <v>0</v>
      </c>
    </row>
    <row r="13" spans="1:72" s="2165" customFormat="1" ht="12.75">
      <c r="A13" s="1274"/>
      <c r="B13" s="1274"/>
      <c r="C13" s="1274"/>
      <c r="D13" s="2211" t="s">
        <v>3024</v>
      </c>
      <c r="E13" s="15">
        <f>IF($C$3="是",ROUND($A$3*G13/$B$3,2),ROUND($A$3*(G13-AT13)/$B$3,2))</f>
        <v>9365.7099999999991</v>
      </c>
      <c r="F13" s="31"/>
      <c r="G13" s="32">
        <f>H13+AC13+AT13</f>
        <v>12111.68</v>
      </c>
      <c r="H13" s="19">
        <f>SUMIF(I$12:AB$12,"总值",I13:AB13)</f>
        <v>12111.68</v>
      </c>
      <c r="I13" s="2212">
        <v>10206.15</v>
      </c>
      <c r="J13" s="2212"/>
      <c r="K13" s="2212">
        <v>1905.53</v>
      </c>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7">
        <f>ROUND($AY$6*AZ13/$AZ$5,2)</f>
        <v>9365.7099999999991</v>
      </c>
      <c r="AZ13" s="15">
        <f>BA13+BL13</f>
        <v>12111.68</v>
      </c>
      <c r="BA13" s="15">
        <f>SUM(BB13:BK13)</f>
        <v>12111.68</v>
      </c>
      <c r="BB13" s="15">
        <f>IF($D13="是",I13-J13,0)</f>
        <v>10206.15</v>
      </c>
      <c r="BC13" s="15">
        <f>IF($D13="是",K13-L13,0)</f>
        <v>1905.53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4"/>
      <c r="B14" s="1274"/>
      <c r="C14" s="2151"/>
      <c r="D14" s="2211"/>
      <c r="E14" s="15">
        <f>IF($C$3="是",ROUND($A$3*G14/$B$3,2),ROUND($A$3*(G14-AT14)/$B$3,2))</f>
        <v>0</v>
      </c>
      <c r="F14" s="31"/>
      <c r="G14" s="32">
        <f>H14+AC14+AT14</f>
        <v>0</v>
      </c>
      <c r="H14" s="19">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4"/>
      <c r="B15" s="1274"/>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4"/>
      <c r="B16" s="1274"/>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4"/>
      <c r="B17" s="1274"/>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52</v>
      </c>
      <c r="E1" s="3048" t="s">
        <v>53</v>
      </c>
      <c r="F1" s="3048"/>
      <c r="G1" s="3048"/>
      <c r="H1" s="3048"/>
      <c r="I1" s="3048"/>
      <c r="J1" s="3048"/>
      <c r="K1" s="3048"/>
      <c r="L1" s="3048"/>
      <c r="M1" s="3048"/>
    </row>
    <row r="2" spans="1:13" ht="27" customHeight="1">
      <c r="A2" s="3047"/>
      <c r="B2" s="3047"/>
      <c r="C2" s="3047"/>
      <c r="D2" s="3048"/>
      <c r="E2" s="3048" t="s">
        <v>36</v>
      </c>
      <c r="F2" s="3048" t="s">
        <v>37</v>
      </c>
      <c r="G2" s="3048"/>
      <c r="H2" s="3048"/>
      <c r="I2" s="3048"/>
      <c r="J2" s="3048" t="s">
        <v>38</v>
      </c>
      <c r="K2" s="3048"/>
      <c r="L2" s="3048"/>
      <c r="M2" s="3048"/>
    </row>
    <row r="3" spans="1:13" ht="28.5">
      <c r="A3" s="3047"/>
      <c r="B3" s="3047"/>
      <c r="C3" s="3047"/>
      <c r="D3" s="3048"/>
      <c r="E3" s="3048"/>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48" t="s">
        <v>54</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1896</v>
      </c>
      <c r="B1" s="1394"/>
      <c r="C1" s="1394"/>
      <c r="D1" s="1394"/>
      <c r="E1" s="1394"/>
      <c r="F1" s="1394"/>
      <c r="G1" s="1394"/>
      <c r="H1" s="1394"/>
      <c r="I1" s="1394"/>
      <c r="J1" s="1394"/>
      <c r="K1" s="1394"/>
      <c r="L1" s="1394"/>
      <c r="M1" s="1394"/>
      <c r="N1" s="1394"/>
      <c r="O1" s="1394"/>
      <c r="P1" s="1394"/>
    </row>
    <row r="2" spans="1:16" ht="15">
      <c r="A2" s="3058" t="s">
        <v>1897</v>
      </c>
      <c r="B2" s="3058"/>
      <c r="C2" s="3058"/>
      <c r="D2" s="969" t="s">
        <v>1873</v>
      </c>
      <c r="E2" s="2225" t="s">
        <v>1874</v>
      </c>
      <c r="F2" s="1394"/>
      <c r="G2" s="2226"/>
      <c r="H2" s="2227"/>
      <c r="I2" s="2228" t="s">
        <v>1898</v>
      </c>
      <c r="J2" s="1394"/>
      <c r="K2" s="1394"/>
      <c r="L2" s="1394"/>
      <c r="M2" s="1394"/>
      <c r="N2" s="1429"/>
      <c r="O2" s="1394"/>
      <c r="P2" s="1394"/>
    </row>
    <row r="3" spans="1:16" ht="15.75" thickBot="1">
      <c r="A3" s="3059" t="s">
        <v>1871</v>
      </c>
      <c r="B3" s="3059"/>
      <c r="C3" s="3059"/>
      <c r="D3" s="45">
        <f>'数据-基础表'!AY6</f>
        <v>9365.7099999999991</v>
      </c>
      <c r="E3" s="45">
        <f>'数据-基础表'!AZ5</f>
        <v>12111.68</v>
      </c>
      <c r="F3" s="1394"/>
      <c r="G3" s="1401"/>
      <c r="H3" s="1249" t="s">
        <v>1872</v>
      </c>
      <c r="I3" s="54">
        <f>ROUND('数据-基础表'!B3/'数据-基础表'!A3,2)</f>
        <v>1.29</v>
      </c>
      <c r="J3" s="1394"/>
      <c r="K3" s="1394"/>
      <c r="L3" s="1394"/>
      <c r="M3" s="1394"/>
      <c r="N3" s="1429"/>
      <c r="O3" s="1394"/>
      <c r="P3" s="1394"/>
    </row>
    <row r="4" spans="1:16" ht="15">
      <c r="A4" s="3060"/>
      <c r="B4" s="3061"/>
      <c r="C4" s="3062"/>
      <c r="D4" s="2229" t="s">
        <v>1873</v>
      </c>
      <c r="E4" s="2230" t="s">
        <v>1874</v>
      </c>
      <c r="F4" s="1394"/>
      <c r="G4" s="2231" t="s">
        <v>1899</v>
      </c>
      <c r="H4" s="1249" t="s">
        <v>1879</v>
      </c>
      <c r="I4" s="54">
        <f>ROUND(SUMIF('数据-基础表'!I9:AS9,"地上",'数据-基础表'!I5:AS5)/'数据-基础表'!A3,2)</f>
        <v>1.29</v>
      </c>
      <c r="J4" s="1394"/>
      <c r="K4" s="1394"/>
      <c r="L4" s="1394"/>
      <c r="M4" s="1394"/>
      <c r="N4" s="1429"/>
      <c r="O4" s="1394"/>
      <c r="P4" s="1394"/>
    </row>
    <row r="5" spans="1:16">
      <c r="A5" s="46" t="s">
        <v>1875</v>
      </c>
      <c r="B5" s="3063" t="s">
        <v>1876</v>
      </c>
      <c r="C5" s="3063"/>
      <c r="D5" s="47">
        <f>ROUND($D$3*E5/$E$3,2)</f>
        <v>0</v>
      </c>
      <c r="E5" s="48">
        <f>SUMIF('数据-基础表'!$11:$11,"住宅",'数据-基础表'!$5:$5)</f>
        <v>0</v>
      </c>
      <c r="F5" s="1394"/>
      <c r="G5" s="1401"/>
      <c r="H5" s="1249" t="s">
        <v>1872</v>
      </c>
      <c r="I5" s="54">
        <f>ROUND(E31/D31,2)</f>
        <v>1.29</v>
      </c>
      <c r="J5" s="1394"/>
      <c r="K5" s="1394"/>
      <c r="L5" s="1394"/>
      <c r="M5" s="1394"/>
      <c r="N5" s="1394"/>
      <c r="O5" s="1394"/>
      <c r="P5" s="1394"/>
    </row>
    <row r="6" spans="1:16" ht="15" thickBot="1">
      <c r="A6" s="2232"/>
      <c r="B6" s="3063" t="s">
        <v>1877</v>
      </c>
      <c r="C6" s="3063"/>
      <c r="D6" s="47">
        <f>ROUND($D$3*E6/$E$3,2)</f>
        <v>9365.7099999999991</v>
      </c>
      <c r="E6" s="48">
        <f>E3-E5</f>
        <v>12111.68</v>
      </c>
      <c r="F6" s="1394"/>
      <c r="G6" s="2233" t="s">
        <v>1878</v>
      </c>
      <c r="H6" s="1401" t="s">
        <v>1879</v>
      </c>
      <c r="I6" s="941">
        <f>ROUND(F31/D31,2)</f>
        <v>1.29</v>
      </c>
      <c r="J6" s="1394"/>
      <c r="K6" s="1394"/>
      <c r="L6" s="1394"/>
      <c r="M6" s="1394"/>
      <c r="N6" s="1394"/>
      <c r="O6" s="1394"/>
      <c r="P6" s="1394"/>
    </row>
    <row r="7" spans="1:16" ht="15">
      <c r="A7" s="3055"/>
      <c r="B7" s="3056"/>
      <c r="C7" s="3057"/>
      <c r="D7" s="2229" t="s">
        <v>1873</v>
      </c>
      <c r="E7" s="2234" t="s">
        <v>1880</v>
      </c>
      <c r="F7" s="1394"/>
      <c r="G7" s="2226" t="s">
        <v>1881</v>
      </c>
      <c r="H7" s="63"/>
      <c r="I7" s="419"/>
      <c r="J7" s="1394"/>
      <c r="K7" s="1394"/>
      <c r="L7" s="1394"/>
      <c r="M7" s="1394"/>
      <c r="N7" s="1394"/>
      <c r="O7" s="1394"/>
      <c r="P7" s="1394"/>
    </row>
    <row r="8" spans="1:16">
      <c r="A8" s="46" t="s">
        <v>1882</v>
      </c>
      <c r="B8" s="49" t="s">
        <v>1883</v>
      </c>
      <c r="C8" s="47" t="s">
        <v>1884</v>
      </c>
      <c r="D8" s="47">
        <f t="shared" ref="D8:D15" si="0">ROUND($D$3*E8/$E$3,2)</f>
        <v>9365.7099999999991</v>
      </c>
      <c r="E8" s="50">
        <f>SUMIF('数据-基础表'!BB10:BK10,"地上",'数据-基础表'!BB5:BK5)</f>
        <v>12111.68</v>
      </c>
      <c r="F8" s="1394"/>
      <c r="G8" s="2235"/>
      <c r="H8" s="2235"/>
      <c r="I8" s="1394"/>
      <c r="J8" s="1394"/>
      <c r="K8" s="1394"/>
      <c r="L8" s="1394"/>
      <c r="M8" s="1394"/>
      <c r="N8" s="1394"/>
      <c r="O8" s="1394"/>
      <c r="P8" s="1394"/>
    </row>
    <row r="9" spans="1:16">
      <c r="A9" s="2236"/>
      <c r="B9" s="2237"/>
      <c r="C9" s="47" t="s">
        <v>1885</v>
      </c>
      <c r="D9" s="47">
        <f t="shared" si="0"/>
        <v>0</v>
      </c>
      <c r="E9" s="51">
        <v>0</v>
      </c>
      <c r="F9" s="1394"/>
      <c r="G9" s="2235"/>
      <c r="H9" s="2235"/>
      <c r="I9" s="1394"/>
      <c r="J9" s="1394"/>
      <c r="K9" s="1394"/>
      <c r="L9" s="1394"/>
      <c r="M9" s="1394"/>
      <c r="N9" s="1394"/>
      <c r="O9" s="1394"/>
      <c r="P9" s="1394"/>
    </row>
    <row r="10" spans="1:16">
      <c r="A10" s="2236"/>
      <c r="B10" s="2237"/>
      <c r="C10" s="47" t="s">
        <v>1894</v>
      </c>
      <c r="D10" s="47">
        <f t="shared" si="0"/>
        <v>0</v>
      </c>
      <c r="E10" s="50">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7" t="s">
        <v>1886</v>
      </c>
      <c r="D11" s="47">
        <f t="shared" si="0"/>
        <v>0</v>
      </c>
      <c r="E11" s="50">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7" t="s">
        <v>1887</v>
      </c>
      <c r="D12" s="47">
        <f t="shared" si="0"/>
        <v>0</v>
      </c>
      <c r="E12" s="50">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7" t="s">
        <v>1888</v>
      </c>
      <c r="D13" s="47">
        <f t="shared" si="0"/>
        <v>0</v>
      </c>
      <c r="E13" s="50">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7" t="s">
        <v>1900</v>
      </c>
      <c r="D14" s="47">
        <f t="shared" si="0"/>
        <v>0</v>
      </c>
      <c r="E14" s="50">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7" t="s">
        <v>1895</v>
      </c>
      <c r="D15" s="47">
        <f t="shared" si="0"/>
        <v>0</v>
      </c>
      <c r="E15" s="50">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49" t="s">
        <v>1889</v>
      </c>
      <c r="D16" s="49">
        <f>SUM(D8:D15)</f>
        <v>9365.7099999999991</v>
      </c>
      <c r="E16" s="52">
        <f>SUM(E8:E15)</f>
        <v>12111.68</v>
      </c>
      <c r="F16" s="1394"/>
      <c r="G16" s="2235"/>
      <c r="H16" s="2238" t="s">
        <v>1901</v>
      </c>
      <c r="I16" s="2239"/>
      <c r="J16" s="1394"/>
      <c r="K16" s="3052" t="s">
        <v>1901</v>
      </c>
      <c r="L16" s="3053"/>
      <c r="M16" s="3053"/>
      <c r="N16" s="3053"/>
      <c r="O16" s="3053"/>
      <c r="P16" s="3054"/>
    </row>
    <row r="17" spans="1:19" ht="15">
      <c r="A17" s="2240" t="s">
        <v>1902</v>
      </c>
      <c r="B17" s="2241" t="s">
        <v>1903</v>
      </c>
      <c r="C17" s="2242" t="s">
        <v>1904</v>
      </c>
      <c r="D17" s="2243" t="s">
        <v>1892</v>
      </c>
      <c r="E17" s="2244" t="s">
        <v>1893</v>
      </c>
      <c r="F17" s="2245"/>
      <c r="G17" s="2246"/>
      <c r="H17" s="2247" t="s">
        <v>1905</v>
      </c>
      <c r="I17" s="2248" t="s">
        <v>1890</v>
      </c>
      <c r="J17" s="1394"/>
      <c r="K17" s="3049" t="s">
        <v>1906</v>
      </c>
      <c r="L17" s="3050"/>
      <c r="M17" s="3051"/>
      <c r="N17" s="3049" t="s">
        <v>1907</v>
      </c>
      <c r="O17" s="3050"/>
      <c r="P17" s="3051"/>
      <c r="R17" s="2226" t="s">
        <v>1908</v>
      </c>
      <c r="S17" s="63"/>
    </row>
    <row r="18" spans="1:19" ht="15">
      <c r="A18" s="2236"/>
      <c r="B18" s="2249"/>
      <c r="C18" s="2250"/>
      <c r="D18" s="2251"/>
      <c r="E18" s="2252" t="s">
        <v>1909</v>
      </c>
      <c r="F18" s="2253" t="s">
        <v>1910</v>
      </c>
      <c r="G18" s="2254" t="s">
        <v>1911</v>
      </c>
      <c r="H18" s="1264" t="s">
        <v>1912</v>
      </c>
      <c r="I18" s="2255" t="s">
        <v>1913</v>
      </c>
      <c r="J18" s="1394"/>
      <c r="K18" s="1264" t="s">
        <v>1914</v>
      </c>
      <c r="L18" s="2256" t="s">
        <v>1915</v>
      </c>
      <c r="M18" s="1048" t="s">
        <v>1916</v>
      </c>
      <c r="N18" s="1264" t="s">
        <v>1914</v>
      </c>
      <c r="O18" s="2256" t="s">
        <v>1915</v>
      </c>
      <c r="P18" s="1048" t="s">
        <v>1916</v>
      </c>
      <c r="R18" s="1249" t="s">
        <v>1917</v>
      </c>
      <c r="S18" s="1249" t="s">
        <v>1918</v>
      </c>
    </row>
    <row r="19" spans="1:19">
      <c r="A19" s="2257"/>
      <c r="B19" s="49" t="s">
        <v>1891</v>
      </c>
      <c r="C19" s="2258" t="str">
        <f>定义!A2</f>
        <v>酒店用房</v>
      </c>
      <c r="D19" s="47">
        <f>ROUND($D$3*E19/$E$3,2)</f>
        <v>7892.2</v>
      </c>
      <c r="E19" s="55">
        <f t="shared" ref="E19:E26" si="1">SUM(F19:G19)</f>
        <v>10206.15</v>
      </c>
      <c r="F19" s="56">
        <f>'数据-基础表'!I13</f>
        <v>10206.15</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7892.2</v>
      </c>
      <c r="S19" s="1250">
        <f t="shared" si="5"/>
        <v>10206.15</v>
      </c>
    </row>
    <row r="20" spans="1:19">
      <c r="A20" s="2261"/>
      <c r="B20" s="49" t="s">
        <v>1919</v>
      </c>
      <c r="C20" s="2258" t="str">
        <f>定义!A3</f>
        <v>商业用房</v>
      </c>
      <c r="D20" s="47">
        <f t="shared" ref="D20:D26" si="6">ROUND($D$3*E20/$E$3,2)</f>
        <v>1473.51</v>
      </c>
      <c r="E20" s="55">
        <f t="shared" si="1"/>
        <v>1905.53</v>
      </c>
      <c r="F20" s="56">
        <f>'数据-基础表'!K13</f>
        <v>1905.53</v>
      </c>
      <c r="G20" s="57"/>
      <c r="H20" s="722">
        <f t="shared" ref="H20:H26" si="7">ROUND($D$3*I20/$E$3,2)</f>
        <v>0</v>
      </c>
      <c r="I20" s="50">
        <f t="shared" si="2"/>
        <v>0</v>
      </c>
      <c r="J20" s="1394"/>
      <c r="K20" s="1393">
        <f t="shared" si="3"/>
        <v>0</v>
      </c>
      <c r="L20" s="1249">
        <f t="shared" si="4"/>
        <v>0</v>
      </c>
      <c r="M20" s="1405">
        <f t="shared" ref="M20:M26" si="8">K20+L20</f>
        <v>0</v>
      </c>
      <c r="N20" s="2259"/>
      <c r="O20" s="2260"/>
      <c r="P20" s="1405">
        <f t="shared" ref="P20:P26" si="9">N20+O20</f>
        <v>0</v>
      </c>
      <c r="R20" s="1249">
        <f t="shared" si="5"/>
        <v>1473.51</v>
      </c>
      <c r="S20" s="1250">
        <f t="shared" si="5"/>
        <v>1905.53</v>
      </c>
    </row>
    <row r="21" spans="1:19">
      <c r="A21" s="2261"/>
      <c r="B21" s="49" t="s">
        <v>1919</v>
      </c>
      <c r="C21" s="2258"/>
      <c r="D21" s="47">
        <f t="shared" si="6"/>
        <v>0</v>
      </c>
      <c r="E21" s="55">
        <f t="shared" si="1"/>
        <v>0</v>
      </c>
      <c r="F21" s="56"/>
      <c r="G21" s="57"/>
      <c r="H21" s="722">
        <f t="shared" si="7"/>
        <v>0</v>
      </c>
      <c r="I21" s="50">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49" t="s">
        <v>1919</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49" t="s">
        <v>1919</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49" t="s">
        <v>1919</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49" t="s">
        <v>1919</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49" t="s">
        <v>1919</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7"/>
      <c r="C27" s="2264" t="s">
        <v>1920</v>
      </c>
      <c r="D27" s="1395">
        <f>SUM(D19:D26)</f>
        <v>9365.7099999999991</v>
      </c>
      <c r="E27" s="1396">
        <f>IF(SUM(E19:E26)='数据-基础表'!BA5,SUM(E19:E26),IF(F27="地上面积有误","面积有误","地下面积有误"))</f>
        <v>12111.68</v>
      </c>
      <c r="F27" s="1395">
        <f>IF(SUM(F19:F26)=E8,SUM(F19:F26),"地上面积有误")</f>
        <v>12111.68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9365.7099999999991</v>
      </c>
      <c r="S27" s="1249">
        <f>IF(SUM(S19:S26)=$E$3,SUM(S19:S26),SUM(S19:S26)&amp;"误差"&amp;ROUND(SUM(S19:S26)-E3,2))</f>
        <v>12111.68</v>
      </c>
    </row>
    <row r="28" spans="1:19">
      <c r="A28" s="2261"/>
      <c r="B28" s="49" t="s">
        <v>1921</v>
      </c>
      <c r="C28" s="1261" t="s">
        <v>1922</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49" t="s">
        <v>1921</v>
      </c>
      <c r="C29" s="2265" t="s">
        <v>1923</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49"/>
      <c r="C30" s="2266" t="s">
        <v>1920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1924</v>
      </c>
      <c r="D31" s="728">
        <f>D27+D30</f>
        <v>9365.7099999999991</v>
      </c>
      <c r="E31" s="728">
        <f>E27+E30</f>
        <v>12111.68</v>
      </c>
      <c r="F31" s="729">
        <f>F27+F30</f>
        <v>12111.68</v>
      </c>
      <c r="G31" s="730">
        <f>G27+G30</f>
        <v>0</v>
      </c>
      <c r="H31" s="1394"/>
      <c r="I31" s="1394"/>
      <c r="J31" s="1394"/>
      <c r="K31" s="1394"/>
      <c r="L31" s="1394"/>
      <c r="M31" s="1394"/>
      <c r="N31" s="1394"/>
      <c r="O31" s="1394"/>
      <c r="P31" s="1394"/>
    </row>
    <row r="32" spans="1:19">
      <c r="A32" s="2231"/>
      <c r="B32" s="2231" t="s">
        <v>1925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9" sqref="M1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1926</v>
      </c>
      <c r="B1" s="731"/>
      <c r="C1" s="1582"/>
      <c r="D1" s="2271"/>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1927</v>
      </c>
      <c r="B2" s="1268">
        <f>项目基本情况!D3</f>
        <v>43206</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7" t="s">
        <v>1928</v>
      </c>
      <c r="B4" s="2279"/>
      <c r="C4" s="2280"/>
      <c r="D4" s="2281"/>
      <c r="E4" s="2280" t="s">
        <v>1929</v>
      </c>
      <c r="F4" s="2280"/>
      <c r="G4" s="2280"/>
      <c r="H4" s="2280"/>
      <c r="I4" s="2280"/>
      <c r="J4" s="2282"/>
      <c r="K4" s="2283"/>
      <c r="L4" s="2284"/>
      <c r="M4" s="2280"/>
      <c r="N4" s="2280" t="s">
        <v>1930</v>
      </c>
      <c r="O4" s="2280"/>
      <c r="P4" s="2280"/>
      <c r="Q4" s="2280"/>
      <c r="R4" s="2280"/>
      <c r="S4" s="2282"/>
      <c r="T4" s="2285" t="str">
        <f>'数据-汇总表'!I17</f>
        <v>按面积比例</v>
      </c>
      <c r="U4" s="2279" t="s">
        <v>1931</v>
      </c>
      <c r="V4" s="2280"/>
      <c r="W4" s="2280"/>
      <c r="X4" s="2280"/>
      <c r="Y4" s="2282"/>
      <c r="Z4" s="2242" t="s">
        <v>1932</v>
      </c>
      <c r="AA4" s="2242"/>
      <c r="AB4" s="2242"/>
      <c r="AC4" s="2242"/>
      <c r="AD4" s="2242"/>
      <c r="AE4" s="2240" t="s">
        <v>1933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1934</v>
      </c>
      <c r="B5" s="2288" t="s">
        <v>1935</v>
      </c>
      <c r="C5" s="2289" t="s">
        <v>1936</v>
      </c>
      <c r="D5" s="2290" t="s">
        <v>1937</v>
      </c>
      <c r="E5" s="1270" t="s">
        <v>1938</v>
      </c>
      <c r="F5" s="2291" t="s">
        <v>1939</v>
      </c>
      <c r="G5" s="1270" t="s">
        <v>1940</v>
      </c>
      <c r="H5" s="1270" t="s">
        <v>1941</v>
      </c>
      <c r="I5" s="1270" t="s">
        <v>1942</v>
      </c>
      <c r="J5" s="2292" t="s">
        <v>1943</v>
      </c>
      <c r="K5" s="2293" t="s">
        <v>1944</v>
      </c>
      <c r="L5" s="2294" t="s">
        <v>1945</v>
      </c>
      <c r="M5" s="2295" t="s">
        <v>1946</v>
      </c>
      <c r="N5" s="2296" t="s">
        <v>3026</v>
      </c>
      <c r="O5" s="2294" t="s">
        <v>1947</v>
      </c>
      <c r="P5" s="2297" t="s">
        <v>1948</v>
      </c>
      <c r="Q5" s="68" t="s">
        <v>1949</v>
      </c>
      <c r="R5" s="2298" t="s">
        <v>1950</v>
      </c>
      <c r="S5" s="2299" t="s">
        <v>1951</v>
      </c>
      <c r="T5" s="2300" t="s">
        <v>1952</v>
      </c>
      <c r="U5" s="1269" t="s">
        <v>1953</v>
      </c>
      <c r="V5" s="1270" t="s">
        <v>1954</v>
      </c>
      <c r="W5" s="1270" t="s">
        <v>1955</v>
      </c>
      <c r="X5" s="70"/>
      <c r="Y5" s="69" t="s">
        <v>1956</v>
      </c>
      <c r="Z5" s="2301" t="s">
        <v>1953</v>
      </c>
      <c r="AA5" s="1270" t="s">
        <v>1954</v>
      </c>
      <c r="AB5" s="1270" t="s">
        <v>1955</v>
      </c>
      <c r="AC5" s="70"/>
      <c r="AD5" s="70" t="s">
        <v>1956</v>
      </c>
      <c r="AE5" s="1269" t="s">
        <v>1957</v>
      </c>
      <c r="AF5" s="1270" t="s">
        <v>1958</v>
      </c>
      <c r="AG5" s="69" t="s">
        <v>1959</v>
      </c>
      <c r="AH5" s="1269" t="s">
        <v>1960</v>
      </c>
      <c r="AI5" s="2301" t="s">
        <v>1961</v>
      </c>
      <c r="AJ5" s="2301" t="s">
        <v>1962</v>
      </c>
      <c r="AK5" s="1270" t="s">
        <v>1963</v>
      </c>
      <c r="AL5" s="1270" t="s">
        <v>1964</v>
      </c>
      <c r="AM5" s="69" t="s">
        <v>1965</v>
      </c>
      <c r="AN5" s="2302" t="s">
        <v>1966</v>
      </c>
      <c r="AO5" s="2072" t="s">
        <v>1967</v>
      </c>
      <c r="AP5" s="1251"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酒店用房</v>
      </c>
      <c r="B6" s="2305" t="str">
        <f>IF(A6=0,"","经营性")</f>
        <v>经营性</v>
      </c>
      <c r="C6" s="2306" t="s">
        <v>1372</v>
      </c>
      <c r="D6" s="1053">
        <f>SUMIF(项目基本情况!D$12:I$12,C6,项目基本情况!D$14:I$14)</f>
        <v>40</v>
      </c>
      <c r="E6" s="1050">
        <f>IF(B6="","",SUMIF(项目基本情况!D$12:I$12,C6,项目基本情况!D$13:I$13))</f>
        <v>52992</v>
      </c>
      <c r="F6" s="71">
        <f>SUMIF(项目基本情况!D$12:I$12,C6,项目基本情况!D$15:I$15)</f>
        <v>26.81</v>
      </c>
      <c r="G6" s="72">
        <f>IF(ISERROR(ROUND(POWER(1+H6,D6-F6)*(POWER(1+H6,F6)-1)/(POWER(1+H6,D6)-1),3)),0,ROUND(POWER(1+H6,D6-F6)*(POWER(1+H6,F6)-1)/(POWER(1+H6,D6)-1),3))</f>
        <v>0.83699999999999997</v>
      </c>
      <c r="H6" s="801">
        <v>4.4999999999999998E-2</v>
      </c>
      <c r="I6" s="2963">
        <v>0.05</v>
      </c>
      <c r="J6" s="73">
        <v>8.5000000000000006E-2</v>
      </c>
      <c r="K6" s="1253">
        <f>SUMIF('数据-汇总表'!C$19:C$33,A6,'数据-汇总表'!E$19:E$33)</f>
        <v>10206.15</v>
      </c>
      <c r="L6" s="802">
        <v>2800</v>
      </c>
      <c r="M6" s="74">
        <f t="shared" ref="M6:M14" si="0">ROUND(K6*L6/10000,0)</f>
        <v>2858</v>
      </c>
      <c r="N6" s="800">
        <f>ROUND(1-(2018-2016)/60,2)</f>
        <v>0.97</v>
      </c>
      <c r="O6" s="74" t="str">
        <f>IF($N$5="成新度","——",ROUND(M6*N6,0))</f>
        <v>——</v>
      </c>
      <c r="P6" s="75" t="str">
        <f>IF($N$5="成新度","——",M6-O6)</f>
        <v>——</v>
      </c>
      <c r="Q6" s="2964">
        <v>0.15</v>
      </c>
      <c r="R6" s="76">
        <f ca="1">SUMIF('数据-汇总表'!C$19:C$33,A6,'数据-汇总表'!R$19:R$27)</f>
        <v>7892.2</v>
      </c>
      <c r="S6" s="53">
        <f>IF('数据-汇总表'!$I$17="按面积比例",SUMIF('数据-汇总表'!C$19:C$33,A6,'数据-汇总表'!K$19:K$33),SUMIF('数据-汇总表'!C$19:C$33,A6,'数据-汇总表'!N$19:N$33))</f>
        <v>0</v>
      </c>
      <c r="T6" s="1445">
        <f>ROUND($L$14*S6/10000,0)</f>
        <v>0</v>
      </c>
      <c r="U6" s="77">
        <v>0</v>
      </c>
      <c r="V6" s="78">
        <v>0</v>
      </c>
      <c r="W6" s="78">
        <v>0</v>
      </c>
      <c r="X6" s="1263"/>
      <c r="Y6" s="79">
        <f>N6</f>
        <v>0.97</v>
      </c>
      <c r="Z6" s="80">
        <v>3.5</v>
      </c>
      <c r="AA6" s="73">
        <v>0.03</v>
      </c>
      <c r="AB6" s="73">
        <v>0.1</v>
      </c>
      <c r="AC6" s="1263"/>
      <c r="AD6" s="81">
        <f>ROUND(1-(2019-2016)/60,2)</f>
        <v>0.95</v>
      </c>
      <c r="AE6" s="1264">
        <f ca="1">IF(AN6="",0,SUMIF(INDIRECT("'"&amp;AN6&amp;"'"&amp;"!E:E"),$AE$5,INDIRECT("'"&amp;AN6&amp;"'"&amp;"!F:F")))</f>
        <v>26.81</v>
      </c>
      <c r="AF6" s="1805">
        <v>1</v>
      </c>
      <c r="AG6" s="146">
        <f ca="1">IF(AF6="",0,AE6-AF6)</f>
        <v>25.81</v>
      </c>
      <c r="AH6" s="82"/>
      <c r="AI6" s="84">
        <v>365</v>
      </c>
      <c r="AJ6" s="85"/>
      <c r="AK6" s="86">
        <v>0.02</v>
      </c>
      <c r="AL6" s="87">
        <v>1.5E-3</v>
      </c>
      <c r="AM6" s="88">
        <v>0.03</v>
      </c>
      <c r="AN6" s="2307" t="s">
        <v>3107</v>
      </c>
      <c r="AO6" s="54">
        <f ca="1">SUMIF(INDIRECT("'"&amp;AN6&amp;"'"&amp;"!A:A"),"总价",INDIRECT("'"&amp;AN6&amp;"'"&amp;"!B:B"))</f>
        <v>17607</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商业用房</v>
      </c>
      <c r="B7" s="2305" t="str">
        <f t="shared" ref="B7:B13" si="1">IF(A7=0,"","经营性")</f>
        <v>经营性</v>
      </c>
      <c r="C7" s="2306" t="s">
        <v>1372</v>
      </c>
      <c r="D7" s="1053">
        <f>SUMIF(项目基本情况!D$12:I$12,C7,项目基本情况!D$14:I$14)</f>
        <v>40</v>
      </c>
      <c r="E7" s="1050">
        <f>IF(B7="","",SUMIF(项目基本情况!D$12:I$12,C7,项目基本情况!D$13:I$13))</f>
        <v>52992</v>
      </c>
      <c r="F7" s="71">
        <f>SUMIF(项目基本情况!D$12:I$12,C7,项目基本情况!D$15:I$15)</f>
        <v>26.81</v>
      </c>
      <c r="G7" s="72">
        <f t="shared" ref="G7:G11" si="2">IF(ISERROR(ROUND(POWER(1+H7,D7-F7)*(POWER(1+H7,F7)-1)/(POWER(1+H7,D7)-1),3)),0,ROUND(POWER(1+H7,D7-F7)*(POWER(1+H7,F7)-1)/(POWER(1+H7,D7)-1),3))</f>
        <v>0.83699999999999997</v>
      </c>
      <c r="H7" s="801">
        <v>4.4999999999999998E-2</v>
      </c>
      <c r="I7" s="2963">
        <v>5.5E-2</v>
      </c>
      <c r="J7" s="73">
        <v>8.5000000000000006E-2</v>
      </c>
      <c r="K7" s="1253">
        <f>SUMIF('数据-汇总表'!C$19:C$33,A7,'数据-汇总表'!E$19:E$33)</f>
        <v>1905.53</v>
      </c>
      <c r="L7" s="802">
        <v>3000</v>
      </c>
      <c r="M7" s="74">
        <f t="shared" si="0"/>
        <v>572</v>
      </c>
      <c r="N7" s="800">
        <f>ROUND(1-(2018-2016)/60,2)</f>
        <v>0.97</v>
      </c>
      <c r="O7" s="74" t="str">
        <f t="shared" ref="O7:O14" si="3">IF($N$5="成新度","——",ROUND(M7*N7,0))</f>
        <v>——</v>
      </c>
      <c r="P7" s="75" t="str">
        <f t="shared" ref="P7:P14" si="4">IF($N$5="成新度","——",M7-O7)</f>
        <v>——</v>
      </c>
      <c r="Q7" s="803">
        <v>0.15</v>
      </c>
      <c r="R7" s="76">
        <f ca="1">SUMIF('数据-汇总表'!C$19:C$33,A7,'数据-汇总表'!R$19:R$27)</f>
        <v>1473.51</v>
      </c>
      <c r="S7" s="53">
        <f>IF('数据-汇总表'!$I$17="按面积比例",SUMIF('数据-汇总表'!C$19:C$33,A7,'数据-汇总表'!K$19:K$33),SUMIF('数据-汇总表'!C$19:C$33,A7,'数据-汇总表'!N$19:N$33))</f>
        <v>0</v>
      </c>
      <c r="T7" s="1445">
        <f t="shared" ref="T7:T13" si="5">ROUND($L$14*S7/10000,0)</f>
        <v>0</v>
      </c>
      <c r="U7" s="77">
        <v>1.8</v>
      </c>
      <c r="V7" s="2965">
        <v>0</v>
      </c>
      <c r="W7" s="78">
        <v>0</v>
      </c>
      <c r="X7" s="1263"/>
      <c r="Y7" s="79">
        <f>N7</f>
        <v>0.97</v>
      </c>
      <c r="Z7" s="3324">
        <v>3</v>
      </c>
      <c r="AA7" s="73">
        <v>0.03</v>
      </c>
      <c r="AB7" s="73">
        <v>0.1</v>
      </c>
      <c r="AC7" s="1263"/>
      <c r="AD7" s="81">
        <f>ROUND(1-(2027-2016)/60,2)</f>
        <v>0.82</v>
      </c>
      <c r="AE7" s="1264">
        <f t="shared" ref="AE7:AE13" ca="1" si="6">IF(AN7="",0,SUMIF(INDIRECT("'"&amp;AN7&amp;"'"&amp;"!E:E"),$AE$5,INDIRECT("'"&amp;AN7&amp;"'"&amp;"!F:F")))</f>
        <v>26.81</v>
      </c>
      <c r="AF7" s="1805">
        <v>9.1199999999999992</v>
      </c>
      <c r="AG7" s="146">
        <f t="shared" ref="AG7:AG13" ca="1" si="7">IF(AF7="",0,AE7-AF7)</f>
        <v>17.689999999999998</v>
      </c>
      <c r="AH7" s="82"/>
      <c r="AI7" s="84">
        <v>365</v>
      </c>
      <c r="AJ7" s="85"/>
      <c r="AK7" s="86">
        <v>1.4999999999999999E-2</v>
      </c>
      <c r="AL7" s="87">
        <v>1.5E-3</v>
      </c>
      <c r="AM7" s="88">
        <v>0.01</v>
      </c>
      <c r="AN7" s="2307" t="s">
        <v>3058</v>
      </c>
      <c r="AO7" s="54">
        <f t="shared" ref="AO7:AO13" ca="1" si="8">SUMIF(INDIRECT("'"&amp;AN7&amp;"'"&amp;"!A:A"),"总价",INDIRECT("'"&amp;AN7&amp;"'"&amp;"!B:B"))</f>
        <v>1974</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5"/>
      <c r="AG8" s="146">
        <f t="shared" si="7"/>
        <v>0</v>
      </c>
      <c r="AH8" s="807"/>
      <c r="AI8" s="84"/>
      <c r="AJ8" s="85"/>
      <c r="AK8" s="808"/>
      <c r="AL8" s="809"/>
      <c r="AM8" s="810"/>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1971</v>
      </c>
      <c r="B14" s="2305" t="s">
        <v>1972</v>
      </c>
      <c r="C14" s="2310" t="s">
        <v>1971</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1973</v>
      </c>
      <c r="B15" s="2305" t="s">
        <v>1972</v>
      </c>
      <c r="C15" s="2310" t="s">
        <v>1974</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1975</v>
      </c>
      <c r="B16" s="96"/>
      <c r="C16" s="1007"/>
      <c r="D16" s="2312"/>
      <c r="E16" s="96"/>
      <c r="F16" s="96"/>
      <c r="G16" s="97">
        <f>ROUND(SUMPRODUCT(G6:G13,K6:K13)/SUMPRODUCT((G6:G13&gt;0)*(K6:K13)),3)</f>
        <v>0.83699999999999997</v>
      </c>
      <c r="H16" s="98">
        <f>ROUND(SUMPRODUCT(H6:H13,K6:K13)/SUMPRODUCT((H6:H13&gt;0)*(K6:K13)),3)</f>
        <v>4.4999999999999998E-2</v>
      </c>
      <c r="I16" s="99"/>
      <c r="J16" s="99"/>
      <c r="K16" s="100">
        <f>SUM(K6:K15)</f>
        <v>12111.68</v>
      </c>
      <c r="L16" s="101">
        <f>ROUND(M16*10000/SUM(K6:K14),0)</f>
        <v>2832</v>
      </c>
      <c r="M16" s="101">
        <f>SUM(M6:M14)</f>
        <v>3430</v>
      </c>
      <c r="N16" s="102">
        <f>ROUND(SUMPRODUCT(M6:M14,N6:N14)/M16,3)</f>
        <v>0.97</v>
      </c>
      <c r="O16" s="101">
        <f>SUM(O6:O14)</f>
        <v>0</v>
      </c>
      <c r="P16" s="101">
        <f>SUM(P6:P14)</f>
        <v>0</v>
      </c>
      <c r="Q16" s="103">
        <f>ROUND(SUMPRODUCT(Q6:Q13,K6:K13)/SUMPRODUCT((Q6:Q13&gt;0)*(K6:K13)),2)</f>
        <v>0.15</v>
      </c>
      <c r="R16" s="1257">
        <f ca="1">SUM(R6:R13)</f>
        <v>9365.7099999999991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2"/>
      <c r="D17" s="2271"/>
      <c r="E17" s="2271"/>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1976</v>
      </c>
      <c r="B18" s="2278"/>
      <c r="C18" s="2275"/>
      <c r="D18" s="2276"/>
      <c r="E18" s="2275"/>
      <c r="F18" s="2275"/>
      <c r="G18" s="2275"/>
      <c r="H18" s="2275"/>
      <c r="I18" s="2275"/>
      <c r="J18" s="2275"/>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1977</v>
      </c>
      <c r="B19" s="111">
        <v>0</v>
      </c>
      <c r="C19" s="2275" t="s">
        <v>1978</v>
      </c>
      <c r="D19" s="2276"/>
      <c r="E19" s="2275"/>
      <c r="F19" s="2275"/>
      <c r="G19" s="2275"/>
      <c r="H19" s="2275"/>
      <c r="I19" s="2275"/>
      <c r="J19" s="2275"/>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1979</v>
      </c>
      <c r="B20" s="112">
        <v>2</v>
      </c>
      <c r="C20" s="2275" t="s">
        <v>1980</v>
      </c>
      <c r="D20" s="2276"/>
      <c r="E20" s="2275"/>
      <c r="F20" s="2275"/>
      <c r="G20" s="2275"/>
      <c r="H20" s="2275"/>
      <c r="I20" s="2275"/>
      <c r="J20" s="2275"/>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1981</v>
      </c>
      <c r="B21" s="112">
        <v>2</v>
      </c>
      <c r="C21" s="2275"/>
      <c r="D21" s="2276"/>
      <c r="E21" s="2275"/>
      <c r="F21" s="2275"/>
      <c r="G21" s="2275"/>
      <c r="H21" s="2275"/>
      <c r="I21" s="2275"/>
      <c r="J21" s="2275"/>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1982</v>
      </c>
      <c r="B22" s="113">
        <f>B19+B20</f>
        <v>2</v>
      </c>
      <c r="C22" s="2275"/>
      <c r="D22" s="2276"/>
      <c r="E22" s="2275"/>
      <c r="F22" s="2275"/>
      <c r="G22" s="2275"/>
      <c r="H22" s="2275"/>
      <c r="I22" s="2275"/>
      <c r="J22" s="2275"/>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1983</v>
      </c>
      <c r="B23" s="113">
        <f>B19+B21</f>
        <v>2</v>
      </c>
      <c r="C23" s="2275"/>
      <c r="D23" s="2276"/>
      <c r="E23" s="2275"/>
      <c r="F23" s="2275"/>
      <c r="G23" s="2275"/>
      <c r="H23" s="2275"/>
      <c r="I23" s="2275"/>
      <c r="J23" s="2275"/>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1984</v>
      </c>
      <c r="B24" s="114">
        <f>B20-B21</f>
        <v>0</v>
      </c>
      <c r="C24" s="2275"/>
      <c r="D24" s="2276"/>
      <c r="E24" s="2275"/>
      <c r="F24" s="2275"/>
      <c r="G24" s="2275"/>
      <c r="H24" s="2275"/>
      <c r="I24" s="2275"/>
      <c r="J24" s="2275"/>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1985</v>
      </c>
      <c r="B26" s="2318" t="s">
        <v>1986</v>
      </c>
      <c r="C26" s="2319" t="s">
        <v>1987</v>
      </c>
      <c r="D26" s="2276"/>
      <c r="E26" s="2275"/>
      <c r="F26" s="2275"/>
      <c r="G26" s="2275"/>
      <c r="H26" s="2275"/>
      <c r="I26" s="2275"/>
      <c r="J26" s="2275"/>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1988</v>
      </c>
      <c r="B27" s="115">
        <v>58.3</v>
      </c>
      <c r="C27" s="1765" t="s">
        <v>1989</v>
      </c>
      <c r="D27" s="2321"/>
      <c r="E27" s="1429"/>
      <c r="F27" s="1429"/>
      <c r="G27" s="2275"/>
      <c r="H27" s="2275"/>
      <c r="I27" s="2275"/>
      <c r="J27" s="2275"/>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1990</v>
      </c>
      <c r="B28" s="118">
        <v>38.299999999999997</v>
      </c>
      <c r="C28" s="2324"/>
      <c r="D28" s="2321"/>
      <c r="E28" s="1429"/>
      <c r="F28" s="1429"/>
      <c r="G28" s="2275"/>
      <c r="H28" s="2275"/>
      <c r="I28" s="2275"/>
      <c r="J28" s="2275"/>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1991</v>
      </c>
      <c r="B29" s="120">
        <f ca="1">成本法!C10</f>
        <v>46</v>
      </c>
      <c r="C29" s="1765" t="s">
        <v>1992</v>
      </c>
      <c r="D29" s="2321"/>
      <c r="E29" s="1429"/>
      <c r="F29" s="1429"/>
      <c r="G29" s="2275"/>
      <c r="H29" s="2275"/>
      <c r="I29" s="2275"/>
      <c r="J29" s="2275"/>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1993</v>
      </c>
      <c r="B30" s="723">
        <v>200</v>
      </c>
      <c r="C30" s="2324"/>
      <c r="D30" s="2321"/>
      <c r="E30" s="1429"/>
      <c r="F30" s="1429"/>
      <c r="G30" s="2275"/>
      <c r="H30" s="2275"/>
      <c r="I30" s="2275"/>
      <c r="J30" s="2275"/>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1994</v>
      </c>
      <c r="B31" s="119">
        <f>B30-B32</f>
        <v>200</v>
      </c>
      <c r="C31" s="1765"/>
      <c r="D31" s="2321"/>
      <c r="E31" s="1429"/>
      <c r="F31" s="1429"/>
      <c r="G31" s="2275"/>
      <c r="H31" s="2275"/>
      <c r="I31" s="2275"/>
      <c r="J31" s="2275"/>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1995</v>
      </c>
      <c r="B32" s="724">
        <v>0</v>
      </c>
      <c r="C32" s="2324"/>
      <c r="D32" s="2276"/>
      <c r="E32" s="2275"/>
      <c r="F32" s="2275"/>
      <c r="G32" s="2275"/>
      <c r="H32" s="2275"/>
      <c r="I32" s="2275"/>
      <c r="J32" s="2275"/>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1996</v>
      </c>
      <c r="B33" s="725">
        <v>0.05</v>
      </c>
      <c r="C33" s="1764" t="s">
        <v>1997</v>
      </c>
      <c r="D33" s="2276"/>
      <c r="E33" s="2275"/>
      <c r="F33" s="2275"/>
      <c r="G33" s="2275"/>
      <c r="H33" s="2275"/>
      <c r="I33" s="2275"/>
      <c r="J33" s="2275"/>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1998</v>
      </c>
      <c r="B34" s="121">
        <v>0</v>
      </c>
      <c r="C34" s="1764" t="s">
        <v>1999</v>
      </c>
      <c r="D34" s="2276" t="s">
        <v>2000</v>
      </c>
      <c r="E34" s="731"/>
      <c r="F34" s="2275"/>
      <c r="G34" s="2275"/>
      <c r="H34" s="2275"/>
      <c r="I34" s="2275"/>
      <c r="J34" s="2275"/>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2001</v>
      </c>
      <c r="B35" s="118">
        <v>200</v>
      </c>
      <c r="C35" s="1764" t="s">
        <v>2002</v>
      </c>
      <c r="D35" s="2321"/>
      <c r="E35" s="1429"/>
      <c r="F35" s="1429"/>
      <c r="G35" s="2275"/>
      <c r="H35" s="2275"/>
      <c r="I35" s="2275"/>
      <c r="J35" s="2275"/>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2003</v>
      </c>
      <c r="B36" s="122">
        <v>1.4999999999999999E-2</v>
      </c>
      <c r="C36" s="1764" t="s">
        <v>2004</v>
      </c>
      <c r="D36" s="2276"/>
      <c r="E36" s="2275"/>
      <c r="F36" s="2275"/>
      <c r="G36" s="2275"/>
      <c r="H36" s="2275"/>
      <c r="I36" s="2275"/>
      <c r="J36" s="2275"/>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2005</v>
      </c>
      <c r="B37" s="123">
        <v>0.03</v>
      </c>
      <c r="C37" s="1764" t="s">
        <v>2006</v>
      </c>
      <c r="D37" s="2276"/>
      <c r="E37" s="2275"/>
      <c r="F37" s="2275"/>
      <c r="G37" s="2275"/>
      <c r="H37" s="2275"/>
      <c r="I37" s="2275"/>
      <c r="J37" s="2275"/>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2007</v>
      </c>
      <c r="B38" s="121">
        <v>0.02</v>
      </c>
      <c r="C38" s="1764" t="s">
        <v>2006</v>
      </c>
      <c r="D38" s="2276"/>
      <c r="E38" s="2275"/>
      <c r="F38" s="2275"/>
      <c r="G38" s="2275"/>
      <c r="H38" s="2275"/>
      <c r="I38" s="2275"/>
      <c r="J38" s="2275"/>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2008</v>
      </c>
      <c r="B39" s="361">
        <f ca="1">存贷款利率!I1</f>
        <v>1.4999999999999999E-2</v>
      </c>
      <c r="C39" s="1764"/>
      <c r="D39" s="2276"/>
      <c r="E39" s="2275"/>
      <c r="F39" s="2275"/>
      <c r="G39" s="2275"/>
      <c r="H39" s="2275"/>
      <c r="I39" s="2275"/>
      <c r="J39" s="2275"/>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2009</v>
      </c>
      <c r="B40" s="1302">
        <f ca="1">存贷款利率!G1</f>
        <v>4.7500000000000001E-2</v>
      </c>
      <c r="C40" s="1764" t="s">
        <v>2010</v>
      </c>
      <c r="D40" s="1582"/>
      <c r="E40" s="2276"/>
      <c r="F40" s="2275"/>
      <c r="G40" s="2275"/>
      <c r="H40" s="2275"/>
      <c r="I40" s="2275"/>
      <c r="J40" s="2275"/>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2011</v>
      </c>
      <c r="B41" s="124">
        <f>B42+B43</f>
        <v>5.5000000000000007E-2</v>
      </c>
      <c r="C41" s="1765"/>
      <c r="D41" s="1582"/>
      <c r="E41" s="2276"/>
      <c r="F41" s="2275"/>
      <c r="G41" s="2275"/>
      <c r="H41" s="2275"/>
      <c r="I41" s="2275"/>
      <c r="J41" s="2275"/>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2012</v>
      </c>
      <c r="B42" s="125">
        <v>0.05</v>
      </c>
      <c r="C42" s="2329">
        <f>IF(B2&lt;DATE(2016,5,1),0,B42)</f>
        <v>0.05</v>
      </c>
      <c r="D42" s="2276"/>
      <c r="E42" s="2275"/>
      <c r="F42" s="2275"/>
      <c r="G42" s="2275"/>
      <c r="H42" s="2275"/>
      <c r="I42" s="2275"/>
      <c r="J42" s="2275"/>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2013</v>
      </c>
      <c r="B43" s="126">
        <f>B42*(B44+B45+B46)+B47</f>
        <v>5.000000000000001E-3</v>
      </c>
      <c r="C43" s="1765"/>
      <c r="D43" s="2276"/>
      <c r="E43" s="2275"/>
      <c r="F43" s="2275"/>
      <c r="G43" s="2275"/>
      <c r="H43" s="2275"/>
      <c r="I43" s="2275"/>
      <c r="J43" s="2275"/>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2014</v>
      </c>
      <c r="B44" s="127">
        <v>0.05</v>
      </c>
      <c r="C44" s="1764" t="s">
        <v>2015</v>
      </c>
      <c r="D44" s="2276"/>
      <c r="E44" s="2275"/>
      <c r="F44" s="2275"/>
      <c r="G44" s="2275"/>
      <c r="H44" s="2275"/>
      <c r="I44" s="2275"/>
      <c r="J44" s="2275"/>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2016</v>
      </c>
      <c r="B45" s="125">
        <v>0.03</v>
      </c>
      <c r="C45" s="1765" t="s">
        <v>2017</v>
      </c>
      <c r="D45" s="2276"/>
      <c r="E45" s="2275"/>
      <c r="F45" s="2275"/>
      <c r="G45" s="2275"/>
      <c r="H45" s="2275"/>
      <c r="I45" s="2275"/>
      <c r="J45" s="2275"/>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2018</v>
      </c>
      <c r="B46" s="125">
        <v>0.02</v>
      </c>
      <c r="C46" s="1765" t="s">
        <v>2019</v>
      </c>
      <c r="D46" s="2276"/>
      <c r="E46" s="2275"/>
      <c r="F46" s="2275"/>
      <c r="G46" s="2275"/>
      <c r="H46" s="2275"/>
      <c r="I46" s="2275"/>
      <c r="J46" s="2275"/>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2020</v>
      </c>
      <c r="B47" s="128">
        <v>0</v>
      </c>
      <c r="C47" s="1765" t="s">
        <v>2021</v>
      </c>
      <c r="D47" s="2276"/>
      <c r="E47" s="2275"/>
      <c r="F47" s="2275"/>
      <c r="G47" s="2275"/>
      <c r="H47" s="2275"/>
      <c r="I47" s="2275"/>
      <c r="J47" s="2275"/>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2022</v>
      </c>
      <c r="B48" s="129">
        <v>0.04</v>
      </c>
      <c r="C48" s="1772" t="s">
        <v>2023</v>
      </c>
      <c r="D48" s="2276"/>
      <c r="E48" s="2275"/>
      <c r="F48" s="2275"/>
      <c r="G48" s="2275"/>
      <c r="H48" s="2275"/>
      <c r="I48" s="2275"/>
      <c r="J48" s="2275"/>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2024</v>
      </c>
      <c r="B49" s="125">
        <v>5.0000000000000001E-4</v>
      </c>
      <c r="C49" s="1772" t="s">
        <v>2025</v>
      </c>
      <c r="D49" s="2276"/>
      <c r="E49" s="2275"/>
      <c r="F49" s="2275"/>
      <c r="G49" s="2275"/>
      <c r="H49" s="2275"/>
      <c r="I49" s="2275"/>
      <c r="J49" s="2275"/>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2026</v>
      </c>
      <c r="B50" s="130">
        <v>1.2E-2</v>
      </c>
      <c r="C50" s="1429"/>
      <c r="D50" s="2276"/>
      <c r="E50" s="2275"/>
      <c r="F50" s="2275"/>
      <c r="G50" s="2275"/>
      <c r="H50" s="2275"/>
      <c r="I50" s="2275"/>
      <c r="J50" s="2275"/>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2027</v>
      </c>
      <c r="B51" s="131">
        <v>0.12</v>
      </c>
      <c r="C51" s="1429"/>
      <c r="D51" s="2276"/>
      <c r="E51" s="2275"/>
      <c r="F51" s="2275"/>
      <c r="G51" s="2275"/>
      <c r="H51" s="2275"/>
      <c r="I51" s="2275"/>
      <c r="J51" s="2275"/>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2028</v>
      </c>
      <c r="B52" s="132">
        <f>SUMIF(A54:A63,B53,B54:B63)</f>
        <v>3</v>
      </c>
      <c r="C52" s="1429"/>
      <c r="D52" s="2276"/>
      <c r="E52" s="2275"/>
      <c r="F52" s="2275"/>
      <c r="G52" s="2275"/>
      <c r="H52" s="2275"/>
      <c r="I52" s="2275"/>
      <c r="J52" s="2275"/>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2029</v>
      </c>
      <c r="B53" s="2334" t="s">
        <v>441</v>
      </c>
      <c r="C53" s="1429" t="s">
        <v>2030</v>
      </c>
      <c r="D53" s="2335" t="s">
        <v>2031</v>
      </c>
      <c r="E53" s="2275"/>
      <c r="F53" s="2275"/>
      <c r="G53" s="2275"/>
      <c r="H53" s="2275"/>
      <c r="I53" s="2275"/>
      <c r="J53" s="2275"/>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2032</v>
      </c>
      <c r="B54" s="83"/>
      <c r="C54" s="1429">
        <v>30</v>
      </c>
      <c r="D54" s="2276"/>
      <c r="E54" s="2275"/>
      <c r="F54" s="2275"/>
      <c r="G54" s="2275"/>
      <c r="H54" s="2275"/>
      <c r="I54" s="2275"/>
      <c r="J54" s="2275"/>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2033</v>
      </c>
      <c r="B55" s="83"/>
      <c r="C55" s="1429">
        <v>24</v>
      </c>
      <c r="D55" s="2276"/>
      <c r="E55" s="2275"/>
      <c r="F55" s="2275"/>
      <c r="G55" s="2275"/>
      <c r="H55" s="2275"/>
      <c r="I55" s="2337"/>
      <c r="J55" s="2275"/>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2034</v>
      </c>
      <c r="B56" s="83">
        <v>3</v>
      </c>
      <c r="C56" s="1429">
        <v>18</v>
      </c>
      <c r="D56" s="2276"/>
      <c r="E56" s="2275"/>
      <c r="F56" s="2275"/>
      <c r="G56" s="2275"/>
      <c r="H56" s="2275"/>
      <c r="I56" s="2275"/>
      <c r="J56" s="2275"/>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2035</v>
      </c>
      <c r="B57" s="83"/>
      <c r="C57" s="1429">
        <v>12</v>
      </c>
      <c r="D57" s="2276"/>
      <c r="E57" s="2275"/>
      <c r="F57" s="2275"/>
      <c r="G57" s="2275"/>
      <c r="H57" s="2275"/>
      <c r="I57" s="2275"/>
      <c r="J57" s="2275"/>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2036</v>
      </c>
      <c r="B58" s="83"/>
      <c r="C58" s="1429">
        <v>3</v>
      </c>
      <c r="D58" s="2276"/>
      <c r="E58" s="2275"/>
      <c r="F58" s="2275"/>
      <c r="G58" s="2275"/>
      <c r="H58" s="2275"/>
      <c r="I58" s="2275"/>
      <c r="J58" s="2275"/>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2037</v>
      </c>
      <c r="B59" s="83"/>
      <c r="C59" s="1429">
        <v>1.5</v>
      </c>
      <c r="D59" s="2276"/>
      <c r="E59" s="2275"/>
      <c r="F59" s="2275"/>
      <c r="G59" s="2275"/>
      <c r="H59" s="2275"/>
      <c r="I59" s="2275"/>
      <c r="J59" s="2275"/>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2038</v>
      </c>
      <c r="B60" s="83"/>
      <c r="C60" s="2275"/>
      <c r="D60" s="2276"/>
      <c r="E60" s="2275"/>
      <c r="F60" s="2275"/>
      <c r="G60" s="2275"/>
      <c r="H60" s="2275"/>
      <c r="I60" s="2275"/>
      <c r="J60" s="2275"/>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2039</v>
      </c>
      <c r="B61" s="83"/>
      <c r="C61" s="2275"/>
      <c r="D61" s="2276"/>
      <c r="E61" s="2275"/>
      <c r="F61" s="2275"/>
      <c r="G61" s="2275"/>
      <c r="H61" s="2275"/>
      <c r="I61" s="2275"/>
      <c r="J61" s="2275"/>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2040</v>
      </c>
      <c r="B62" s="83"/>
      <c r="C62" s="2275"/>
      <c r="D62" s="2276"/>
      <c r="E62" s="2275"/>
      <c r="F62" s="2275"/>
      <c r="G62" s="2275"/>
      <c r="H62" s="2275"/>
      <c r="I62" s="2275"/>
      <c r="J62" s="2275"/>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2041</v>
      </c>
      <c r="B63" s="133"/>
      <c r="C63" s="2275"/>
      <c r="D63" s="2276"/>
      <c r="E63" s="2275"/>
      <c r="F63" s="2275"/>
      <c r="G63" s="2275"/>
      <c r="H63" s="2275"/>
      <c r="I63" s="2275"/>
      <c r="J63" s="2275"/>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4" t="s">
        <v>2042</v>
      </c>
      <c r="B1" s="3065"/>
      <c r="C1" s="3065"/>
      <c r="D1" s="3065"/>
      <c r="E1" s="3065"/>
      <c r="F1" s="3065"/>
      <c r="G1" s="306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27">
      <c r="A3" s="414" t="s">
        <v>2045</v>
      </c>
      <c r="B3" s="1270" t="s">
        <v>2046</v>
      </c>
      <c r="C3" s="2368"/>
      <c r="D3" s="2369"/>
      <c r="E3" s="430" t="s">
        <v>2045</v>
      </c>
      <c r="F3" s="2370" t="s">
        <v>2047</v>
      </c>
      <c r="G3" s="2371"/>
      <c r="H3" s="2366"/>
      <c r="I3" s="2366"/>
      <c r="J3" s="2366"/>
      <c r="K3" s="2366"/>
      <c r="L3" s="2366"/>
      <c r="M3" s="2366"/>
      <c r="N3" s="2366"/>
      <c r="O3" s="2366"/>
      <c r="P3" s="2366"/>
      <c r="Q3" s="2366"/>
      <c r="R3" s="2366"/>
    </row>
    <row r="4" spans="1:29" ht="40.5">
      <c r="A4" s="430"/>
      <c r="B4" s="1796" t="s">
        <v>2048</v>
      </c>
      <c r="C4" s="2952" t="s">
        <v>3027</v>
      </c>
      <c r="D4" s="2369"/>
      <c r="E4" s="2373"/>
      <c r="F4" s="41" t="s">
        <v>2049</v>
      </c>
      <c r="G4" s="2374"/>
      <c r="H4" s="2366"/>
      <c r="I4" s="2366"/>
      <c r="J4" s="2366"/>
      <c r="K4" s="2366"/>
      <c r="L4" s="2366"/>
      <c r="M4" s="2366"/>
      <c r="N4" s="2366"/>
      <c r="O4" s="2366"/>
      <c r="P4" s="2366"/>
      <c r="Q4" s="2366"/>
      <c r="R4" s="2366"/>
    </row>
    <row r="5" spans="1:29" ht="15">
      <c r="A5" s="430"/>
      <c r="B5" s="1796" t="s">
        <v>2050</v>
      </c>
      <c r="C5" s="2372"/>
      <c r="D5" s="2369"/>
      <c r="E5" s="2373"/>
      <c r="F5" s="1796" t="s">
        <v>2051</v>
      </c>
      <c r="G5" s="2374"/>
      <c r="H5" s="2366"/>
      <c r="I5" s="2366"/>
      <c r="J5" s="2366"/>
      <c r="K5" s="2366"/>
      <c r="L5" s="2366"/>
      <c r="M5" s="2366"/>
      <c r="N5" s="2366"/>
      <c r="O5" s="2366"/>
      <c r="P5" s="2366"/>
      <c r="Q5" s="2366"/>
      <c r="R5" s="2366"/>
    </row>
    <row r="6" spans="1:29" ht="54">
      <c r="A6" s="430"/>
      <c r="B6" s="1796" t="s">
        <v>2052</v>
      </c>
      <c r="C6" s="2953" t="s">
        <v>3028</v>
      </c>
      <c r="D6" s="2369"/>
      <c r="E6" s="2373"/>
      <c r="F6" s="1796" t="s">
        <v>2053</v>
      </c>
      <c r="G6" s="2374"/>
      <c r="H6" s="2366"/>
      <c r="I6" s="2366"/>
      <c r="J6" s="2366"/>
      <c r="K6" s="2366"/>
      <c r="L6" s="2366"/>
      <c r="M6" s="2366"/>
      <c r="N6" s="2366"/>
      <c r="O6" s="2366"/>
      <c r="P6" s="2366"/>
      <c r="Q6" s="2366"/>
      <c r="R6" s="2366"/>
    </row>
    <row r="7" spans="1:29" ht="27.75" thickBot="1">
      <c r="A7" s="430"/>
      <c r="B7" s="1796" t="s">
        <v>2051</v>
      </c>
      <c r="C7" s="2953" t="s">
        <v>3029</v>
      </c>
      <c r="D7" s="2375"/>
      <c r="E7" s="2376"/>
      <c r="F7" s="2377" t="s">
        <v>2054</v>
      </c>
      <c r="G7" s="2378"/>
      <c r="H7" s="2366"/>
      <c r="I7" s="2366"/>
      <c r="J7" s="2366"/>
      <c r="K7" s="2366"/>
      <c r="L7" s="2366"/>
      <c r="M7" s="2366"/>
      <c r="N7" s="2366"/>
      <c r="O7" s="2366"/>
      <c r="P7" s="2366"/>
      <c r="Q7" s="2366"/>
      <c r="R7" s="2366"/>
    </row>
    <row r="8" spans="1:29" ht="27">
      <c r="A8" s="430"/>
      <c r="B8" s="1796" t="s">
        <v>2053</v>
      </c>
      <c r="C8" s="2953" t="s">
        <v>3030</v>
      </c>
      <c r="D8" s="2375"/>
      <c r="E8" s="2375"/>
      <c r="F8" s="1135"/>
      <c r="G8" s="1135"/>
      <c r="H8" s="2366"/>
      <c r="I8" s="2366"/>
      <c r="J8" s="2366"/>
      <c r="K8" s="2366"/>
      <c r="L8" s="2366"/>
      <c r="M8" s="2366"/>
      <c r="N8" s="2366"/>
      <c r="O8" s="2366"/>
      <c r="P8" s="2366"/>
      <c r="Q8" s="2366"/>
      <c r="R8" s="2366"/>
    </row>
    <row r="9" spans="1:29" ht="27">
      <c r="A9" s="430"/>
      <c r="B9" s="1796" t="s">
        <v>2055</v>
      </c>
      <c r="C9" s="2952" t="s">
        <v>3031</v>
      </c>
      <c r="D9" s="2369"/>
      <c r="E9" s="2375"/>
      <c r="F9" s="1135"/>
      <c r="G9" s="1135"/>
      <c r="H9" s="2366"/>
      <c r="I9" s="2366"/>
      <c r="J9" s="2366"/>
      <c r="K9" s="2366"/>
      <c r="L9" s="2366"/>
      <c r="M9" s="2366"/>
      <c r="N9" s="2366"/>
      <c r="O9" s="2366"/>
      <c r="P9" s="2366"/>
      <c r="Q9" s="2366"/>
      <c r="R9" s="2366"/>
    </row>
    <row r="10" spans="1:29" s="116" customFormat="1" ht="15.75" thickBot="1">
      <c r="A10" s="2379"/>
      <c r="B10" s="2380" t="s">
        <v>2056</v>
      </c>
      <c r="C10" s="2381" t="s">
        <v>3032</v>
      </c>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2057</v>
      </c>
      <c r="B13" s="2386"/>
      <c r="C13" s="2386"/>
      <c r="D13" s="2393"/>
      <c r="E13" s="2386"/>
      <c r="F13" s="2386"/>
      <c r="G13" s="2386"/>
    </row>
    <row r="14" spans="1:29" ht="15.75" thickBot="1">
      <c r="A14" s="2397"/>
      <c r="B14" s="2398"/>
      <c r="C14" s="2399" t="s">
        <v>2058</v>
      </c>
      <c r="D14" s="2369"/>
      <c r="E14" s="2400"/>
      <c r="F14" s="2400"/>
      <c r="G14" s="2363" t="s">
        <v>2059</v>
      </c>
    </row>
    <row r="15" spans="1:29" ht="27">
      <c r="A15" s="67" t="s">
        <v>2060</v>
      </c>
      <c r="B15" s="1269" t="s">
        <v>2046</v>
      </c>
      <c r="C15" s="2401">
        <f>C3</f>
        <v>0</v>
      </c>
      <c r="D15" s="2369"/>
      <c r="E15" s="2402" t="s">
        <v>2061</v>
      </c>
      <c r="F15" s="1269" t="s">
        <v>2062</v>
      </c>
      <c r="G15" s="134">
        <f>G3</f>
        <v>0</v>
      </c>
    </row>
    <row r="16" spans="1:29" ht="42.75">
      <c r="A16" s="644"/>
      <c r="B16" s="2403" t="s">
        <v>2048</v>
      </c>
      <c r="C16" s="2404" t="str">
        <f>C4</f>
        <v>估价对象位于美林君渡小区，周边商业氛围成熟，人流量较大，商业繁华度较好</v>
      </c>
      <c r="D16" s="2369"/>
      <c r="E16" s="2405"/>
      <c r="F16" s="2406" t="s">
        <v>2049</v>
      </c>
      <c r="G16" s="135">
        <f>G4</f>
        <v>0</v>
      </c>
    </row>
    <row r="17" spans="1:18" ht="15">
      <c r="A17" s="644"/>
      <c r="B17" s="2403" t="s">
        <v>2050</v>
      </c>
      <c r="C17" s="2404">
        <f>C5</f>
        <v>0</v>
      </c>
      <c r="D17" s="2375"/>
      <c r="E17" s="2405"/>
      <c r="F17" s="2406" t="s">
        <v>2063</v>
      </c>
      <c r="G17" s="1570"/>
    </row>
    <row r="18" spans="1:18" ht="57">
      <c r="A18" s="644"/>
      <c r="B18" s="2406" t="s">
        <v>2052</v>
      </c>
      <c r="C18" s="135" t="str">
        <f>C6</f>
        <v>估价对象周边道路状况较好、公共交通通达情况较好、停车便捷程度较好，综合评价交通便捷度较好</v>
      </c>
      <c r="D18" s="2375"/>
      <c r="E18" s="2405"/>
      <c r="F18" s="2406" t="s">
        <v>2054</v>
      </c>
      <c r="G18" s="135">
        <f>G7</f>
        <v>0</v>
      </c>
    </row>
    <row r="19" spans="1:18" ht="15">
      <c r="A19" s="644"/>
      <c r="B19" s="2406" t="s">
        <v>2064</v>
      </c>
      <c r="C19" s="2954" t="s">
        <v>3034</v>
      </c>
      <c r="D19" s="2369"/>
      <c r="E19" s="2405"/>
      <c r="F19" s="1796" t="s">
        <v>2051</v>
      </c>
      <c r="G19" s="135">
        <f>G5</f>
        <v>0</v>
      </c>
    </row>
    <row r="20" spans="1:18" ht="28.5">
      <c r="A20" s="644"/>
      <c r="B20" s="2406" t="s">
        <v>2065</v>
      </c>
      <c r="C20" s="2404" t="str">
        <f>C9</f>
        <v>区域自然环境：；人文环境；综合评价环境状况较好</v>
      </c>
      <c r="D20" s="2375"/>
      <c r="E20" s="2405"/>
      <c r="F20" s="1796" t="s">
        <v>2066</v>
      </c>
      <c r="G20" s="135">
        <f>G6</f>
        <v>0</v>
      </c>
    </row>
    <row r="21" spans="1:18" ht="28.5">
      <c r="A21" s="644"/>
      <c r="B21" s="1796" t="s">
        <v>2051</v>
      </c>
      <c r="C21" s="135" t="str">
        <f>C7</f>
        <v>估价对象所在区域公共配套设施齐备情况较好</v>
      </c>
      <c r="D21" s="2369"/>
      <c r="E21" s="2405"/>
      <c r="F21" s="2406" t="s">
        <v>2067</v>
      </c>
      <c r="G21" s="2407"/>
    </row>
    <row r="22" spans="1:18" ht="13.5" customHeight="1">
      <c r="A22" s="644"/>
      <c r="B22" s="1796" t="s">
        <v>2053</v>
      </c>
      <c r="C22" s="135" t="str">
        <f>C8</f>
        <v>估价对象所在区域基础设施水平较好</v>
      </c>
      <c r="D22" s="2369"/>
      <c r="E22" s="2405"/>
      <c r="F22" s="2406" t="s">
        <v>2056</v>
      </c>
      <c r="G22" s="1570"/>
    </row>
    <row r="23" spans="1:18" s="2366" customFormat="1" ht="15.75" thickBot="1">
      <c r="A23" s="644"/>
      <c r="B23" s="2406" t="s">
        <v>2067</v>
      </c>
      <c r="C23" s="2407" t="s">
        <v>3033</v>
      </c>
      <c r="D23" s="2394"/>
      <c r="E23" s="2408"/>
      <c r="F23" s="2409" t="s">
        <v>2068</v>
      </c>
      <c r="G23" s="2410"/>
      <c r="H23" s="2394"/>
      <c r="I23" s="2395"/>
      <c r="J23" s="2394"/>
      <c r="K23" s="2394"/>
      <c r="L23" s="2395"/>
      <c r="M23" s="2394"/>
      <c r="N23" s="2394"/>
      <c r="O23" s="2395"/>
      <c r="P23" s="2394"/>
      <c r="Q23" s="2394"/>
      <c r="R23" s="2396"/>
    </row>
    <row r="24" spans="1:18" s="2366" customFormat="1" ht="15.75" thickBot="1">
      <c r="A24" s="2411"/>
      <c r="B24" s="2409" t="s">
        <v>2069</v>
      </c>
      <c r="C24" s="136" t="str">
        <f>C10</f>
        <v>次干道-燕顺路</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1360</v>
      </c>
      <c r="B1" s="1744">
        <f>SUM(B14:B23)</f>
        <v>12111.68</v>
      </c>
      <c r="C1" s="1743"/>
      <c r="D1" s="1743"/>
      <c r="E1" s="1743"/>
      <c r="F1" s="1743"/>
      <c r="G1" s="1741"/>
    </row>
    <row r="2" spans="1:10" ht="16.5">
      <c r="A2" s="1744" t="s">
        <v>1348</v>
      </c>
      <c r="B2" s="1744">
        <f>SUM(C14:C23)</f>
        <v>9365.7099999999991</v>
      </c>
      <c r="C2" s="1743"/>
      <c r="D2" s="1743"/>
      <c r="E2" s="1743"/>
      <c r="F2" s="1743"/>
      <c r="G2" s="1741"/>
    </row>
    <row r="3" spans="1:10" ht="16.5">
      <c r="A3" s="1744" t="s">
        <v>1357</v>
      </c>
      <c r="B3" s="1745">
        <f>项目基本情况!D3</f>
        <v>43206</v>
      </c>
      <c r="C3" s="1743"/>
      <c r="D3" s="1743"/>
      <c r="E3" s="1743"/>
      <c r="F3" s="1743"/>
      <c r="G3" s="1741"/>
    </row>
    <row r="4" spans="1:10" ht="33">
      <c r="A4" s="1744" t="s">
        <v>1356</v>
      </c>
      <c r="B4" s="1744" t="s">
        <v>1355</v>
      </c>
      <c r="C4" s="1744" t="s">
        <v>1354</v>
      </c>
      <c r="D4" s="1744" t="s">
        <v>1353</v>
      </c>
      <c r="E4" s="1743"/>
      <c r="F4" s="1741"/>
      <c r="G4" s="1741"/>
    </row>
    <row r="5" spans="1:10" ht="16.5">
      <c r="A5" s="1744" t="s">
        <v>1352</v>
      </c>
      <c r="B5" s="1744">
        <f ca="1">SUM(D14:D23)</f>
        <v>17069</v>
      </c>
      <c r="C5" s="1744">
        <f ca="1">ROUND(B5*10000/$B$1,0)</f>
        <v>14093</v>
      </c>
      <c r="D5" s="1744">
        <f ca="1">ROUND(B5*10000/$B$2,0)</f>
        <v>18225</v>
      </c>
      <c r="E5" s="1743"/>
      <c r="F5" s="1741"/>
      <c r="G5" s="1741"/>
    </row>
    <row r="6" spans="1:10" ht="16.5">
      <c r="A6" s="1744" t="s">
        <v>1351</v>
      </c>
      <c r="B6" s="1744">
        <f ca="1">SUM(G14:G23)</f>
        <v>17069</v>
      </c>
      <c r="C6" s="1744">
        <f ca="1">ROUND(B6*10000/$B$1,0)</f>
        <v>14093</v>
      </c>
      <c r="D6" s="1744">
        <f ca="1">ROUND(B6*10000/$B$2,0)</f>
        <v>18225</v>
      </c>
      <c r="E6" s="1743"/>
      <c r="F6" s="1741"/>
      <c r="G6" s="1741"/>
    </row>
    <row r="7" spans="1:10" ht="16.5">
      <c r="A7" s="1744" t="s">
        <v>1359</v>
      </c>
      <c r="B7" s="1744">
        <f>SUM(H14:H23)</f>
        <v>0</v>
      </c>
      <c r="C7" s="1744">
        <f>ROUND(B7*10000/$B$1,0)</f>
        <v>0</v>
      </c>
      <c r="D7" s="1744">
        <f>ROUND(B7*10000/$B$2,0)</f>
        <v>0</v>
      </c>
      <c r="E7" s="1743"/>
      <c r="F7" s="1741"/>
      <c r="G7" s="1741"/>
    </row>
    <row r="8" spans="1:10" ht="16.5">
      <c r="A8" s="1744" t="s">
        <v>1280</v>
      </c>
      <c r="B8" s="1744">
        <f>SUM(I14:I23)</f>
        <v>0</v>
      </c>
      <c r="C8" s="1744">
        <f>ROUND(B8*10000/$B$1,0)</f>
        <v>0</v>
      </c>
      <c r="D8" s="1744">
        <f>ROUND(B8*10000/$B$2,0)</f>
        <v>0</v>
      </c>
      <c r="E8" s="1743"/>
      <c r="F8" s="1741"/>
      <c r="G8" s="1741"/>
    </row>
    <row r="9" spans="1:10" ht="16.5">
      <c r="A9" s="1744" t="s">
        <v>1350</v>
      </c>
      <c r="B9" s="1746"/>
      <c r="C9" s="1743"/>
      <c r="D9" s="1743"/>
      <c r="E9" s="1743"/>
      <c r="F9" s="1741"/>
      <c r="G9" s="1741"/>
    </row>
    <row r="10" spans="1:10" ht="16.5">
      <c r="A10" s="1744" t="s">
        <v>1349</v>
      </c>
      <c r="B10" s="1746"/>
      <c r="C10" s="1743"/>
      <c r="D10" s="1743"/>
      <c r="E10" s="1743"/>
      <c r="F10" s="1741"/>
      <c r="G10" s="1741"/>
    </row>
    <row r="11" spans="1:10" ht="16.5">
      <c r="A11" s="1744" t="s">
        <v>1365</v>
      </c>
      <c r="B11" s="1746"/>
      <c r="C11" s="1743"/>
      <c r="D11" s="1743"/>
      <c r="E11" s="1743"/>
      <c r="F11" s="1741"/>
      <c r="G11" s="1741"/>
    </row>
    <row r="12" spans="1:10" ht="16.5">
      <c r="A12" s="1743"/>
      <c r="B12" s="1743"/>
      <c r="C12" s="1743"/>
      <c r="D12" s="1743"/>
      <c r="E12" s="1743"/>
      <c r="F12" s="1741"/>
      <c r="G12" s="1741"/>
    </row>
    <row r="13" spans="1:10" ht="33">
      <c r="A13" s="1749" t="s">
        <v>1364</v>
      </c>
      <c r="B13" s="1742" t="s">
        <v>1361</v>
      </c>
      <c r="C13" s="1742" t="s">
        <v>1363</v>
      </c>
      <c r="D13" s="1742" t="s">
        <v>1362</v>
      </c>
      <c r="E13" s="1744" t="s">
        <v>1354</v>
      </c>
      <c r="F13" s="1744" t="s">
        <v>1353</v>
      </c>
      <c r="G13" s="1742" t="s">
        <v>1347</v>
      </c>
      <c r="H13" s="1742" t="s">
        <v>1358</v>
      </c>
      <c r="I13" s="1742" t="s">
        <v>1346</v>
      </c>
      <c r="J13" s="1741"/>
    </row>
    <row r="14" spans="1:10" ht="16.5">
      <c r="A14" s="1740" t="s">
        <v>1345</v>
      </c>
      <c r="B14" s="1742">
        <f>结果表!B118</f>
        <v>12111.68</v>
      </c>
      <c r="C14" s="1742">
        <f>结果表!C118</f>
        <v>9365.7099999999991</v>
      </c>
      <c r="D14" s="1742">
        <f ca="1">结果表!H118</f>
        <v>17069</v>
      </c>
      <c r="E14" s="1742">
        <f ca="1">ROUND(D14*10000/B14,0)</f>
        <v>14093</v>
      </c>
      <c r="F14" s="1742">
        <f ca="1">ROUND(D14*10000/C14,0)</f>
        <v>18225</v>
      </c>
      <c r="G14" s="1742">
        <f ca="1">结果表!D122</f>
        <v>17069</v>
      </c>
      <c r="H14" s="1742" t="str">
        <f>结果表!D124</f>
        <v>——</v>
      </c>
      <c r="I14" s="1742" t="str">
        <f>结果表!D126</f>
        <v>——</v>
      </c>
      <c r="J14" s="1741"/>
    </row>
    <row r="15" spans="1:10" ht="16.5">
      <c r="A15" s="1740" t="s">
        <v>1344</v>
      </c>
      <c r="B15" s="1747"/>
      <c r="C15" s="1747"/>
      <c r="D15" s="1747"/>
      <c r="E15" s="1742" t="e">
        <f t="shared" ref="E15:E23" si="0">ROUND(D15*10000/B15,0)</f>
        <v>#DIV/0!</v>
      </c>
      <c r="F15" s="1742" t="e">
        <f t="shared" ref="F15:F23" si="1">ROUND(D15*10000/C15,0)</f>
        <v>#DIV/0!</v>
      </c>
      <c r="G15" s="1748"/>
      <c r="H15" s="1748"/>
      <c r="I15" s="1747"/>
      <c r="J15" s="1741"/>
    </row>
    <row r="16" spans="1:10" ht="16.5">
      <c r="A16" s="1740" t="s">
        <v>1343</v>
      </c>
      <c r="B16" s="1747"/>
      <c r="C16" s="1747"/>
      <c r="D16" s="1747"/>
      <c r="E16" s="1742" t="e">
        <f t="shared" si="0"/>
        <v>#DIV/0!</v>
      </c>
      <c r="F16" s="1742" t="e">
        <f t="shared" si="1"/>
        <v>#DIV/0!</v>
      </c>
      <c r="G16" s="1748"/>
      <c r="H16" s="1748"/>
      <c r="I16" s="1747"/>
    </row>
    <row r="17" spans="1:9" ht="16.5">
      <c r="A17" s="1740" t="s">
        <v>1342</v>
      </c>
      <c r="B17" s="1747"/>
      <c r="C17" s="1747"/>
      <c r="D17" s="1747"/>
      <c r="E17" s="1742" t="e">
        <f t="shared" si="0"/>
        <v>#DIV/0!</v>
      </c>
      <c r="F17" s="1742" t="e">
        <f t="shared" si="1"/>
        <v>#DIV/0!</v>
      </c>
      <c r="G17" s="1748"/>
      <c r="H17" s="1748"/>
      <c r="I17" s="1747"/>
    </row>
    <row r="18" spans="1:9" ht="16.5">
      <c r="A18" s="1740" t="s">
        <v>1341</v>
      </c>
      <c r="B18" s="1747"/>
      <c r="C18" s="1747"/>
      <c r="D18" s="1747"/>
      <c r="E18" s="1742" t="e">
        <f t="shared" si="0"/>
        <v>#DIV/0!</v>
      </c>
      <c r="F18" s="1742" t="e">
        <f t="shared" si="1"/>
        <v>#DIV/0!</v>
      </c>
      <c r="G18" s="1747"/>
      <c r="H18" s="1747"/>
      <c r="I18" s="1747"/>
    </row>
    <row r="19" spans="1:9" ht="16.5">
      <c r="A19" s="1740" t="s">
        <v>1340</v>
      </c>
      <c r="B19" s="1747"/>
      <c r="C19" s="1747"/>
      <c r="D19" s="1747"/>
      <c r="E19" s="1742" t="e">
        <f t="shared" si="0"/>
        <v>#DIV/0!</v>
      </c>
      <c r="F19" s="1742" t="e">
        <f t="shared" si="1"/>
        <v>#DIV/0!</v>
      </c>
      <c r="G19" s="1747"/>
      <c r="H19" s="1747"/>
      <c r="I19" s="1747"/>
    </row>
    <row r="20" spans="1:9" ht="16.5">
      <c r="A20" s="1740" t="s">
        <v>1339</v>
      </c>
      <c r="B20" s="1747"/>
      <c r="C20" s="1747"/>
      <c r="D20" s="1747"/>
      <c r="E20" s="1742" t="e">
        <f t="shared" si="0"/>
        <v>#DIV/0!</v>
      </c>
      <c r="F20" s="1742" t="e">
        <f t="shared" si="1"/>
        <v>#DIV/0!</v>
      </c>
      <c r="G20" s="1747"/>
      <c r="H20" s="1747"/>
      <c r="I20" s="1747"/>
    </row>
    <row r="21" spans="1:9" ht="16.5">
      <c r="A21" s="1740" t="s">
        <v>1338</v>
      </c>
      <c r="B21" s="1747"/>
      <c r="C21" s="1747"/>
      <c r="D21" s="1747"/>
      <c r="E21" s="1742" t="e">
        <f t="shared" si="0"/>
        <v>#DIV/0!</v>
      </c>
      <c r="F21" s="1742" t="e">
        <f t="shared" si="1"/>
        <v>#DIV/0!</v>
      </c>
      <c r="G21" s="1747"/>
      <c r="H21" s="1747"/>
      <c r="I21" s="1747"/>
    </row>
    <row r="22" spans="1:9" ht="16.5">
      <c r="A22" s="1740" t="s">
        <v>1337</v>
      </c>
      <c r="B22" s="1747"/>
      <c r="C22" s="1747"/>
      <c r="D22" s="1747"/>
      <c r="E22" s="1742" t="e">
        <f t="shared" si="0"/>
        <v>#DIV/0!</v>
      </c>
      <c r="F22" s="1742" t="e">
        <f t="shared" si="1"/>
        <v>#DIV/0!</v>
      </c>
      <c r="G22" s="1747"/>
      <c r="H22" s="1747"/>
      <c r="I22" s="1747"/>
    </row>
    <row r="23" spans="1:9" ht="16.5">
      <c r="A23" s="1740" t="s">
        <v>1336</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2070</v>
      </c>
      <c r="B1" s="2417"/>
      <c r="C1" s="2418"/>
      <c r="D1" s="2417"/>
      <c r="E1" s="2417"/>
      <c r="F1" s="2419" t="s">
        <v>2071</v>
      </c>
      <c r="G1" s="2068" t="s">
        <v>3011</v>
      </c>
      <c r="H1" s="2420" t="str">
        <f>IF(G1="现房","——","估价对象范围")</f>
        <v>——</v>
      </c>
      <c r="I1" s="2421" t="s">
        <v>3035</v>
      </c>
    </row>
    <row r="2" spans="1:12" ht="21.75" customHeight="1" thickBot="1">
      <c r="A2" s="3138" t="str">
        <f>项目基本情况!S2</f>
        <v>廊坊市三河市燕郊开发区燕顺路西侧、高压走廊北侧美林君渡（美林新东城B区续建及C区）16号楼房地产</v>
      </c>
      <c r="B2" s="3139"/>
      <c r="C2" s="3139"/>
      <c r="D2" s="3139"/>
      <c r="E2" s="3139"/>
      <c r="F2" s="3139"/>
      <c r="G2" s="3139"/>
      <c r="H2" s="3139"/>
      <c r="I2" s="3140"/>
    </row>
    <row r="3" spans="1:12" ht="12.75">
      <c r="A3" s="3141" t="s">
        <v>2072</v>
      </c>
      <c r="B3" s="3142"/>
      <c r="C3" s="3142"/>
      <c r="D3" s="3142"/>
      <c r="E3" s="3142"/>
      <c r="F3" s="3142"/>
      <c r="G3" s="3142"/>
      <c r="H3" s="3142"/>
      <c r="I3" s="3142"/>
    </row>
    <row r="4" spans="1:12" ht="14.25">
      <c r="A4" s="2424" t="s">
        <v>2073</v>
      </c>
      <c r="B4" s="2425" t="s">
        <v>2074</v>
      </c>
      <c r="C4" s="2426" t="s">
        <v>3109</v>
      </c>
      <c r="D4" s="2426" t="s">
        <v>3108</v>
      </c>
      <c r="E4" s="3122" t="s">
        <v>2075</v>
      </c>
      <c r="F4" s="3135"/>
      <c r="G4" s="3135"/>
      <c r="H4" s="3135"/>
      <c r="I4" s="312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3" t="s">
        <v>2076</v>
      </c>
      <c r="B5" s="3039">
        <v>25</v>
      </c>
      <c r="C5" s="3143"/>
      <c r="D5" s="3131"/>
      <c r="E5" s="139" t="s">
        <v>2077</v>
      </c>
      <c r="F5" s="2428"/>
      <c r="G5" s="2428"/>
      <c r="H5" s="2428"/>
      <c r="I5" s="1832"/>
    </row>
    <row r="6" spans="1:12" ht="12.75">
      <c r="A6" s="3113"/>
      <c r="B6" s="3039"/>
      <c r="C6" s="3145"/>
      <c r="D6" s="3131"/>
      <c r="E6" s="139" t="s">
        <v>2078</v>
      </c>
      <c r="F6" s="2428"/>
      <c r="G6" s="2428"/>
      <c r="H6" s="2428"/>
      <c r="I6" s="1832"/>
    </row>
    <row r="7" spans="1:12" ht="12.75">
      <c r="A7" s="3113"/>
      <c r="B7" s="3039"/>
      <c r="C7" s="3144"/>
      <c r="D7" s="3131"/>
      <c r="E7" s="139" t="s">
        <v>2079</v>
      </c>
      <c r="F7" s="2428"/>
      <c r="G7" s="2428"/>
      <c r="H7" s="2428"/>
      <c r="I7" s="1832"/>
    </row>
    <row r="8" spans="1:12" ht="12.75">
      <c r="A8" s="3113" t="s">
        <v>2080</v>
      </c>
      <c r="B8" s="3039">
        <v>15</v>
      </c>
      <c r="C8" s="3143"/>
      <c r="D8" s="3131"/>
      <c r="E8" s="139" t="s">
        <v>2081</v>
      </c>
      <c r="F8" s="2428"/>
      <c r="G8" s="2428"/>
      <c r="H8" s="2428"/>
      <c r="I8" s="1832"/>
    </row>
    <row r="9" spans="1:12" ht="12.75">
      <c r="A9" s="3113"/>
      <c r="B9" s="3039"/>
      <c r="C9" s="3144"/>
      <c r="D9" s="3131"/>
      <c r="E9" s="139" t="s">
        <v>2082</v>
      </c>
      <c r="F9" s="2428"/>
      <c r="G9" s="2428"/>
      <c r="H9" s="2428"/>
      <c r="I9" s="1832"/>
    </row>
    <row r="10" spans="1:12" ht="12.75">
      <c r="A10" s="3113" t="s">
        <v>2083</v>
      </c>
      <c r="B10" s="3039">
        <v>15</v>
      </c>
      <c r="C10" s="3143"/>
      <c r="D10" s="3131"/>
      <c r="E10" s="139" t="s">
        <v>2084</v>
      </c>
      <c r="F10" s="2428"/>
      <c r="G10" s="2428"/>
      <c r="H10" s="2428"/>
      <c r="I10" s="1832"/>
    </row>
    <row r="11" spans="1:12" ht="12.75">
      <c r="A11" s="3113"/>
      <c r="B11" s="3039"/>
      <c r="C11" s="3144"/>
      <c r="D11" s="3131"/>
      <c r="E11" s="139" t="s">
        <v>2085</v>
      </c>
      <c r="F11" s="2428"/>
      <c r="G11" s="2428"/>
      <c r="H11" s="2428"/>
      <c r="I11" s="1832"/>
    </row>
    <row r="12" spans="1:12" ht="12.75">
      <c r="A12" s="3113" t="s">
        <v>2086</v>
      </c>
      <c r="B12" s="3039">
        <v>15</v>
      </c>
      <c r="C12" s="3143"/>
      <c r="D12" s="3131"/>
      <c r="E12" s="139" t="s">
        <v>2087</v>
      </c>
      <c r="F12" s="2428"/>
      <c r="G12" s="2428"/>
      <c r="H12" s="2428"/>
      <c r="I12" s="1832"/>
    </row>
    <row r="13" spans="1:12" ht="12.75">
      <c r="A13" s="3113"/>
      <c r="B13" s="3039"/>
      <c r="C13" s="3144"/>
      <c r="D13" s="3131"/>
      <c r="E13" s="139" t="s">
        <v>2088</v>
      </c>
      <c r="F13" s="2428"/>
      <c r="G13" s="2428"/>
      <c r="H13" s="2428"/>
      <c r="I13" s="1832"/>
    </row>
    <row r="14" spans="1:12" ht="12.75">
      <c r="A14" s="3113" t="s">
        <v>2089</v>
      </c>
      <c r="B14" s="3039">
        <v>30</v>
      </c>
      <c r="C14" s="3143">
        <v>3</v>
      </c>
      <c r="D14" s="3131">
        <v>7</v>
      </c>
      <c r="E14" s="139" t="s">
        <v>2090</v>
      </c>
      <c r="F14" s="2428"/>
      <c r="G14" s="2428"/>
      <c r="H14" s="2428"/>
      <c r="I14" s="1832"/>
    </row>
    <row r="15" spans="1:12" ht="12.75">
      <c r="A15" s="3113"/>
      <c r="B15" s="3039"/>
      <c r="C15" s="3145"/>
      <c r="D15" s="3131"/>
      <c r="E15" s="139" t="s">
        <v>2091</v>
      </c>
      <c r="F15" s="2428"/>
      <c r="G15" s="2428"/>
      <c r="H15" s="2428"/>
      <c r="I15" s="1832"/>
    </row>
    <row r="16" spans="1:12" ht="12.75">
      <c r="A16" s="3113"/>
      <c r="B16" s="3039"/>
      <c r="C16" s="3144"/>
      <c r="D16" s="3131"/>
      <c r="E16" s="139" t="s">
        <v>2092</v>
      </c>
      <c r="F16" s="2428"/>
      <c r="G16" s="2428"/>
      <c r="H16" s="2428"/>
      <c r="I16" s="1832"/>
    </row>
    <row r="17" spans="1:35" ht="15">
      <c r="A17" s="2429" t="s">
        <v>2093</v>
      </c>
      <c r="B17" s="63"/>
      <c r="C17" s="140">
        <f>SUM(C5:C16)</f>
        <v>3</v>
      </c>
      <c r="D17" s="140">
        <f>SUM(D5:D16)</f>
        <v>7</v>
      </c>
      <c r="E17" s="137"/>
      <c r="F17" s="137"/>
      <c r="G17" s="137"/>
      <c r="H17" s="137"/>
      <c r="I17" s="137"/>
      <c r="K17" s="2427"/>
      <c r="L17" s="2430" t="s">
        <v>2094</v>
      </c>
      <c r="M17" s="2430" t="s">
        <v>2095</v>
      </c>
    </row>
    <row r="18" spans="1:35" ht="15.75" thickBot="1">
      <c r="A18" s="2431" t="s">
        <v>2096</v>
      </c>
      <c r="B18" s="2432"/>
      <c r="C18" s="141">
        <f>ROUND(C17/SUM(C17:D17),2)</f>
        <v>0.3</v>
      </c>
      <c r="D18" s="141">
        <f>1-C18</f>
        <v>0.7</v>
      </c>
      <c r="E18" s="137"/>
      <c r="F18" s="137"/>
      <c r="G18" s="137"/>
      <c r="H18" s="137"/>
      <c r="I18" s="137"/>
      <c r="K18" s="2427" t="s">
        <v>2097</v>
      </c>
      <c r="L18" s="2427">
        <f>IF(C1="",'数据-汇总表'!E3,SUMIF(项目类型,C1,'数据-汇总表'!E17:E26)+SUMIF(项目类型,C1,'数据-汇总表'!I17:I26))</f>
        <v>12111.68</v>
      </c>
      <c r="M18" s="2427">
        <f>IF(C1="",'数据-汇总表'!E3,SUMIF(项目类型,C1,'数据-汇总表'!E17:E26))</f>
        <v>12111.68</v>
      </c>
    </row>
    <row r="19" spans="1:35" ht="15">
      <c r="A19" s="2433" t="s">
        <v>2098</v>
      </c>
      <c r="B19" s="2434" t="s">
        <v>2099</v>
      </c>
      <c r="C19" s="142">
        <f ca="1">SUMIF(INDIRECT("'"&amp;C4&amp;"'"&amp;"!A:A"),结果表!B19,INDIRECT("'"&amp;C4&amp;"'"&amp;"!B:B"))</f>
        <v>11208</v>
      </c>
      <c r="D19" s="143">
        <f ca="1">SUMIF(INDIRECT("'"&amp;D4&amp;"'"&amp;"!A:A"),结果表!B19,INDIRECT("'"&amp;D4&amp;"'"&amp;"!B:B"))</f>
        <v>19581</v>
      </c>
      <c r="E19" s="2433" t="s">
        <v>2100</v>
      </c>
      <c r="F19" s="2434" t="s">
        <v>2099</v>
      </c>
      <c r="G19" s="144">
        <f ca="1">ROUND(C19*$C$18+D19*$D$18,0)</f>
        <v>17069</v>
      </c>
      <c r="H19" s="2435" t="s">
        <v>2101</v>
      </c>
      <c r="I19" s="137"/>
      <c r="K19" s="2427" t="s">
        <v>2102</v>
      </c>
      <c r="L19" s="2427">
        <f>IF(C1="",'数据-汇总表'!D3,SUMIF(项目类型,C1,'数据-汇总表'!D17:D26)+SUMIF(项目类型,C1,'数据-汇总表'!H17:H27))</f>
        <v>9365.7099999999991</v>
      </c>
      <c r="M19" s="2427">
        <f>IF(C1="",'数据-汇总表'!D3,SUMIF(项目类型,C1,'数据-汇总表'!D17:D26))</f>
        <v>9365.7099999999991</v>
      </c>
    </row>
    <row r="20" spans="1:35" ht="15">
      <c r="A20" s="2436"/>
      <c r="B20" s="1249" t="s">
        <v>2103</v>
      </c>
      <c r="C20" s="145">
        <f ca="1">SUMIF(INDIRECT("'"&amp;C4&amp;"'"&amp;"!A:A"),结果表!B20,INDIRECT("'"&amp;C4&amp;"'"&amp;"!B:B"))</f>
        <v>9254</v>
      </c>
      <c r="D20" s="146">
        <f ca="1">SUMIF(INDIRECT("'"&amp;D4&amp;"'"&amp;"!A:A"),结果表!B20,INDIRECT("'"&amp;D4&amp;"'"&amp;"!B:B"))</f>
        <v>16167</v>
      </c>
      <c r="E20" s="2436"/>
      <c r="F20" s="1249" t="s">
        <v>2103</v>
      </c>
      <c r="G20" s="147">
        <f ca="1">ROUND(C20*$C$18+D20*$D$18,0)</f>
        <v>14093</v>
      </c>
      <c r="H20" s="982" t="s">
        <v>2104</v>
      </c>
      <c r="I20" s="137"/>
    </row>
    <row r="21" spans="1:35" ht="15" customHeight="1" thickBot="1">
      <c r="A21" s="1002"/>
      <c r="B21" s="2437" t="s">
        <v>2105</v>
      </c>
      <c r="C21" s="788">
        <f ca="1">ROUND(C19*10000/L19,0)</f>
        <v>11967</v>
      </c>
      <c r="D21" s="789">
        <f ca="1">ROUND(D19*10000/L19,0)</f>
        <v>20907</v>
      </c>
      <c r="E21" s="1002"/>
      <c r="F21" s="2437" t="s">
        <v>2105</v>
      </c>
      <c r="G21" s="148">
        <f ca="1">ROUND(G19*10000/L19,0)</f>
        <v>18225</v>
      </c>
      <c r="H21" s="2438" t="s">
        <v>2104</v>
      </c>
      <c r="I21" s="137"/>
    </row>
    <row r="22" spans="1:35" ht="15" thickBot="1">
      <c r="A22" s="2279" t="s">
        <v>2106</v>
      </c>
      <c r="B22" s="2439"/>
      <c r="C22" s="2440"/>
      <c r="D22" s="790">
        <f ca="1">IF(C19&lt;D19,D19/C19-1,C19/D19-1)</f>
        <v>0.74705567451820132</v>
      </c>
      <c r="E22" s="137"/>
      <c r="F22" s="137"/>
      <c r="G22" s="137"/>
      <c r="H22" s="137"/>
      <c r="I22" s="137"/>
    </row>
    <row r="23" spans="1:35" ht="13.5" thickBot="1">
      <c r="A23" s="2417"/>
      <c r="B23" s="2417"/>
      <c r="C23" s="2417"/>
      <c r="D23" s="2417"/>
      <c r="E23" s="137"/>
      <c r="F23" s="137"/>
      <c r="G23" s="137"/>
      <c r="H23" s="137"/>
      <c r="I23" s="137"/>
    </row>
    <row r="24" spans="1:35" ht="14.25">
      <c r="A24" s="3152" t="s">
        <v>2107</v>
      </c>
      <c r="B24" s="2434" t="s">
        <v>2099</v>
      </c>
      <c r="C24" s="144">
        <f>IF(B30=0,0,D30)</f>
        <v>0</v>
      </c>
      <c r="D24" s="2441"/>
      <c r="E24" s="137"/>
      <c r="F24" s="137"/>
      <c r="G24" s="137"/>
      <c r="H24" s="137"/>
      <c r="I24" s="137"/>
    </row>
    <row r="25" spans="1:35" ht="14.25">
      <c r="A25" s="3153"/>
      <c r="B25" s="1249" t="s">
        <v>2103</v>
      </c>
      <c r="C25" s="149">
        <f>IF(B30=0,0,C30)</f>
        <v>0</v>
      </c>
      <c r="D25" s="2442"/>
      <c r="E25" s="137"/>
      <c r="F25" s="137"/>
      <c r="G25" s="137"/>
      <c r="H25" s="137"/>
      <c r="I25" s="137"/>
    </row>
    <row r="26" spans="1:35" ht="13.5" customHeight="1">
      <c r="A26" s="2443" t="s">
        <v>2108</v>
      </c>
      <c r="B26" s="150" t="s">
        <v>2109</v>
      </c>
      <c r="C26" s="150" t="s">
        <v>2110</v>
      </c>
      <c r="D26" s="151" t="s">
        <v>2111</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2112</v>
      </c>
      <c r="B30" s="150"/>
      <c r="C30" s="150"/>
      <c r="D30" s="150"/>
      <c r="E30" s="2926" t="s">
        <v>2989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2113</v>
      </c>
      <c r="B32" s="2447"/>
      <c r="C32" s="152">
        <f ca="1">IF(D32="总价",G19-C24,G20-C25)</f>
        <v>17069</v>
      </c>
      <c r="D32" s="2448" t="s">
        <v>2114</v>
      </c>
      <c r="E32" s="137"/>
      <c r="F32" s="137"/>
      <c r="G32" s="137"/>
      <c r="H32" s="137"/>
      <c r="I32" s="137"/>
    </row>
    <row r="33" spans="1:15" ht="15">
      <c r="A33" s="959" t="s">
        <v>2115</v>
      </c>
      <c r="B33" s="2449"/>
      <c r="C33" s="2450"/>
      <c r="D33" s="2451"/>
      <c r="E33" s="2452" t="s">
        <v>2116</v>
      </c>
      <c r="F33" s="2453" t="str">
        <f>IF(D32="楼面单价","取值（单价）","取值（总价）")</f>
        <v>取值（总价）</v>
      </c>
      <c r="G33" s="137"/>
      <c r="H33" s="137"/>
      <c r="I33" s="137"/>
    </row>
    <row r="34" spans="1:15" ht="15">
      <c r="A34" s="2454"/>
      <c r="B34" s="2455" t="s">
        <v>2117</v>
      </c>
      <c r="C34" s="156" t="e">
        <f ca="1">IF(C33="自定义",F34,C32-C35)</f>
        <v>#REF!</v>
      </c>
      <c r="D34" s="1057" t="e">
        <f ca="1">IF(C33="自定义",ROUND(C34/C32,3),IF(C33="收益比率",SUMIF(INDIRECT("'"&amp;D33&amp;"'"&amp;"!b:b"),"土地收益比率",INDIRECT("'"&amp;D33&amp;"'"&amp;"!c:c")),SUMIF(INDIRECT("'"&amp;D33&amp;"'"&amp;"!b:b"),"土地成本比率",INDIRECT("'"&amp;D33&amp;"'"&amp;"!c:c"))))</f>
        <v>#REF!</v>
      </c>
      <c r="E34" s="2456" t="s">
        <v>2118</v>
      </c>
      <c r="F34" s="1737"/>
      <c r="G34" s="137"/>
      <c r="H34" s="137"/>
      <c r="I34" s="137"/>
    </row>
    <row r="35" spans="1:15" ht="15.75" thickBot="1">
      <c r="A35" s="2457"/>
      <c r="B35" s="2458" t="s">
        <v>2119</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2120</v>
      </c>
      <c r="F35" s="162"/>
      <c r="G35" s="137"/>
      <c r="H35" s="137"/>
      <c r="I35" s="137"/>
    </row>
    <row r="36" spans="1:15" ht="15.75" thickBot="1">
      <c r="A36" s="3132" t="s">
        <v>2121</v>
      </c>
      <c r="B36" s="2460" t="s">
        <v>2122</v>
      </c>
      <c r="C36" s="153"/>
      <c r="D36" s="2461"/>
      <c r="E36" s="2462"/>
      <c r="F36" s="2463"/>
      <c r="G36" s="137"/>
      <c r="H36" s="137"/>
      <c r="I36" s="137"/>
    </row>
    <row r="37" spans="1:15" ht="15.75" thickBot="1">
      <c r="A37" s="3133"/>
      <c r="B37" s="2265" t="s">
        <v>2123</v>
      </c>
      <c r="C37" s="155"/>
      <c r="D37" s="1394"/>
      <c r="E37" s="1394"/>
      <c r="F37" s="2463"/>
      <c r="G37" s="137"/>
      <c r="H37" s="137"/>
      <c r="I37" s="137"/>
    </row>
    <row r="38" spans="1:15" ht="15.75" thickBot="1">
      <c r="A38" s="3134"/>
      <c r="B38" s="2464" t="s">
        <v>2124</v>
      </c>
      <c r="C38" s="726"/>
      <c r="D38" s="2465" t="s">
        <v>2125</v>
      </c>
      <c r="E38" s="1394"/>
      <c r="F38" s="2463"/>
      <c r="G38" s="137"/>
      <c r="H38" s="137"/>
      <c r="I38" s="137"/>
    </row>
    <row r="39" spans="1:15" ht="15">
      <c r="A39" s="2436" t="s">
        <v>2126</v>
      </c>
      <c r="B39" s="2466" t="s">
        <v>2127</v>
      </c>
      <c r="C39" s="2467" t="s">
        <v>2128</v>
      </c>
      <c r="D39" s="2467" t="s">
        <v>2129</v>
      </c>
      <c r="E39" s="2468" t="s">
        <v>2130</v>
      </c>
      <c r="F39" s="2463"/>
      <c r="G39" s="137"/>
      <c r="H39" s="137"/>
      <c r="I39" s="137"/>
    </row>
    <row r="40" spans="1:15" ht="14.25">
      <c r="A40" s="2469" t="s">
        <v>2131</v>
      </c>
      <c r="B40" s="157"/>
      <c r="C40" s="158"/>
      <c r="D40" s="158"/>
      <c r="E40" s="159"/>
      <c r="F40" s="2463"/>
      <c r="G40" s="137"/>
      <c r="H40" s="137"/>
      <c r="I40" s="137"/>
    </row>
    <row r="41" spans="1:15" ht="14.25">
      <c r="A41" s="2469" t="s">
        <v>2132</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2133</v>
      </c>
      <c r="B44" s="2474"/>
      <c r="C44" s="2474"/>
      <c r="D44" s="2475"/>
      <c r="E44" s="2475"/>
      <c r="F44" s="2476"/>
      <c r="G44" s="2476"/>
      <c r="H44" s="2476"/>
      <c r="I44" s="2476"/>
      <c r="J44" s="2477" t="s">
        <v>2134</v>
      </c>
      <c r="K44" s="2478"/>
      <c r="L44" s="2478"/>
      <c r="M44" s="2478"/>
      <c r="N44" s="2478"/>
      <c r="O44" s="2478"/>
    </row>
    <row r="45" spans="1:15" ht="14.25" customHeight="1" thickBot="1">
      <c r="A45" s="3149" t="s">
        <v>2135</v>
      </c>
      <c r="B45" s="3150"/>
      <c r="C45" s="3151"/>
      <c r="D45" s="163">
        <f ca="1">ROUND(H101*F45,0)</f>
        <v>17069</v>
      </c>
      <c r="E45" s="164" t="s">
        <v>2136</v>
      </c>
      <c r="F45" s="165">
        <v>1</v>
      </c>
      <c r="G45" s="166" t="s">
        <v>2137</v>
      </c>
      <c r="H45" s="137"/>
      <c r="I45" s="137"/>
      <c r="J45" s="3068" t="s">
        <v>2138</v>
      </c>
      <c r="K45" s="3068"/>
      <c r="L45" s="3068"/>
      <c r="M45" s="3068"/>
      <c r="N45" s="3068"/>
      <c r="O45" s="3068"/>
    </row>
    <row r="46" spans="1:15" ht="14.25" customHeight="1">
      <c r="A46" s="3146" t="s">
        <v>2139</v>
      </c>
      <c r="B46" s="3147"/>
      <c r="C46" s="3147"/>
      <c r="D46" s="3147"/>
      <c r="E46" s="3147"/>
      <c r="F46" s="3147"/>
      <c r="G46" s="3148"/>
      <c r="H46" s="2479"/>
      <c r="I46" s="167"/>
      <c r="J46" s="1810">
        <v>1</v>
      </c>
      <c r="K46" s="3068" t="s">
        <v>2140</v>
      </c>
      <c r="L46" s="3068"/>
      <c r="M46" s="3069"/>
      <c r="N46" s="3069"/>
      <c r="O46" s="3069"/>
    </row>
    <row r="47" spans="1:15" ht="12" customHeight="1">
      <c r="A47" s="168" t="s">
        <v>2141</v>
      </c>
      <c r="B47" s="169"/>
      <c r="C47" s="170"/>
      <c r="D47" s="171" t="s">
        <v>2142</v>
      </c>
      <c r="E47" s="23" t="s">
        <v>2143</v>
      </c>
      <c r="F47" s="172" t="s">
        <v>2144</v>
      </c>
      <c r="G47" s="173" t="s">
        <v>2145</v>
      </c>
      <c r="H47" s="2479"/>
      <c r="I47" s="167"/>
      <c r="J47" s="1810">
        <v>2</v>
      </c>
      <c r="K47" s="3068" t="s">
        <v>2146</v>
      </c>
      <c r="L47" s="3068"/>
      <c r="M47" s="3070">
        <f>'数据-取费表'!B2</f>
        <v>43206</v>
      </c>
      <c r="N47" s="3070"/>
      <c r="O47" s="3070"/>
    </row>
    <row r="48" spans="1:15" ht="25.5">
      <c r="A48" s="3136" t="s">
        <v>2147</v>
      </c>
      <c r="B48" s="3137"/>
      <c r="C48" s="3137"/>
      <c r="D48" s="139">
        <f>IF(H48="情况1",0,IF(H48="情况2",D52,IF(H48="情况3",D53,IF(H48="情况4",D54))))</f>
        <v>0</v>
      </c>
      <c r="E48" s="1799" t="str">
        <f>IF(H48="情况4","(销售额-原购置价)×税（费）率","销售额×税（费）率")</f>
        <v>销售额×税（费）率</v>
      </c>
      <c r="F48" s="174" t="str">
        <f>IF(H48="情况1","免征",'数据-取费表'!B41)</f>
        <v>免征</v>
      </c>
      <c r="G48" s="2480" t="s">
        <v>2148</v>
      </c>
      <c r="H48" s="2481" t="s">
        <v>2149</v>
      </c>
      <c r="I48" s="2479"/>
      <c r="J48" s="1810">
        <v>3</v>
      </c>
      <c r="K48" s="3068" t="s">
        <v>2150</v>
      </c>
      <c r="L48" s="3068"/>
      <c r="M48" s="3071">
        <f ca="1">H101</f>
        <v>17069</v>
      </c>
      <c r="N48" s="3071"/>
      <c r="O48" s="3071"/>
    </row>
    <row r="49" spans="1:35" ht="25.5" customHeight="1">
      <c r="A49" s="175" t="s">
        <v>2151</v>
      </c>
      <c r="B49" s="3116" t="s">
        <v>2152</v>
      </c>
      <c r="C49" s="3116"/>
      <c r="D49" s="176">
        <v>0</v>
      </c>
      <c r="E49" s="22" t="s">
        <v>2153</v>
      </c>
      <c r="F49" s="27" t="s">
        <v>33</v>
      </c>
      <c r="G49" s="3097"/>
      <c r="H49" s="137"/>
      <c r="I49" s="2482"/>
      <c r="J49" s="1810">
        <v>4</v>
      </c>
      <c r="K49" s="3068" t="str">
        <f>IF(项目基本情况!E8="房地产抵押价值","房地产抵押价值","抵押担保权已注销时的房地产抵押价值")</f>
        <v>房地产抵押价值</v>
      </c>
      <c r="L49" s="3068"/>
      <c r="M49" s="3071">
        <f ca="1">IF(项目基本情况!E8="房地产抵押价值",H107,H109)</f>
        <v>17069</v>
      </c>
      <c r="N49" s="3071"/>
      <c r="O49" s="3071"/>
    </row>
    <row r="50" spans="1:35" ht="25.5" customHeight="1">
      <c r="A50" s="177"/>
      <c r="B50" s="3116" t="s">
        <v>2154</v>
      </c>
      <c r="C50" s="3116"/>
      <c r="D50" s="178"/>
      <c r="E50" s="30"/>
      <c r="F50" s="179"/>
      <c r="G50" s="3098"/>
      <c r="H50" s="137"/>
      <c r="I50" s="2482"/>
      <c r="J50" s="3068" t="s">
        <v>2155</v>
      </c>
      <c r="K50" s="3068"/>
      <c r="L50" s="3068"/>
      <c r="M50" s="3068"/>
      <c r="N50" s="3068"/>
      <c r="O50" s="3068"/>
    </row>
    <row r="51" spans="1:35" ht="12" customHeight="1">
      <c r="A51" s="180"/>
      <c r="B51" s="3116" t="s">
        <v>2156</v>
      </c>
      <c r="C51" s="3116"/>
      <c r="D51" s="181"/>
      <c r="E51" s="29"/>
      <c r="F51" s="179"/>
      <c r="G51" s="3099"/>
      <c r="H51" s="137"/>
      <c r="I51" s="2482"/>
      <c r="J51" s="2483" t="s">
        <v>2157</v>
      </c>
      <c r="K51" s="3068" t="s">
        <v>2158</v>
      </c>
      <c r="L51" s="3068"/>
      <c r="M51" s="2483" t="s">
        <v>2159</v>
      </c>
      <c r="N51" s="2483" t="s">
        <v>2160</v>
      </c>
      <c r="O51" s="2483" t="s">
        <v>2161</v>
      </c>
    </row>
    <row r="52" spans="1:35" ht="24" customHeight="1">
      <c r="A52" s="182" t="s">
        <v>2162</v>
      </c>
      <c r="B52" s="3116" t="s">
        <v>2163</v>
      </c>
      <c r="C52" s="3116"/>
      <c r="D52" s="181">
        <f ca="1">ROUND(D45*'数据-取费表'!B41/(1+'数据-取费表'!C42),0)</f>
        <v>894</v>
      </c>
      <c r="E52" s="11" t="s">
        <v>2164</v>
      </c>
      <c r="F52" s="183">
        <f>'数据-取费表'!B41</f>
        <v>5.5000000000000007E-2</v>
      </c>
      <c r="G52" s="2484"/>
      <c r="H52" s="137"/>
      <c r="I52" s="2482"/>
      <c r="J52" s="1810">
        <v>1</v>
      </c>
      <c r="K52" s="3091" t="s">
        <v>2165</v>
      </c>
      <c r="L52" s="3091"/>
      <c r="M52" s="1752">
        <f>D48</f>
        <v>0</v>
      </c>
      <c r="N52" s="1810" t="str">
        <f>E48</f>
        <v>销售额×税（费）率</v>
      </c>
      <c r="O52" s="1753" t="str">
        <f>F48</f>
        <v>免征</v>
      </c>
    </row>
    <row r="53" spans="1:35" ht="12" customHeight="1">
      <c r="A53" s="182" t="s">
        <v>2166</v>
      </c>
      <c r="B53" s="3117" t="s">
        <v>2167</v>
      </c>
      <c r="C53" s="3118"/>
      <c r="D53" s="181">
        <f ca="1">ROUND(D45*'数据-取费表'!B41/(1+'数据-取费表'!C42),0)</f>
        <v>894</v>
      </c>
      <c r="E53" s="11" t="s">
        <v>2164</v>
      </c>
      <c r="F53" s="183">
        <f>'数据-取费表'!B41</f>
        <v>5.5000000000000007E-2</v>
      </c>
      <c r="G53" s="2484"/>
      <c r="H53" s="137"/>
      <c r="I53" s="2482"/>
      <c r="J53" s="1810">
        <v>2</v>
      </c>
      <c r="K53" s="3091" t="s">
        <v>2168</v>
      </c>
      <c r="L53" s="3091"/>
      <c r="M53" s="1752">
        <f t="shared" ref="M53:O54" ca="1" si="0">D55</f>
        <v>9</v>
      </c>
      <c r="N53" s="1810" t="str">
        <f t="shared" si="0"/>
        <v>销售额×税（费）率</v>
      </c>
      <c r="O53" s="1753">
        <f t="shared" si="0"/>
        <v>5.0000000000000001E-4</v>
      </c>
    </row>
    <row r="54" spans="1:35" ht="12" customHeight="1">
      <c r="A54" s="182" t="s">
        <v>2169</v>
      </c>
      <c r="B54" s="3117" t="s">
        <v>2170</v>
      </c>
      <c r="C54" s="3118"/>
      <c r="D54" s="181">
        <f ca="1">C68</f>
        <v>894</v>
      </c>
      <c r="E54" s="29" t="s">
        <v>2171</v>
      </c>
      <c r="F54" s="183">
        <f>'数据-取费表'!B41</f>
        <v>5.5000000000000007E-2</v>
      </c>
      <c r="G54" s="2484"/>
      <c r="H54" s="2485"/>
      <c r="I54" s="2482"/>
      <c r="J54" s="1810">
        <v>3</v>
      </c>
      <c r="K54" s="3091" t="s">
        <v>2172</v>
      </c>
      <c r="L54" s="3091"/>
      <c r="M54" s="1752">
        <f t="shared" ca="1" si="0"/>
        <v>9677</v>
      </c>
      <c r="N54" s="1810" t="str">
        <f t="shared" si="0"/>
        <v>增值额×税（费）率</v>
      </c>
      <c r="O54" s="1754" t="str">
        <f t="shared" si="0"/>
        <v>——</v>
      </c>
    </row>
    <row r="55" spans="1:35" ht="24" customHeight="1">
      <c r="A55" s="3155" t="s">
        <v>2173</v>
      </c>
      <c r="B55" s="3137"/>
      <c r="C55" s="3137"/>
      <c r="D55" s="184">
        <f ca="1">IF(H55="个人住宅",0,ROUND(D45*I55,0))</f>
        <v>9</v>
      </c>
      <c r="E55" s="11" t="s">
        <v>2174</v>
      </c>
      <c r="F55" s="183">
        <f>IF(H55="正常",I55,"免征")</f>
        <v>5.0000000000000001E-4</v>
      </c>
      <c r="G55" s="2484"/>
      <c r="H55" s="2481" t="s">
        <v>2175</v>
      </c>
      <c r="I55" s="185">
        <f>'数据-取费表'!B49</f>
        <v>5.0000000000000001E-4</v>
      </c>
      <c r="J55" s="1810" t="str">
        <f>IF(H59="非个人房产","",4)</f>
        <v/>
      </c>
      <c r="K55" s="3091" t="str">
        <f>IF(H59="非个人房产","——","个人所得税")</f>
        <v>——</v>
      </c>
      <c r="L55" s="3091"/>
      <c r="M55" s="1755" t="str">
        <f>D59</f>
        <v>——</v>
      </c>
      <c r="N55" s="1808" t="str">
        <f>E59</f>
        <v>——</v>
      </c>
      <c r="O55" s="1756" t="str">
        <f>F59</f>
        <v>——</v>
      </c>
    </row>
    <row r="56" spans="1:35" ht="24.75">
      <c r="A56" s="3155" t="s">
        <v>2176</v>
      </c>
      <c r="B56" s="3137"/>
      <c r="C56" s="3137"/>
      <c r="D56" s="184">
        <f ca="1">IF(H56="个人住宅",D57,D58)</f>
        <v>9677</v>
      </c>
      <c r="E56" s="11" t="s">
        <v>2177</v>
      </c>
      <c r="F56" s="183" t="str">
        <f>IF(H56="正常",F58,"免征")</f>
        <v>——</v>
      </c>
      <c r="G56" s="2486" t="s">
        <v>2178</v>
      </c>
      <c r="H56" s="2487" t="s">
        <v>2175</v>
      </c>
      <c r="I56" s="2488"/>
      <c r="J56" s="1810" t="str">
        <f>IF(项目基本情况!K6="上海银行",IF(J55="",4,J55+1),"")</f>
        <v/>
      </c>
      <c r="K56" s="3074" t="str">
        <f>IF(项目基本情况!K6="上海银行","其他处置费用","")</f>
        <v/>
      </c>
      <c r="L56" s="3075"/>
      <c r="M56" s="1752" t="str">
        <f>IF(项目基本情况!K6="上海银行",M69,"")</f>
        <v/>
      </c>
      <c r="N56" s="3077" t="str">
        <f>IF(项目基本情况!K6="上海银行","包含处置中涉及的律师、诉讼、拍卖、评估等费用","")</f>
        <v/>
      </c>
      <c r="O56" s="3078"/>
    </row>
    <row r="57" spans="1:35" ht="12.75">
      <c r="A57" s="182" t="s">
        <v>2151</v>
      </c>
      <c r="B57" s="3122" t="s">
        <v>2179</v>
      </c>
      <c r="C57" s="3123"/>
      <c r="D57" s="186">
        <v>0</v>
      </c>
      <c r="E57" s="22" t="s">
        <v>2153</v>
      </c>
      <c r="F57" s="154"/>
      <c r="G57" s="2484"/>
      <c r="H57" s="2488"/>
      <c r="I57" s="2488"/>
      <c r="J57" s="3091">
        <f>IF(AND(J55="",J56=""),4,IF(项目基本情况!K6="上海银行",结果表!J56+1,结果表!J55+1))</f>
        <v>4</v>
      </c>
      <c r="K57" s="3091" t="s">
        <v>2180</v>
      </c>
      <c r="L57" s="2489" t="s">
        <v>2181</v>
      </c>
      <c r="M57" s="1757"/>
      <c r="N57" s="1758">
        <f ca="1">SUMIF(M52:M56,"&lt;9e307")</f>
        <v>9686</v>
      </c>
      <c r="O57" s="2490"/>
      <c r="P57" s="1751">
        <f ca="1">N57/M49</f>
        <v>0.5674614798757982</v>
      </c>
    </row>
    <row r="58" spans="1:35" ht="24.75">
      <c r="A58" s="182" t="s">
        <v>2162</v>
      </c>
      <c r="B58" s="3122" t="s">
        <v>2182</v>
      </c>
      <c r="C58" s="3135"/>
      <c r="D58" s="184">
        <f ca="1">IF(H58="转让取得",C81,C97)</f>
        <v>9677</v>
      </c>
      <c r="E58" s="11" t="s">
        <v>2177</v>
      </c>
      <c r="F58" s="23" t="s">
        <v>33</v>
      </c>
      <c r="G58" s="2484"/>
      <c r="H58" s="2487" t="s">
        <v>2183</v>
      </c>
      <c r="I58" s="2488"/>
      <c r="J58" s="3091"/>
      <c r="K58" s="3091"/>
      <c r="L58" s="2489" t="s">
        <v>2184</v>
      </c>
      <c r="M58" s="1759"/>
      <c r="N58" s="2491" t="str">
        <f ca="1">NUMBERSTRING(INT(N57*10000),2)&amp;"元整"</f>
        <v>玖仟陆佰捌拾陆万元整</v>
      </c>
      <c r="O58" s="2492"/>
    </row>
    <row r="59" spans="1:35" ht="24.75" thickBot="1">
      <c r="A59" s="3095" t="s">
        <v>2185</v>
      </c>
      <c r="B59" s="3096"/>
      <c r="C59" s="3096"/>
      <c r="D59" s="187" t="str">
        <f>IF(H59="非个人房产","——",IF(H59="个人住宅",0,ROUND(D45*I59,0)))</f>
        <v>——</v>
      </c>
      <c r="E59" s="188" t="str">
        <f>IF(H59="非个人房产","——","销售额×税（费）率")</f>
        <v>——</v>
      </c>
      <c r="F59" s="189" t="str">
        <f>IF(H59="非个人房产","——",IF(H59="个人住宅","免征",I59))</f>
        <v>——</v>
      </c>
      <c r="G59" s="2493" t="s">
        <v>2178</v>
      </c>
      <c r="H59" s="2487" t="s">
        <v>2186</v>
      </c>
      <c r="I59" s="190">
        <v>0.01</v>
      </c>
      <c r="J59" s="3093">
        <f>J57+1</f>
        <v>5</v>
      </c>
      <c r="K59" s="3091" t="s">
        <v>2187</v>
      </c>
      <c r="L59" s="1810" t="s">
        <v>2181</v>
      </c>
      <c r="M59" s="1760"/>
      <c r="N59" s="1761">
        <f ca="1">M49-N57</f>
        <v>7383</v>
      </c>
      <c r="O59" s="2494"/>
    </row>
    <row r="60" spans="1:35" ht="12" customHeight="1">
      <c r="A60" s="2495"/>
      <c r="B60" s="2417"/>
      <c r="C60" s="2417"/>
      <c r="D60" s="2417"/>
      <c r="E60" s="2164"/>
      <c r="F60" s="2488"/>
      <c r="G60" s="2488"/>
      <c r="H60" s="2496"/>
      <c r="I60" s="137"/>
      <c r="J60" s="3094"/>
      <c r="K60" s="3091"/>
      <c r="L60" s="2489" t="s">
        <v>2184</v>
      </c>
      <c r="M60" s="1759"/>
      <c r="N60" s="2491" t="str">
        <f ca="1">NUMBERSTRING(INT(N59*10000),2)&amp;"元整"</f>
        <v>柒仟叁佰捌拾叁万元整</v>
      </c>
      <c r="O60" s="2492"/>
    </row>
    <row r="61" spans="1:35" ht="13.5" thickBot="1">
      <c r="A61" s="3154" t="s">
        <v>2188</v>
      </c>
      <c r="B61" s="3154"/>
      <c r="C61" s="3154"/>
      <c r="D61" s="3154"/>
      <c r="E61" s="3154"/>
      <c r="F61" s="2488"/>
      <c r="G61" s="2488"/>
      <c r="H61" s="2496"/>
      <c r="I61" s="137"/>
      <c r="J61" s="1810">
        <f>J59+1</f>
        <v>6</v>
      </c>
      <c r="K61" s="3091" t="s">
        <v>2189</v>
      </c>
      <c r="L61" s="3091"/>
      <c r="M61" s="1762"/>
      <c r="N61" s="1763">
        <f ca="1">ROUND(N59*10000/'数据-汇总表'!E3,0)</f>
        <v>6096</v>
      </c>
      <c r="O61" s="2497"/>
    </row>
    <row r="62" spans="1:35" ht="12.75">
      <c r="A62" s="3111" t="s">
        <v>2190</v>
      </c>
      <c r="B62" s="3112"/>
      <c r="C62" s="1802"/>
      <c r="D62" s="1802" t="s">
        <v>2191</v>
      </c>
      <c r="E62" s="191" t="s">
        <v>2192</v>
      </c>
      <c r="F62" s="2488"/>
      <c r="G62" s="2488"/>
      <c r="H62" s="2496"/>
      <c r="I62" s="137"/>
    </row>
    <row r="63" spans="1:35" ht="12.75">
      <c r="A63" s="202" t="s">
        <v>773</v>
      </c>
      <c r="B63" s="192" t="s">
        <v>2193</v>
      </c>
      <c r="C63" s="193">
        <f ca="1">ROUND((C64+C65)/(1+'数据-取费表'!C42),0)</f>
        <v>16256</v>
      </c>
      <c r="D63" s="194"/>
      <c r="E63" s="195"/>
      <c r="F63" s="2488"/>
      <c r="G63" s="2488"/>
      <c r="H63" s="2496"/>
      <c r="I63" s="137"/>
      <c r="J63" s="3076" t="s">
        <v>2194</v>
      </c>
      <c r="K63" s="2498" t="s">
        <v>2195</v>
      </c>
      <c r="L63" s="1750">
        <f ca="1">IF(M49&gt;10000,M49*0.5%,IF(AND(M49&gt;1000,M49&lt;=10000),M49*1%,IF(AND(M49&gt;100,M49&lt;=1000),M49*3%,IF(AND(M49&gt;10,M49&lt;=100),M49*5%,M49*8%))))</f>
        <v>85.344999999999999</v>
      </c>
      <c r="M63" s="23">
        <f ca="1">ROUND(L63,1)</f>
        <v>85.3</v>
      </c>
      <c r="Z63" s="2422"/>
      <c r="AI63" s="2423"/>
    </row>
    <row r="64" spans="1:35" ht="14.25" customHeight="1">
      <c r="A64" s="196" t="s">
        <v>768</v>
      </c>
      <c r="B64" s="197" t="s">
        <v>2196</v>
      </c>
      <c r="C64" s="198">
        <f ca="1">D45</f>
        <v>17069</v>
      </c>
      <c r="D64" s="199" t="s">
        <v>31</v>
      </c>
      <c r="E64" s="200"/>
      <c r="F64" s="2488"/>
      <c r="G64" s="2488"/>
      <c r="H64" s="2496"/>
      <c r="I64" s="137"/>
      <c r="J64" s="3076"/>
      <c r="K64" s="2498" t="s">
        <v>2197</v>
      </c>
      <c r="L64" s="1750">
        <f ca="1">IF(M49&gt;2000,M49*0.5%,IF(AND(M49&gt;1000,M49&lt;=2000),M49*0.6%,IF(AND(M49&gt;500,M49&lt;=1000),M49*0.7%,IF(AND(M49&gt;200,M49&lt;=500),M49*0.8%,IF(AND(M49&gt;100,M49&lt;=200),M49*0.9%,IF(AND(M49&gt;50,M49&lt;=100),M49*1%,IF(AND(M49&gt;20,M49&lt;=50),M49*1.5%,IF(AND(M49&gt;10,M49&lt;=20),M49*2%,IF(AND(M49&gt;1,M49&lt;=10),M49*2.5%)))))))))</f>
        <v>85.344999999999999</v>
      </c>
      <c r="M64" s="23">
        <f t="shared" ref="M64:M65" ca="1" si="1">ROUND(L64,1)</f>
        <v>85.3</v>
      </c>
      <c r="N64" s="137" t="s">
        <v>2198</v>
      </c>
      <c r="Z64" s="2422"/>
      <c r="AI64" s="2423"/>
    </row>
    <row r="65" spans="1:35" ht="14.25" customHeight="1">
      <c r="A65" s="196" t="s">
        <v>769</v>
      </c>
      <c r="B65" s="197" t="s">
        <v>2199</v>
      </c>
      <c r="C65" s="201"/>
      <c r="D65" s="199"/>
      <c r="E65" s="200"/>
      <c r="F65" s="2488"/>
      <c r="G65" s="2488"/>
      <c r="H65" s="2496"/>
      <c r="I65" s="137"/>
      <c r="J65" s="3076"/>
      <c r="K65" s="2498" t="s">
        <v>2200</v>
      </c>
      <c r="L65" s="1750">
        <f ca="1">IF(M49&gt;1000,M49*0.1%,IF(AND(M49&gt;500,M49&lt;=1000),M49*0.5%,IF(AND(M49&gt;50,M49&lt;=500),M49*1%,IF(AND(M49&gt;1,M49&lt;=50),M49*1.5%))))</f>
        <v>17.068999999999999</v>
      </c>
      <c r="M65" s="23">
        <f t="shared" ca="1" si="1"/>
        <v>17.100000000000001</v>
      </c>
      <c r="N65" s="137" t="s">
        <v>2198</v>
      </c>
      <c r="Z65" s="2422"/>
      <c r="AI65" s="2423"/>
    </row>
    <row r="66" spans="1:35" ht="14.25" customHeight="1">
      <c r="A66" s="202" t="s">
        <v>770</v>
      </c>
      <c r="B66" s="203" t="s">
        <v>2201</v>
      </c>
      <c r="C66" s="204"/>
      <c r="D66" s="205" t="s">
        <v>31</v>
      </c>
      <c r="E66" s="1774" t="s">
        <v>1366</v>
      </c>
      <c r="F66" s="2488"/>
      <c r="G66" s="2488"/>
      <c r="H66" s="2496"/>
      <c r="I66" s="137"/>
      <c r="J66" s="3076"/>
      <c r="K66" s="2498" t="s">
        <v>2202</v>
      </c>
      <c r="L66" s="1750">
        <f ca="1">M49*0.5%</f>
        <v>85.344999999999999</v>
      </c>
      <c r="M66" s="23">
        <f ca="1">IF(L66&gt;0.5,0.5,ROUND(L66,0))</f>
        <v>0.5</v>
      </c>
      <c r="N66" s="137" t="s">
        <v>2203</v>
      </c>
      <c r="Z66" s="2422"/>
      <c r="AI66" s="2423"/>
    </row>
    <row r="67" spans="1:35" ht="14.25" customHeight="1">
      <c r="A67" s="202" t="s">
        <v>771</v>
      </c>
      <c r="B67" s="203" t="s">
        <v>2204</v>
      </c>
      <c r="C67" s="206">
        <f ca="1">C63-C66</f>
        <v>16256</v>
      </c>
      <c r="D67" s="199" t="s">
        <v>31</v>
      </c>
      <c r="E67" s="200"/>
      <c r="F67" s="2488"/>
      <c r="G67" s="2488"/>
      <c r="H67" s="2496"/>
      <c r="I67" s="137"/>
      <c r="J67" s="3076"/>
      <c r="K67" s="2498" t="s">
        <v>2205</v>
      </c>
      <c r="L67" s="1750">
        <f ca="1">IF(M49&gt;=10000,(8.25+(M49-10000)*0.01%),IF(AND(M49&gt;=8000,M49&lt;10000),(7.85+(M49-8000)*0.02%),IF(AND(M49&gt;=5000,M49&lt;8000),(6.65+(M49-5000)*0.04%),IF(AND(M49&gt;=2000,M49&lt;5000),(4.25+(PM49-2000)*0.08%),IF(AND(M49&gt;=1000,M49&lt;2000),(2.75+(M49-1000)*0.15%),IF(AND(M49&gt;=100,M49&lt;1000),(0.5+(M49-100)*0.25%),IF(AND(M49&gt;0,M49&lt;100),M49*0.5%)))))))</f>
        <v>8.956900000000001</v>
      </c>
      <c r="M67" s="23">
        <f ca="1">ROUND(L67*0.9,1)</f>
        <v>8.1</v>
      </c>
      <c r="Z67" s="2422"/>
      <c r="AI67" s="2423"/>
    </row>
    <row r="68" spans="1:35" ht="14.25" customHeight="1" thickBot="1">
      <c r="A68" s="207" t="s">
        <v>772</v>
      </c>
      <c r="B68" s="208" t="s">
        <v>2206</v>
      </c>
      <c r="C68" s="209">
        <f ca="1">IF(C67&lt;=0,0,ROUND(C67*D68,0))</f>
        <v>894</v>
      </c>
      <c r="D68" s="210">
        <f>'数据-取费表'!B41</f>
        <v>5.5000000000000007E-2</v>
      </c>
      <c r="E68" s="211"/>
      <c r="F68" s="2488"/>
      <c r="G68" s="2488"/>
      <c r="H68" s="2496"/>
      <c r="I68" s="137"/>
      <c r="J68" s="3076"/>
      <c r="K68" s="2498" t="s">
        <v>2207</v>
      </c>
      <c r="L68" s="1750">
        <f ca="1">IF(M49&gt;10000,M49*0.5%,IF(AND(M49&gt;5000,M49&lt;=10000),M49*1%,IF(AND(M49&gt;1000,M49&lt;=5000),M49*2%,IF(AND(M49&gt;200,M49&lt;=1000),M49*3%,M49*5%))))</f>
        <v>85.344999999999999</v>
      </c>
      <c r="M68" s="23">
        <f ca="1">ROUND(L68,1)</f>
        <v>85.3</v>
      </c>
      <c r="Z68" s="2422"/>
      <c r="AI68" s="2423"/>
    </row>
    <row r="69" spans="1:35" s="2445" customFormat="1" ht="16.5" customHeight="1">
      <c r="A69" s="2499"/>
      <c r="B69" s="2500"/>
      <c r="C69" s="2501"/>
      <c r="D69" s="2502"/>
      <c r="E69" s="2503"/>
      <c r="F69" s="2164"/>
      <c r="G69" s="2164"/>
      <c r="H69" s="2163"/>
      <c r="I69" s="2417"/>
      <c r="J69" s="3076"/>
      <c r="K69" s="2498" t="s">
        <v>2208</v>
      </c>
      <c r="L69" s="2504"/>
      <c r="M69" s="23">
        <f ca="1">ROUND(SUM(M63:M68),0)</f>
        <v>282</v>
      </c>
      <c r="N69" s="1751">
        <f ca="1">M69/M49</f>
        <v>1.6521178745093443E-2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20" t="s">
        <v>2209</v>
      </c>
      <c r="B70" s="3121"/>
      <c r="C70" s="3121"/>
      <c r="D70" s="3121"/>
      <c r="E70" s="3121"/>
      <c r="F70" s="3121"/>
      <c r="G70" s="3121"/>
      <c r="H70" s="312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1" t="s">
        <v>2190</v>
      </c>
      <c r="B71" s="3112"/>
      <c r="C71" s="1802"/>
      <c r="D71" s="1802" t="s">
        <v>2191</v>
      </c>
      <c r="E71" s="212" t="s">
        <v>2192</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773</v>
      </c>
      <c r="B72" s="203" t="s">
        <v>2210</v>
      </c>
      <c r="C72" s="206">
        <f ca="1">ROUND(D45/(1+'数据-取费表'!C42),0)</f>
        <v>16256</v>
      </c>
      <c r="D72" s="199" t="s">
        <v>31</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770</v>
      </c>
      <c r="B73" s="172" t="s">
        <v>2211</v>
      </c>
      <c r="C73" s="206">
        <f ca="1">C74+C78</f>
        <v>9991</v>
      </c>
      <c r="D73" s="199" t="s">
        <v>31</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768</v>
      </c>
      <c r="B74" s="197" t="s">
        <v>2212</v>
      </c>
      <c r="C74" s="199">
        <f>ROUND(IF(G77="2016年5月1日后购买",C75/(1+'数据-取费表'!C42)+C76+C77,C75+C76+C77),0)</f>
        <v>9910</v>
      </c>
      <c r="D74" s="199" t="s">
        <v>31</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774</v>
      </c>
      <c r="B75" s="197" t="s">
        <v>2213</v>
      </c>
      <c r="C75" s="217">
        <v>10000</v>
      </c>
      <c r="D75" s="199" t="s">
        <v>31</v>
      </c>
      <c r="E75" s="218" t="s">
        <v>2214</v>
      </c>
      <c r="F75" s="2510" t="s">
        <v>2215</v>
      </c>
      <c r="G75" s="218" t="s">
        <v>2216</v>
      </c>
      <c r="H75" s="219">
        <v>2</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775</v>
      </c>
      <c r="B76" s="220" t="s">
        <v>2217</v>
      </c>
      <c r="C76" s="199">
        <f>IF(F75="购房发票",ROUND(C75*H75*D76,0),0)</f>
        <v>0</v>
      </c>
      <c r="D76" s="221">
        <v>0.05</v>
      </c>
      <c r="E76" s="3117" t="s">
        <v>2218</v>
      </c>
      <c r="F76" s="3116"/>
      <c r="G76" s="3116"/>
      <c r="H76" s="311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776</v>
      </c>
      <c r="B77" s="197" t="s">
        <v>2219</v>
      </c>
      <c r="C77" s="199">
        <f>ROUND(IF(G77="个人住宅",0,IF(G77="2016年5月1日前购买",C75*D77,C75*D77/(1+'数据-取费表'!C42))),0)</f>
        <v>386</v>
      </c>
      <c r="D77" s="222">
        <f>'数据-取费表'!B48+'数据-取费表'!B49</f>
        <v>4.0500000000000001E-2</v>
      </c>
      <c r="E77" s="14" t="s">
        <v>2220</v>
      </c>
      <c r="F77" s="223"/>
      <c r="G77" s="2512" t="s">
        <v>2221</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769</v>
      </c>
      <c r="B78" s="197" t="s">
        <v>2222</v>
      </c>
      <c r="C78" s="224">
        <f ca="1">ROUND(D45*D78/(1+'数据-取费表'!C42),0)</f>
        <v>81</v>
      </c>
      <c r="D78" s="225">
        <f>'数据-取费表'!B43</f>
        <v>5.000000000000001E-3</v>
      </c>
      <c r="E78" s="3108" t="s">
        <v>2223</v>
      </c>
      <c r="F78" s="3109"/>
      <c r="G78" s="3109"/>
      <c r="H78" s="311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777</v>
      </c>
      <c r="B79" s="203" t="s">
        <v>2224</v>
      </c>
      <c r="C79" s="206">
        <f ca="1">C72-C73</f>
        <v>6265</v>
      </c>
      <c r="D79" s="199" t="s">
        <v>31</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778</v>
      </c>
      <c r="B80" s="203" t="s">
        <v>2225</v>
      </c>
      <c r="C80" s="226">
        <f ca="1">IF(C79&lt;=0,0,C79/C73)</f>
        <v>0.62706435792212989</v>
      </c>
      <c r="D80" s="199" t="s">
        <v>31</v>
      </c>
      <c r="E80" s="1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779</v>
      </c>
      <c r="B81" s="208" t="s">
        <v>2226</v>
      </c>
      <c r="C81" s="227">
        <f ca="1">ROUND(IF(C79&lt;=0,0,IF(C80&gt;=200%,C79*60%-C73*35%,IF(C80&gt;=100%,C79*50%-C73*15%,IF(C80&gt;=50%,C79*40%-C73*5%,IF(C80&lt;50%,C79*30%,0))))),0)</f>
        <v>2006</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0" t="s">
        <v>2227</v>
      </c>
      <c r="B83" s="3121"/>
      <c r="C83" s="3121"/>
      <c r="D83" s="3121"/>
      <c r="E83" s="3121"/>
      <c r="F83" s="3121"/>
      <c r="G83" s="3121"/>
      <c r="H83" s="312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1" t="s">
        <v>2190</v>
      </c>
      <c r="B84" s="3112"/>
      <c r="C84" s="1802"/>
      <c r="D84" s="1802" t="s">
        <v>2191</v>
      </c>
      <c r="E84" s="212" t="s">
        <v>2192</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773</v>
      </c>
      <c r="B85" s="203" t="s">
        <v>2210</v>
      </c>
      <c r="C85" s="206">
        <f ca="1">ROUND(D45/(1+'数据-取费表'!C42),0)</f>
        <v>16256</v>
      </c>
      <c r="D85" s="199" t="s">
        <v>31</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770</v>
      </c>
      <c r="B86" s="172" t="s">
        <v>2211</v>
      </c>
      <c r="C86" s="206">
        <f ca="1">IF(H88="仅含出让金",C87+C90+C91+C92+C93+C94,C87+C91+C92+C93+C94)</f>
        <v>81</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768</v>
      </c>
      <c r="B87" s="197" t="s">
        <v>2228</v>
      </c>
      <c r="C87" s="224">
        <f>C88+C89</f>
        <v>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774</v>
      </c>
      <c r="B88" s="197" t="s">
        <v>2229</v>
      </c>
      <c r="C88" s="235"/>
      <c r="D88" s="225"/>
      <c r="E88" s="236" t="s">
        <v>2230</v>
      </c>
      <c r="F88" s="1798"/>
      <c r="G88" s="237" t="s">
        <v>2231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775</v>
      </c>
      <c r="B89" s="197" t="s">
        <v>2219</v>
      </c>
      <c r="C89" s="224">
        <f>ROUND(C88*D89,0)</f>
        <v>0</v>
      </c>
      <c r="D89" s="225">
        <f>'数据-取费表'!B48+'数据-取费表'!B49</f>
        <v>4.0500000000000001E-2</v>
      </c>
      <c r="E89" s="236" t="s">
        <v>2232</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769</v>
      </c>
      <c r="B90" s="197" t="s">
        <v>2233</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2234</v>
      </c>
      <c r="B91" s="197" t="s">
        <v>2235</v>
      </c>
      <c r="C91" s="224">
        <f>IF(H91="——",成本法!C33,I91)</f>
        <v>0</v>
      </c>
      <c r="D91" s="225"/>
      <c r="E91" s="3108" t="s">
        <v>2236</v>
      </c>
      <c r="F91" s="3109"/>
      <c r="G91" s="3109"/>
      <c r="H91" s="2517" t="s">
        <v>2237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2238</v>
      </c>
      <c r="B92" s="197" t="s">
        <v>2239</v>
      </c>
      <c r="C92" s="224">
        <f>ROUND((C87+C90+C91)*D92,0)</f>
        <v>0</v>
      </c>
      <c r="D92" s="225">
        <v>0.1</v>
      </c>
      <c r="E92" s="3108" t="s">
        <v>2240</v>
      </c>
      <c r="F92" s="3109"/>
      <c r="G92" s="3109"/>
      <c r="H92" s="311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2241</v>
      </c>
      <c r="B93" s="197" t="s">
        <v>2222</v>
      </c>
      <c r="C93" s="224">
        <f ca="1">ROUND(D45*D93/(1+'数据-取费表'!C42),0)</f>
        <v>81</v>
      </c>
      <c r="D93" s="225">
        <f>'数据-取费表'!B43</f>
        <v>5.000000000000001E-3</v>
      </c>
      <c r="E93" s="3108" t="s">
        <v>2223</v>
      </c>
      <c r="F93" s="3109"/>
      <c r="G93" s="3109"/>
      <c r="H93" s="311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2242</v>
      </c>
      <c r="B94" s="197" t="s">
        <v>2243</v>
      </c>
      <c r="C94" s="235">
        <f>ROUND((C87+C90+C91)*D94,0)</f>
        <v>0</v>
      </c>
      <c r="D94" s="225">
        <v>0.2</v>
      </c>
      <c r="E94" s="3156" t="s">
        <v>2244</v>
      </c>
      <c r="F94" s="3157"/>
      <c r="G94" s="3157"/>
      <c r="H94" s="315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777</v>
      </c>
      <c r="B95" s="203" t="s">
        <v>2224</v>
      </c>
      <c r="C95" s="206">
        <f ca="1">ROUND(C85-C86,0)</f>
        <v>16175</v>
      </c>
      <c r="D95" s="199" t="s">
        <v>31</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778</v>
      </c>
      <c r="B96" s="203" t="s">
        <v>2225</v>
      </c>
      <c r="C96" s="226">
        <f ca="1">IF(C95&lt;=0,0,C95/C86)</f>
        <v>199.69135802469137</v>
      </c>
      <c r="D96" s="199" t="s">
        <v>31</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779</v>
      </c>
      <c r="B97" s="208" t="s">
        <v>2226</v>
      </c>
      <c r="C97" s="227">
        <f ca="1">ROUND(IF(C95&lt;=0,0,IF(C96&gt;=200%,C95*60%-C86*35%,IF(C96&gt;=100%,C95*50%-C86*15%,IF(C96&gt;=50%,C95*40%-C86*5%,IF(C96&lt;50%,C95*30%,0))))),0)</f>
        <v>9677</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2245</v>
      </c>
      <c r="B99" s="2417"/>
      <c r="C99" s="2417"/>
      <c r="D99" s="2417"/>
      <c r="E99" s="2164"/>
      <c r="F99" s="2164"/>
      <c r="G99" s="2164"/>
      <c r="H99" s="2163"/>
      <c r="I99" s="137"/>
    </row>
    <row r="100" spans="1:35" ht="18.75" customHeight="1">
      <c r="A100" s="3060" t="s">
        <v>2246</v>
      </c>
      <c r="B100" s="3061"/>
      <c r="C100" s="3061"/>
      <c r="D100" s="3092"/>
      <c r="E100" s="3061" t="s">
        <v>2247</v>
      </c>
      <c r="F100" s="3061"/>
      <c r="G100" s="3061"/>
      <c r="H100" s="3092"/>
      <c r="I100" s="137"/>
    </row>
    <row r="101" spans="1:35" ht="18.75" customHeight="1">
      <c r="A101" s="3100" t="s">
        <v>2248</v>
      </c>
      <c r="B101" s="3101"/>
      <c r="C101" s="735" t="str">
        <f>C4</f>
        <v>成本法</v>
      </c>
      <c r="D101" s="736" t="str">
        <f>D4</f>
        <v>收益法（汇总）</v>
      </c>
      <c r="E101" s="3072" t="s">
        <v>2249</v>
      </c>
      <c r="F101" s="3073"/>
      <c r="G101" s="2519" t="s">
        <v>2250</v>
      </c>
      <c r="H101" s="1047">
        <f ca="1">H118</f>
        <v>17069</v>
      </c>
      <c r="I101" s="137"/>
    </row>
    <row r="102" spans="1:35" ht="18.75" customHeight="1">
      <c r="A102" s="3102" t="s">
        <v>2251</v>
      </c>
      <c r="B102" s="2519" t="s">
        <v>2250</v>
      </c>
      <c r="C102" s="735">
        <f ca="1">C19</f>
        <v>11208</v>
      </c>
      <c r="D102" s="736">
        <f ca="1">D19</f>
        <v>19581</v>
      </c>
      <c r="E102" s="3072"/>
      <c r="F102" s="3073"/>
      <c r="G102" s="2519" t="s">
        <v>2252</v>
      </c>
      <c r="H102" s="370">
        <f ca="1">I118</f>
        <v>14093</v>
      </c>
      <c r="I102" s="137"/>
    </row>
    <row r="103" spans="1:35" ht="42.75" customHeight="1">
      <c r="A103" s="3102"/>
      <c r="B103" s="2519" t="s">
        <v>2252</v>
      </c>
      <c r="C103" s="737">
        <f ca="1">C20</f>
        <v>9254</v>
      </c>
      <c r="D103" s="738">
        <f ca="1">D20</f>
        <v>16167</v>
      </c>
      <c r="E103" s="3066" t="s">
        <v>2253</v>
      </c>
      <c r="F103" s="3067"/>
      <c r="G103" s="2520" t="s">
        <v>2254</v>
      </c>
      <c r="H103" s="1047">
        <f>IF(D36="正常操作",H104+H105+H106,H105+H106)</f>
        <v>0</v>
      </c>
      <c r="I103" s="137"/>
    </row>
    <row r="104" spans="1:35" ht="18.75" customHeight="1">
      <c r="A104" s="3102" t="s">
        <v>2255</v>
      </c>
      <c r="B104" s="2521" t="s">
        <v>2250</v>
      </c>
      <c r="C104" s="739">
        <f ca="1">H118</f>
        <v>17069</v>
      </c>
      <c r="D104" s="740"/>
      <c r="E104" s="2265" t="s">
        <v>2256</v>
      </c>
      <c r="F104" s="2256"/>
      <c r="G104" s="2520" t="s">
        <v>2254</v>
      </c>
      <c r="H104" s="1048">
        <f>IF(D36="同一抵押权人同一抵押物续贷",C36&amp;"（未扣减，详见特别提示）",C36)</f>
        <v>0</v>
      </c>
      <c r="I104" s="137"/>
    </row>
    <row r="105" spans="1:35" ht="18.75" customHeight="1" thickBot="1">
      <c r="A105" s="3114"/>
      <c r="B105" s="2522" t="s">
        <v>2252</v>
      </c>
      <c r="C105" s="741">
        <f ca="1">I118</f>
        <v>14093</v>
      </c>
      <c r="D105" s="742"/>
      <c r="E105" s="2265" t="s">
        <v>2257</v>
      </c>
      <c r="F105" s="2256"/>
      <c r="G105" s="2520" t="s">
        <v>2254</v>
      </c>
      <c r="H105" s="1048">
        <f>C37</f>
        <v>0</v>
      </c>
      <c r="I105" s="137"/>
    </row>
    <row r="106" spans="1:35" ht="18.75" customHeight="1">
      <c r="A106" s="2417" t="s">
        <v>2258</v>
      </c>
      <c r="B106" s="2417"/>
      <c r="C106" s="2417"/>
      <c r="D106" s="2417"/>
      <c r="E106" s="2523" t="s">
        <v>2259</v>
      </c>
      <c r="F106" s="2256"/>
      <c r="G106" s="2520" t="s">
        <v>2254</v>
      </c>
      <c r="H106" s="1048">
        <f>C38</f>
        <v>0</v>
      </c>
      <c r="I106" s="137"/>
    </row>
    <row r="107" spans="1:35" ht="18.75" customHeight="1">
      <c r="A107" s="137"/>
      <c r="B107" s="137"/>
      <c r="C107" s="137"/>
      <c r="D107" s="137"/>
      <c r="E107" s="3103" t="str">
        <f>IF(项目基本情况!E8="已注销","——","3.房地产抵押价值")</f>
        <v>3.房地产抵押价值</v>
      </c>
      <c r="F107" s="3073"/>
      <c r="G107" s="2519" t="s">
        <v>2250</v>
      </c>
      <c r="H107" s="1047">
        <f ca="1">IF(E107="——","——",H101-H103)</f>
        <v>17069</v>
      </c>
      <c r="I107" s="137"/>
    </row>
    <row r="108" spans="1:35" ht="18.75" customHeight="1">
      <c r="A108" s="137"/>
      <c r="B108" s="137"/>
      <c r="C108" s="137"/>
      <c r="D108" s="137"/>
      <c r="E108" s="3103"/>
      <c r="F108" s="3073"/>
      <c r="G108" s="2519" t="s">
        <v>2252</v>
      </c>
      <c r="H108" s="370">
        <f ca="1">ROUND(H107*10000/'数据-汇总表'!E3,0)</f>
        <v>14093</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3"/>
      <c r="G109" s="2519" t="s">
        <v>2250</v>
      </c>
      <c r="H109" s="347" t="str">
        <f>IF(E109="——","——",H101-H105-H106)</f>
        <v>——</v>
      </c>
      <c r="I109" s="137"/>
    </row>
    <row r="110" spans="1:35" ht="18.75" customHeight="1">
      <c r="A110" s="137"/>
      <c r="B110" s="137"/>
      <c r="C110" s="137"/>
      <c r="D110" s="137"/>
      <c r="E110" s="3103"/>
      <c r="F110" s="3073"/>
      <c r="G110" s="2519" t="s">
        <v>2252</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9" t="s">
        <v>2250</v>
      </c>
      <c r="H111" s="1047" t="str">
        <f>IF(E111="——","——",N59)</f>
        <v>——</v>
      </c>
      <c r="I111" s="137"/>
    </row>
    <row r="112" spans="1:35" ht="18.75" customHeight="1" thickBot="1">
      <c r="A112" s="137"/>
      <c r="B112" s="137"/>
      <c r="C112" s="137"/>
      <c r="D112" s="137"/>
      <c r="E112" s="3106"/>
      <c r="F112" s="3107"/>
      <c r="G112" s="2524" t="s">
        <v>2252</v>
      </c>
      <c r="H112" s="789" t="str">
        <f>IF(E111="——","——",N61)</f>
        <v>——</v>
      </c>
      <c r="I112" s="137"/>
    </row>
    <row r="113" spans="1:11" ht="18.75" customHeight="1">
      <c r="A113" s="137"/>
      <c r="B113" s="137"/>
      <c r="C113" s="137"/>
      <c r="D113" s="137"/>
      <c r="E113" s="3115" t="s">
        <v>2258</v>
      </c>
      <c r="F113" s="3115"/>
      <c r="G113" s="3115"/>
      <c r="H113" s="3115"/>
      <c r="I113" s="137"/>
    </row>
    <row r="114" spans="1:11" ht="3.75" customHeight="1">
      <c r="A114" s="2417"/>
      <c r="B114" s="2417"/>
      <c r="C114" s="2417"/>
      <c r="D114" s="2417"/>
      <c r="E114" s="2495"/>
      <c r="F114" s="2495"/>
      <c r="G114" s="2495"/>
      <c r="H114" s="2495"/>
      <c r="I114" s="2417"/>
    </row>
    <row r="115" spans="1:11" ht="18.75" customHeight="1">
      <c r="A115" s="3128" t="s">
        <v>2260</v>
      </c>
      <c r="B115" s="3129"/>
      <c r="C115" s="3129"/>
      <c r="D115" s="3129"/>
      <c r="E115" s="3129"/>
      <c r="F115" s="3129"/>
      <c r="G115" s="3129"/>
      <c r="H115" s="3129"/>
      <c r="I115" s="3130"/>
    </row>
    <row r="116" spans="1:11" ht="27" customHeight="1">
      <c r="A116" s="3039" t="s">
        <v>2261</v>
      </c>
      <c r="B116" s="3082" t="s">
        <v>2262</v>
      </c>
      <c r="C116" s="3082" t="s">
        <v>2263</v>
      </c>
      <c r="D116" s="3088" t="s">
        <v>2264</v>
      </c>
      <c r="E116" s="3089"/>
      <c r="F116" s="3124" t="s">
        <v>2265</v>
      </c>
      <c r="G116" s="3124"/>
      <c r="H116" s="3039" t="s">
        <v>2266</v>
      </c>
      <c r="I116" s="3039"/>
    </row>
    <row r="117" spans="1:11" ht="18.75" customHeight="1">
      <c r="A117" s="3039"/>
      <c r="B117" s="3083"/>
      <c r="C117" s="3083"/>
      <c r="D117" s="1796" t="s">
        <v>2267</v>
      </c>
      <c r="E117" s="1796" t="s">
        <v>2268</v>
      </c>
      <c r="F117" s="1796" t="s">
        <v>2267</v>
      </c>
      <c r="G117" s="1796" t="s">
        <v>2269</v>
      </c>
      <c r="H117" s="1796" t="s">
        <v>2267</v>
      </c>
      <c r="I117" s="1796" t="s">
        <v>2269</v>
      </c>
    </row>
    <row r="118" spans="1:11" ht="24.75" customHeight="1">
      <c r="A118" s="2525" t="str">
        <f>项目基本情况!S2</f>
        <v>廊坊市三河市燕郊开发区燕顺路西侧、高压走廊北侧美林君渡（美林新东城B区续建及C区）16号楼房地产</v>
      </c>
      <c r="B118" s="1796">
        <f>M18</f>
        <v>12111.68</v>
      </c>
      <c r="C118" s="1796">
        <f>M19</f>
        <v>9365.7099999999991</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17069</v>
      </c>
      <c r="I118" s="1796">
        <f ca="1">ROUND(IF(D32="楼面单价",C32,H118*10000/B118),0)</f>
        <v>14093</v>
      </c>
    </row>
    <row r="119" spans="1:11" ht="18.75" customHeight="1">
      <c r="A119" s="3039" t="s">
        <v>2270</v>
      </c>
      <c r="B119" s="3039"/>
      <c r="C119" s="3039"/>
      <c r="D119" s="3084" t="e">
        <f ca="1">NUMBERSTRING(INT(D118*10000),2)&amp;"元整"</f>
        <v>#REF!</v>
      </c>
      <c r="E119" s="3085"/>
      <c r="F119" s="3084" t="e">
        <f ca="1">NUMBERSTRING(INT(F118*10000),2)&amp;"元整"</f>
        <v>#REF!</v>
      </c>
      <c r="G119" s="3085"/>
      <c r="H119" s="3084" t="str">
        <f ca="1">NUMBERSTRING(INT(H118*10000),2)&amp;"元整"</f>
        <v>壹亿柒仟零陆拾玖万元整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2" t="str">
        <f>IF(D120=0,"故，本次评估不存在"&amp;A120,"故，本次评估"&amp;A120&amp;"为人民币"&amp;D120&amp;"万元整。")</f>
        <v>故，本次评估不存在估价师知悉的法定优先受偿款</v>
      </c>
    </row>
    <row r="121" spans="1:11" ht="18.75" customHeight="1">
      <c r="A121" s="3125" t="s">
        <v>2270</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17069</v>
      </c>
      <c r="E122" s="3080"/>
      <c r="F122" s="3080"/>
      <c r="G122" s="3080"/>
      <c r="H122" s="3080"/>
      <c r="I122" s="3081"/>
    </row>
    <row r="123" spans="1:11" ht="18.75" customHeight="1">
      <c r="A123" s="3039" t="s">
        <v>2270</v>
      </c>
      <c r="B123" s="3039"/>
      <c r="C123" s="3039"/>
      <c r="D123" s="3084" t="str">
        <f ca="1">NUMBERSTRING(INT(D122*10000),2)&amp;"元整"</f>
        <v>壹亿柒仟零陆拾玖万元整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2270</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2270</v>
      </c>
      <c r="B127" s="3039"/>
      <c r="C127" s="3039"/>
      <c r="D127" s="3084" t="e">
        <f>NUMBERSTRING(INT(D126*10000),2)&amp;"元整"</f>
        <v>#VALUE!</v>
      </c>
      <c r="E127" s="3086"/>
      <c r="F127" s="3086"/>
      <c r="G127" s="3086"/>
      <c r="H127" s="3086"/>
      <c r="I127" s="3085"/>
    </row>
    <row r="128" spans="1:11" ht="21.75" customHeight="1">
      <c r="A128" s="3087" t="s">
        <v>2271</v>
      </c>
      <c r="B128" s="3087"/>
      <c r="C128" s="3087"/>
      <c r="D128" s="3087"/>
      <c r="E128" s="3087"/>
      <c r="F128" s="3087"/>
      <c r="G128" s="3087"/>
      <c r="H128" s="3087"/>
      <c r="I128" s="3087"/>
    </row>
    <row r="129" spans="1:35" ht="21.75" customHeight="1">
      <c r="A129" s="2526" t="s">
        <v>2272</v>
      </c>
      <c r="B129" s="2527"/>
      <c r="C129" s="2528" t="s">
        <v>2273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2274</v>
      </c>
      <c r="G135" s="2543"/>
      <c r="H135" s="2543"/>
      <c r="I135" s="2544" t="s">
        <v>2275</v>
      </c>
    </row>
    <row r="136" spans="1:35" ht="21.75" customHeight="1">
      <c r="A136" s="794"/>
      <c r="B136" s="2545" t="s">
        <v>2276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2277</v>
      </c>
    </row>
    <row r="139" spans="1:35" ht="21.75" customHeight="1">
      <c r="A139" s="794"/>
      <c r="B139" s="2545" t="s">
        <v>2278</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2277</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F116" sqref="F11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8.3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2697</v>
      </c>
      <c r="B1" s="394"/>
      <c r="C1" s="395"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2280</v>
      </c>
      <c r="B2" s="670">
        <f>F66</f>
        <v>3986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2282</v>
      </c>
      <c r="B3" s="608">
        <f>ROUND(IF(D3="",B2*10000/'数据-汇总表'!E3,B2*10000/D3),0)</f>
        <v>3291</v>
      </c>
      <c r="C3" s="246" t="s">
        <v>2699</v>
      </c>
      <c r="D3" s="1584">
        <f>'数据-汇总表'!F27</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60" t="s">
        <v>2601</v>
      </c>
      <c r="AC4" s="3159" t="s">
        <v>2602</v>
      </c>
    </row>
    <row r="5" spans="1:30" ht="15">
      <c r="A5" s="403"/>
      <c r="B5" s="404"/>
      <c r="C5" s="3299" t="str">
        <f>项目基本情况!F10</f>
        <v>三河市燕郊开发区燕顺路西侧、高压走廊北侧美林君渡（美林新东城B区续建及C区）16号楼</v>
      </c>
      <c r="D5" s="3300"/>
      <c r="E5" s="3301" t="str">
        <f>土地案例!B5</f>
        <v>燕郊高新区思菩兰西路西侧、港中旅公司用地北侧</v>
      </c>
      <c r="F5" s="3302"/>
      <c r="G5" s="3303" t="str">
        <f>土地案例!B6</f>
        <v>燕郊高新区康城大街北侧、港中旅公司用地西侧</v>
      </c>
      <c r="H5" s="3300"/>
      <c r="I5" s="3303" t="str">
        <f>土地案例!B7</f>
        <v>燕郊高新区港中旅公司用地北侧、田辛庄村地东侧</v>
      </c>
      <c r="J5" s="3300"/>
      <c r="K5" s="609"/>
      <c r="L5" s="1132"/>
      <c r="M5" s="1133"/>
      <c r="N5" s="1133"/>
      <c r="O5" s="1133"/>
      <c r="P5" s="3183"/>
      <c r="Q5" s="3184"/>
      <c r="R5" s="3166"/>
      <c r="S5" s="3167"/>
      <c r="T5" s="3166"/>
      <c r="U5" s="3167"/>
      <c r="V5" s="3189"/>
      <c r="W5" s="3189"/>
      <c r="X5" s="1814"/>
      <c r="Y5" s="3166"/>
      <c r="Z5" s="3167"/>
      <c r="AA5" s="3160"/>
      <c r="AB5" s="3160"/>
      <c r="AC5" s="3160"/>
    </row>
    <row r="6" spans="1:30" ht="15.75" thickBot="1">
      <c r="A6" s="405"/>
      <c r="B6" s="406"/>
      <c r="C6" s="3304" t="s">
        <v>3141</v>
      </c>
      <c r="D6" s="3305"/>
      <c r="E6" s="3306" t="s">
        <v>3141</v>
      </c>
      <c r="F6" s="3307"/>
      <c r="G6" s="3304" t="s">
        <v>3141</v>
      </c>
      <c r="H6" s="3305"/>
      <c r="I6" s="3304" t="s">
        <v>3141</v>
      </c>
      <c r="J6" s="3305"/>
      <c r="K6" s="609" t="s">
        <v>2500</v>
      </c>
      <c r="L6" s="1132"/>
      <c r="M6" s="1133"/>
      <c r="N6" s="1133"/>
      <c r="O6" s="1133"/>
      <c r="P6" s="3185"/>
      <c r="Q6" s="3186"/>
      <c r="R6" s="3166"/>
      <c r="S6" s="3167"/>
      <c r="T6" s="3187"/>
      <c r="U6" s="3188"/>
      <c r="V6" s="3189"/>
      <c r="W6" s="3189"/>
      <c r="X6" s="1814"/>
      <c r="Y6" s="3187"/>
      <c r="Z6" s="3188"/>
      <c r="AA6" s="3161"/>
      <c r="AB6" s="3161"/>
      <c r="AC6" s="3161"/>
    </row>
    <row r="7" spans="1:30" s="116" customFormat="1" ht="15.75" thickBot="1">
      <c r="A7" s="407" t="s">
        <v>2501</v>
      </c>
      <c r="B7" s="408"/>
      <c r="C7" s="409">
        <f>'数据-取费表'!B2</f>
        <v>43206</v>
      </c>
      <c r="D7" s="410">
        <v>100</v>
      </c>
      <c r="E7" s="411" t="str">
        <f>土地案例!H5</f>
        <v>2015-01-28</v>
      </c>
      <c r="F7" s="412">
        <f>SUMIF(70:70,YEAR(E7)&amp;"-"&amp;INT((MONTH(E7)+2)/3),71:71)</f>
        <v>87</v>
      </c>
      <c r="G7" s="2697" t="str">
        <f>土地案例!H6</f>
        <v>2015-01-28</v>
      </c>
      <c r="H7" s="410">
        <f>SUMIF(70:70,YEAR(G7)&amp;"-"&amp;INT((MONTH(G7)+2)/3),71:71)</f>
        <v>87</v>
      </c>
      <c r="I7" s="2697" t="str">
        <f>土地案例!H7</f>
        <v>2015-01-28</v>
      </c>
      <c r="J7" s="410">
        <f>SUMIF(70:70,YEAR(I7)&amp;"-"&amp;INT((MONTH(I7)+2)/3),71:71)</f>
        <v>87</v>
      </c>
      <c r="K7" s="610"/>
      <c r="L7" s="1134"/>
      <c r="M7" s="1135"/>
      <c r="N7" s="1135"/>
      <c r="O7" s="1135"/>
      <c r="P7" s="3162" t="s">
        <v>2502</v>
      </c>
      <c r="Q7" s="3190"/>
      <c r="R7" s="769" t="s">
        <v>17</v>
      </c>
      <c r="S7" s="770">
        <f t="shared" ref="S7:S15" si="0">F7</f>
        <v>87</v>
      </c>
      <c r="T7" s="769" t="s">
        <v>17</v>
      </c>
      <c r="U7" s="770">
        <f t="shared" ref="U7:U15" si="1">H7</f>
        <v>87</v>
      </c>
      <c r="V7" s="769" t="s">
        <v>17</v>
      </c>
      <c r="W7" s="770">
        <f t="shared" ref="W7:W15" si="2">J7</f>
        <v>87</v>
      </c>
      <c r="X7" s="771"/>
      <c r="Y7" s="3162" t="s">
        <v>2502</v>
      </c>
      <c r="Z7" s="3163"/>
      <c r="AA7" s="772">
        <f>D7/F7</f>
        <v>1.1494252873563218</v>
      </c>
      <c r="AB7" s="772">
        <f>D7/H7</f>
        <v>1.1494252873563218</v>
      </c>
      <c r="AC7" s="772">
        <f>D7/J7</f>
        <v>1.1494252873563218</v>
      </c>
    </row>
    <row r="8" spans="1:30" s="116" customFormat="1" ht="15.75" thickBot="1">
      <c r="A8" s="407" t="s">
        <v>2503</v>
      </c>
      <c r="B8" s="408"/>
      <c r="C8" s="413" t="s">
        <v>2504</v>
      </c>
      <c r="D8" s="410">
        <v>100</v>
      </c>
      <c r="E8" s="413" t="s">
        <v>3101</v>
      </c>
      <c r="F8" s="412">
        <f>SUMIF(73:73,E8,74:74)-SUMIF(73:73,C8,74:74)+100</f>
        <v>100</v>
      </c>
      <c r="G8" s="413" t="s">
        <v>3101</v>
      </c>
      <c r="H8" s="410">
        <f>SUMIF(73:73,G8,74:74)-SUMIF(73:73,C8,74:74)+100</f>
        <v>100</v>
      </c>
      <c r="I8" s="413" t="s">
        <v>3101</v>
      </c>
      <c r="J8" s="410">
        <f>SUMIF(73:73,I8,74:74)-SUMIF(73:73,C8,74:74)+100</f>
        <v>100</v>
      </c>
      <c r="K8" s="610"/>
      <c r="L8" s="1134"/>
      <c r="M8" s="1135"/>
      <c r="N8" s="1135"/>
      <c r="O8" s="1135"/>
      <c r="P8" s="3162" t="s">
        <v>2505</v>
      </c>
      <c r="Q8" s="3163"/>
      <c r="R8" s="769" t="s">
        <v>17</v>
      </c>
      <c r="S8" s="770">
        <f t="shared" si="0"/>
        <v>100</v>
      </c>
      <c r="T8" s="769" t="s">
        <v>17</v>
      </c>
      <c r="U8" s="770">
        <f t="shared" si="1"/>
        <v>100</v>
      </c>
      <c r="V8" s="769" t="s">
        <v>17</v>
      </c>
      <c r="W8" s="770">
        <f t="shared" si="2"/>
        <v>100</v>
      </c>
      <c r="X8" s="771"/>
      <c r="Y8" s="3162" t="s">
        <v>2505</v>
      </c>
      <c r="Z8" s="3163"/>
      <c r="AA8" s="772">
        <f t="shared" ref="AA8:AA45" si="3">D8/F8</f>
        <v>1</v>
      </c>
      <c r="AB8" s="772">
        <f t="shared" ref="AB8:AB45" si="4">D8/H8</f>
        <v>1</v>
      </c>
      <c r="AC8" s="772">
        <f t="shared" ref="AC8:AC45" si="5">D8/J8</f>
        <v>1</v>
      </c>
    </row>
    <row r="9" spans="1:30" s="116" customFormat="1">
      <c r="A9" s="414" t="s">
        <v>2506</v>
      </c>
      <c r="B9" s="70" t="s">
        <v>2507</v>
      </c>
      <c r="C9" s="2700" t="s">
        <v>1372</v>
      </c>
      <c r="D9" s="134">
        <v>100</v>
      </c>
      <c r="E9" s="2700" t="s">
        <v>1372</v>
      </c>
      <c r="F9" s="134">
        <f>SUMIF(75:75,E9,76:76)-SUMIF(75:75,C9,76:76)+100</f>
        <v>100</v>
      </c>
      <c r="G9" s="2700" t="s">
        <v>1372</v>
      </c>
      <c r="H9" s="134">
        <f>SUMIF(75:75,G9,76:76)-SUMIF(75:75,C9,76:76)+100</f>
        <v>100</v>
      </c>
      <c r="I9" s="2700" t="s">
        <v>1372</v>
      </c>
      <c r="J9" s="134">
        <f>SUMIF(75:75,I9,76:76)-SUMIF(75:75,C9,76:76)+100</f>
        <v>100</v>
      </c>
      <c r="K9" s="610"/>
      <c r="L9" s="1134"/>
      <c r="M9" s="1135"/>
      <c r="N9" s="1135"/>
      <c r="O9" s="1136"/>
      <c r="P9" s="3176"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772">
        <f t="shared" si="5"/>
        <v>1</v>
      </c>
    </row>
    <row r="10" spans="1:30" s="426" customFormat="1" ht="27">
      <c r="A10" s="420"/>
      <c r="B10" s="421" t="s">
        <v>2510</v>
      </c>
      <c r="C10" s="431">
        <f>项目基本情况!E15</f>
        <v>26.81</v>
      </c>
      <c r="D10" s="135">
        <v>100</v>
      </c>
      <c r="E10" s="464" t="s">
        <v>3134</v>
      </c>
      <c r="F10" s="135">
        <f>ROUND(100/'数据-取费表'!G16,0)</f>
        <v>119</v>
      </c>
      <c r="G10" s="462" t="s">
        <v>3134</v>
      </c>
      <c r="H10" s="135">
        <f>ROUND(100/'数据-取费表'!G16,0)</f>
        <v>119</v>
      </c>
      <c r="I10" s="462" t="s">
        <v>3134</v>
      </c>
      <c r="J10" s="135">
        <f>ROUND(100/'数据-取费表'!G16,0)</f>
        <v>119</v>
      </c>
      <c r="K10" s="671"/>
      <c r="L10" s="1137"/>
      <c r="M10" s="1138"/>
      <c r="N10" s="1138"/>
      <c r="O10" s="1139"/>
      <c r="P10" s="3176"/>
      <c r="Q10" s="1796" t="str">
        <f t="shared" si="6"/>
        <v>土地使用年限（年）</v>
      </c>
      <c r="R10" s="769" t="s">
        <v>17</v>
      </c>
      <c r="S10" s="770">
        <f t="shared" si="0"/>
        <v>119</v>
      </c>
      <c r="T10" s="769" t="s">
        <v>17</v>
      </c>
      <c r="U10" s="770">
        <f t="shared" si="1"/>
        <v>119</v>
      </c>
      <c r="V10" s="769" t="s">
        <v>17</v>
      </c>
      <c r="W10" s="770">
        <f t="shared" si="2"/>
        <v>119</v>
      </c>
      <c r="X10" s="771"/>
      <c r="Y10" s="3039"/>
      <c r="Z10" s="54" t="str">
        <f t="shared" si="7"/>
        <v>土地使用年限（年）</v>
      </c>
      <c r="AA10" s="772">
        <f t="shared" si="3"/>
        <v>0.84033613445378152</v>
      </c>
      <c r="AB10" s="772">
        <f t="shared" si="4"/>
        <v>0.84033613445378152</v>
      </c>
      <c r="AC10" s="772">
        <f t="shared" si="5"/>
        <v>0.84033613445378152</v>
      </c>
    </row>
    <row r="11" spans="1:30" ht="15">
      <c r="A11" s="427"/>
      <c r="B11" s="421" t="s">
        <v>2511</v>
      </c>
      <c r="C11" s="3321">
        <f>'数据-汇总表'!I6</f>
        <v>1.29</v>
      </c>
      <c r="D11" s="3310">
        <v>100</v>
      </c>
      <c r="E11" s="3321">
        <v>1</v>
      </c>
      <c r="F11" s="3310">
        <f>LOOKUP(E11,80:80,81:81)-LOOKUP(C11,80:80,81:81)+100</f>
        <v>100</v>
      </c>
      <c r="G11" s="3322">
        <v>1</v>
      </c>
      <c r="H11" s="3310">
        <f>LOOKUP(G11,80:80,81:81)-LOOKUP(C11,80:80,81:81)+100</f>
        <v>100</v>
      </c>
      <c r="I11" s="3321">
        <v>1</v>
      </c>
      <c r="J11" s="3310">
        <f>LOOKUP(I11,80:80,81:81)-LOOKUP(C11,80:80,81:81)+100</f>
        <v>100</v>
      </c>
      <c r="K11" s="3323">
        <v>1</v>
      </c>
      <c r="L11" s="1140"/>
      <c r="M11" s="1133"/>
      <c r="N11" s="1133"/>
      <c r="O11" s="1141"/>
      <c r="P11" s="3176"/>
      <c r="Q11" s="1796" t="str">
        <f t="shared" si="6"/>
        <v>容积率</v>
      </c>
      <c r="R11" s="769" t="s">
        <v>17</v>
      </c>
      <c r="S11" s="770">
        <f t="shared" si="0"/>
        <v>100</v>
      </c>
      <c r="T11" s="769" t="s">
        <v>17</v>
      </c>
      <c r="U11" s="770">
        <f t="shared" si="1"/>
        <v>100</v>
      </c>
      <c r="V11" s="769" t="s">
        <v>17</v>
      </c>
      <c r="W11" s="770">
        <f t="shared" si="2"/>
        <v>100</v>
      </c>
      <c r="X11" s="771"/>
      <c r="Y11" s="3039"/>
      <c r="Z11" s="54" t="str">
        <f t="shared" si="7"/>
        <v>容积率</v>
      </c>
      <c r="AA11" s="772">
        <f t="shared" si="3"/>
        <v>1</v>
      </c>
      <c r="AB11" s="772">
        <f t="shared" si="4"/>
        <v>1</v>
      </c>
      <c r="AC11" s="772">
        <f t="shared" si="5"/>
        <v>1</v>
      </c>
    </row>
    <row r="12" spans="1:30" s="116" customFormat="1" ht="15">
      <c r="A12" s="430"/>
      <c r="B12" s="2601"/>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6"/>
      <c r="Q12" s="1796">
        <f t="shared" si="6"/>
        <v>0</v>
      </c>
      <c r="R12" s="769" t="s">
        <v>17</v>
      </c>
      <c r="S12" s="770">
        <f t="shared" si="0"/>
        <v>100</v>
      </c>
      <c r="T12" s="769" t="s">
        <v>17</v>
      </c>
      <c r="U12" s="770">
        <f t="shared" si="1"/>
        <v>100</v>
      </c>
      <c r="V12" s="769" t="s">
        <v>17</v>
      </c>
      <c r="W12" s="770">
        <f t="shared" si="2"/>
        <v>100</v>
      </c>
      <c r="X12" s="771"/>
      <c r="Y12" s="3039"/>
      <c r="Z12" s="54">
        <f t="shared" si="7"/>
        <v>0</v>
      </c>
      <c r="AA12" s="772">
        <f>D12/F12</f>
        <v>1</v>
      </c>
      <c r="AB12" s="772">
        <f>D12/H12</f>
        <v>1</v>
      </c>
      <c r="AC12" s="772">
        <f>D12/J12</f>
        <v>1</v>
      </c>
    </row>
    <row r="13" spans="1:30" ht="15">
      <c r="A13" s="427"/>
      <c r="B13" s="2601"/>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6"/>
      <c r="Q13" s="1796">
        <f t="shared" si="6"/>
        <v>0</v>
      </c>
      <c r="R13" s="769" t="s">
        <v>17</v>
      </c>
      <c r="S13" s="770">
        <f t="shared" si="0"/>
        <v>100</v>
      </c>
      <c r="T13" s="769" t="s">
        <v>17</v>
      </c>
      <c r="U13" s="770">
        <f t="shared" si="1"/>
        <v>100</v>
      </c>
      <c r="V13" s="769" t="s">
        <v>17</v>
      </c>
      <c r="W13" s="770">
        <f t="shared" si="2"/>
        <v>100</v>
      </c>
      <c r="X13" s="771"/>
      <c r="Y13" s="3039"/>
      <c r="Z13" s="54">
        <f t="shared" si="7"/>
        <v>0</v>
      </c>
      <c r="AA13" s="772">
        <f>D13/F13</f>
        <v>1</v>
      </c>
      <c r="AB13" s="772">
        <f>D13/H13</f>
        <v>1</v>
      </c>
      <c r="AC13" s="772">
        <f>D13/J13</f>
        <v>1</v>
      </c>
    </row>
    <row r="14" spans="1:30" ht="15.75" thickBot="1">
      <c r="A14" s="435"/>
      <c r="B14" s="2603"/>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6"/>
      <c r="Q14" s="1796">
        <f t="shared" si="6"/>
        <v>0</v>
      </c>
      <c r="R14" s="769" t="s">
        <v>17</v>
      </c>
      <c r="S14" s="770">
        <f t="shared" si="0"/>
        <v>100</v>
      </c>
      <c r="T14" s="769" t="s">
        <v>17</v>
      </c>
      <c r="U14" s="770">
        <f t="shared" si="1"/>
        <v>100</v>
      </c>
      <c r="V14" s="769" t="s">
        <v>17</v>
      </c>
      <c r="W14" s="770">
        <f t="shared" si="2"/>
        <v>100</v>
      </c>
      <c r="X14" s="771"/>
      <c r="Y14" s="3039"/>
      <c r="Z14" s="54">
        <f t="shared" si="7"/>
        <v>0</v>
      </c>
      <c r="AA14" s="772">
        <f>D14/F14</f>
        <v>1</v>
      </c>
      <c r="AB14" s="772">
        <f>D14/H14</f>
        <v>1</v>
      </c>
      <c r="AC14" s="772">
        <f>D14/J14</f>
        <v>1</v>
      </c>
    </row>
    <row r="15" spans="1:30" ht="15">
      <c r="A15" s="439" t="s">
        <v>2512</v>
      </c>
      <c r="B15" s="68" t="s">
        <v>2046</v>
      </c>
      <c r="C15" s="2604">
        <f>估价对象房地状况!C15</f>
        <v>0</v>
      </c>
      <c r="D15" s="440">
        <v>100</v>
      </c>
      <c r="E15" s="441" t="s">
        <v>3054</v>
      </c>
      <c r="F15" s="440">
        <f>SUMIF(88:88,E16,89:89)-SUMIF(88:88,C16,89:89)+100</f>
        <v>100</v>
      </c>
      <c r="G15" s="441" t="s">
        <v>3054</v>
      </c>
      <c r="H15" s="440">
        <f>SUMIF(88:88,G16,89:89)-SUMIF(88:88,C16,89:89)+100</f>
        <v>100</v>
      </c>
      <c r="I15" s="443" t="s">
        <v>3054</v>
      </c>
      <c r="J15" s="440">
        <f>SUMIF(88:88,I16,89:89)-SUMIF(88:88,C16,89:89)+100</f>
        <v>100</v>
      </c>
      <c r="K15" s="672">
        <v>1</v>
      </c>
      <c r="L15" s="1142"/>
      <c r="M15" s="1133"/>
      <c r="N15" s="1133"/>
      <c r="O15" s="1141"/>
      <c r="P15" s="3191" t="s">
        <v>2513</v>
      </c>
      <c r="Q15" s="1811" t="str">
        <f t="shared" si="6"/>
        <v>居住社区成熟度</v>
      </c>
      <c r="R15" s="773" t="s">
        <v>17</v>
      </c>
      <c r="S15" s="774">
        <f t="shared" si="0"/>
        <v>100</v>
      </c>
      <c r="T15" s="773" t="s">
        <v>17</v>
      </c>
      <c r="U15" s="774">
        <f t="shared" si="1"/>
        <v>100</v>
      </c>
      <c r="V15" s="773" t="s">
        <v>17</v>
      </c>
      <c r="W15" s="774">
        <f t="shared" si="2"/>
        <v>100</v>
      </c>
      <c r="X15" s="1814"/>
      <c r="Y15" s="3191" t="s">
        <v>2513</v>
      </c>
      <c r="Z15" s="1815" t="str">
        <f t="shared" si="7"/>
        <v>居住社区成熟度</v>
      </c>
      <c r="AA15" s="1812">
        <f t="shared" si="3"/>
        <v>1</v>
      </c>
      <c r="AB15" s="1812">
        <f t="shared" si="4"/>
        <v>1</v>
      </c>
      <c r="AC15" s="1812">
        <f t="shared" si="5"/>
        <v>1</v>
      </c>
    </row>
    <row r="16" spans="1:30" ht="15">
      <c r="A16" s="427"/>
      <c r="B16" s="445"/>
      <c r="C16" s="446"/>
      <c r="D16" s="447"/>
      <c r="E16" s="2606"/>
      <c r="F16" s="447"/>
      <c r="G16" s="2606"/>
      <c r="H16" s="449"/>
      <c r="I16" s="2605"/>
      <c r="J16" s="447"/>
      <c r="K16" s="671"/>
      <c r="L16" s="1142"/>
      <c r="M16" s="1133"/>
      <c r="N16" s="1133"/>
      <c r="O16" s="1141"/>
      <c r="P16" s="3192"/>
      <c r="Q16" s="1811"/>
      <c r="R16" s="773"/>
      <c r="S16" s="774"/>
      <c r="T16" s="773"/>
      <c r="U16" s="774"/>
      <c r="V16" s="773"/>
      <c r="W16" s="774"/>
      <c r="X16" s="1814"/>
      <c r="Y16" s="3192"/>
      <c r="Z16" s="1815"/>
      <c r="AA16" s="1812">
        <v>1</v>
      </c>
      <c r="AB16" s="1812">
        <v>1</v>
      </c>
      <c r="AC16" s="1812">
        <v>1</v>
      </c>
    </row>
    <row r="17" spans="1:29" ht="85.5">
      <c r="A17" s="427"/>
      <c r="B17" s="450" t="s">
        <v>2606</v>
      </c>
      <c r="C17" s="2665" t="str">
        <f>估价对象房地状况!C16</f>
        <v>估价对象位于美林君渡小区，周边商业氛围成熟，人流量较大，商业繁华度较好</v>
      </c>
      <c r="D17" s="449">
        <v>100</v>
      </c>
      <c r="E17" s="2972" t="s">
        <v>3137</v>
      </c>
      <c r="F17" s="449">
        <f>SUMIF(90:90,E18,91:91)-SUMIF(90:90,C18,91:91)+100</f>
        <v>95</v>
      </c>
      <c r="G17" s="2972" t="s">
        <v>3137</v>
      </c>
      <c r="H17" s="454">
        <f>SUMIF(90:90,G18,91:91)-SUMIF(90:90,C18,91:91)+100</f>
        <v>95</v>
      </c>
      <c r="I17" s="2972" t="s">
        <v>3137</v>
      </c>
      <c r="J17" s="454">
        <f>SUMIF(90:90,I18,91:91)-SUMIF(90:90,C18,91:91)+100</f>
        <v>95</v>
      </c>
      <c r="K17" s="672">
        <v>5</v>
      </c>
      <c r="L17" s="1142"/>
      <c r="M17" s="1133"/>
      <c r="N17" s="1133"/>
      <c r="O17" s="1141"/>
      <c r="P17" s="3192"/>
      <c r="Q17" s="1811" t="str">
        <f>B17</f>
        <v>商业繁华度</v>
      </c>
      <c r="R17" s="773" t="s">
        <v>17</v>
      </c>
      <c r="S17" s="774">
        <f>F17</f>
        <v>95</v>
      </c>
      <c r="T17" s="773" t="s">
        <v>17</v>
      </c>
      <c r="U17" s="774">
        <f>H17</f>
        <v>95</v>
      </c>
      <c r="V17" s="773" t="s">
        <v>17</v>
      </c>
      <c r="W17" s="774">
        <f>J17</f>
        <v>95</v>
      </c>
      <c r="X17" s="1814"/>
      <c r="Y17" s="3192"/>
      <c r="Z17" s="1815" t="str">
        <f>Q17</f>
        <v>商业繁华度</v>
      </c>
      <c r="AA17" s="1812">
        <f t="shared" si="3"/>
        <v>1.0526315789473684</v>
      </c>
      <c r="AB17" s="1812">
        <f t="shared" si="4"/>
        <v>1.0526315789473684</v>
      </c>
      <c r="AC17" s="1812">
        <f t="shared" si="5"/>
        <v>1.0526315789473684</v>
      </c>
    </row>
    <row r="18" spans="1:29" ht="15">
      <c r="A18" s="427"/>
      <c r="B18" s="455"/>
      <c r="C18" s="2609" t="s">
        <v>3036</v>
      </c>
      <c r="D18" s="449"/>
      <c r="E18" s="2611" t="s">
        <v>3047</v>
      </c>
      <c r="F18" s="449"/>
      <c r="G18" s="2611" t="s">
        <v>3047</v>
      </c>
      <c r="H18" s="447"/>
      <c r="I18" s="2611" t="s">
        <v>3047</v>
      </c>
      <c r="J18" s="447"/>
      <c r="K18" s="671"/>
      <c r="L18" s="1142"/>
      <c r="M18" s="1133"/>
      <c r="N18" s="1133"/>
      <c r="O18" s="1141"/>
      <c r="P18" s="3192"/>
      <c r="Q18" s="1811"/>
      <c r="R18" s="773"/>
      <c r="S18" s="774"/>
      <c r="T18" s="773"/>
      <c r="U18" s="774"/>
      <c r="V18" s="773"/>
      <c r="W18" s="774"/>
      <c r="X18" s="1814"/>
      <c r="Y18" s="3192"/>
      <c r="Z18" s="1815"/>
      <c r="AA18" s="1812">
        <v>1</v>
      </c>
      <c r="AB18" s="1812">
        <v>1</v>
      </c>
      <c r="AC18" s="1812">
        <v>1</v>
      </c>
    </row>
    <row r="19" spans="1:29" ht="15">
      <c r="A19" s="427"/>
      <c r="B19" s="450" t="s">
        <v>2640</v>
      </c>
      <c r="C19" s="2665">
        <f>估价对象房地状况!C17</f>
        <v>0</v>
      </c>
      <c r="D19" s="454">
        <v>100</v>
      </c>
      <c r="E19" s="456">
        <v>0</v>
      </c>
      <c r="F19" s="454">
        <f>SUMIF(92:92,E20,93:93)-SUMIF(92:92,C20,93:93)+100</f>
        <v>100</v>
      </c>
      <c r="G19" s="456">
        <v>0</v>
      </c>
      <c r="H19" s="449">
        <f>SUMIF(92:92,G20,93:93)-SUMIF(92:92,C20,93:93)+100</f>
        <v>100</v>
      </c>
      <c r="I19" s="456">
        <v>0</v>
      </c>
      <c r="J19" s="449">
        <f>SUMIF(92:92,I20,93:93)-SUMIF(92:92,C20,93:93)+100</f>
        <v>100</v>
      </c>
      <c r="K19" s="672">
        <v>1</v>
      </c>
      <c r="L19" s="1142"/>
      <c r="M19" s="1133"/>
      <c r="N19" s="1133"/>
      <c r="O19" s="1141"/>
      <c r="P19" s="3192"/>
      <c r="Q19" s="1811" t="str">
        <f>B19</f>
        <v>办公集聚程度</v>
      </c>
      <c r="R19" s="773" t="s">
        <v>17</v>
      </c>
      <c r="S19" s="774">
        <f>F19</f>
        <v>100</v>
      </c>
      <c r="T19" s="773" t="s">
        <v>17</v>
      </c>
      <c r="U19" s="774">
        <f>H19</f>
        <v>100</v>
      </c>
      <c r="V19" s="773" t="s">
        <v>17</v>
      </c>
      <c r="W19" s="774">
        <f>J19</f>
        <v>100</v>
      </c>
      <c r="X19" s="1814"/>
      <c r="Y19" s="3192"/>
      <c r="Z19" s="1815" t="str">
        <f>Q19</f>
        <v>办公集聚程度</v>
      </c>
      <c r="AA19" s="1812">
        <f t="shared" si="3"/>
        <v>1</v>
      </c>
      <c r="AB19" s="1812">
        <f t="shared" si="4"/>
        <v>1</v>
      </c>
      <c r="AC19" s="1812">
        <f t="shared" si="5"/>
        <v>1</v>
      </c>
    </row>
    <row r="20" spans="1:29" ht="15">
      <c r="A20" s="427"/>
      <c r="B20" s="455"/>
      <c r="C20" s="446"/>
      <c r="D20" s="447"/>
      <c r="E20" s="2606"/>
      <c r="F20" s="447"/>
      <c r="G20" s="2606"/>
      <c r="H20" s="447"/>
      <c r="I20" s="2606"/>
      <c r="J20" s="447"/>
      <c r="K20" s="671"/>
      <c r="L20" s="1142"/>
      <c r="M20" s="1133"/>
      <c r="N20" s="1133"/>
      <c r="O20" s="1141"/>
      <c r="P20" s="3192"/>
      <c r="Q20" s="1811"/>
      <c r="R20" s="773"/>
      <c r="S20" s="774"/>
      <c r="T20" s="773"/>
      <c r="U20" s="774"/>
      <c r="V20" s="773"/>
      <c r="W20" s="774"/>
      <c r="X20" s="1814"/>
      <c r="Y20" s="3192"/>
      <c r="Z20" s="1815"/>
      <c r="AA20" s="1812">
        <v>1</v>
      </c>
      <c r="AB20" s="1812">
        <v>1</v>
      </c>
      <c r="AC20" s="1812">
        <v>1</v>
      </c>
    </row>
    <row r="21" spans="1:29" ht="99.75">
      <c r="A21" s="427"/>
      <c r="B21" s="450" t="s">
        <v>2662</v>
      </c>
      <c r="C21" s="2608" t="str">
        <f>估价对象房地状况!C18</f>
        <v>估价对象周边道路状况较好、公共交通通达情况较好、停车便捷程度较好，综合评价交通便捷度较好</v>
      </c>
      <c r="D21" s="449">
        <v>100</v>
      </c>
      <c r="E21" s="2972" t="s">
        <v>3138</v>
      </c>
      <c r="F21" s="454">
        <f>SUMIF(94:94,E22,95:95)-SUMIF(94:94,C22,95:95)+100</f>
        <v>97</v>
      </c>
      <c r="G21" s="2972" t="s">
        <v>3138</v>
      </c>
      <c r="H21" s="449">
        <f>SUMIF(94:94,G22,95:95)-SUMIF(94:94,C22,95:95)+100</f>
        <v>97</v>
      </c>
      <c r="I21" s="2972" t="s">
        <v>3138</v>
      </c>
      <c r="J21" s="449">
        <f>SUMIF(94:94,I22,95:95)-SUMIF(94:94,C22,95:95)+100</f>
        <v>97</v>
      </c>
      <c r="K21" s="672">
        <v>3</v>
      </c>
      <c r="L21" s="1142"/>
      <c r="M21" s="1133"/>
      <c r="N21" s="1133"/>
      <c r="O21" s="1141"/>
      <c r="P21" s="3192"/>
      <c r="Q21" s="1811" t="str">
        <f>B21</f>
        <v>交通便捷度</v>
      </c>
      <c r="R21" s="773" t="s">
        <v>17</v>
      </c>
      <c r="S21" s="774">
        <f>F21</f>
        <v>97</v>
      </c>
      <c r="T21" s="773" t="s">
        <v>17</v>
      </c>
      <c r="U21" s="774">
        <f>H21</f>
        <v>97</v>
      </c>
      <c r="V21" s="773" t="s">
        <v>17</v>
      </c>
      <c r="W21" s="774">
        <f>J21</f>
        <v>97</v>
      </c>
      <c r="X21" s="1814"/>
      <c r="Y21" s="3192"/>
      <c r="Z21" s="1815" t="str">
        <f>Q21</f>
        <v>交通便捷度</v>
      </c>
      <c r="AA21" s="1812">
        <f t="shared" si="3"/>
        <v>1.0309278350515463</v>
      </c>
      <c r="AB21" s="1812">
        <f t="shared" si="4"/>
        <v>1.0309278350515463</v>
      </c>
      <c r="AC21" s="1812">
        <f t="shared" si="5"/>
        <v>1.0309278350515463</v>
      </c>
    </row>
    <row r="22" spans="1:29" ht="15">
      <c r="A22" s="427"/>
      <c r="B22" s="1386"/>
      <c r="C22" s="446" t="s">
        <v>3036</v>
      </c>
      <c r="D22" s="449"/>
      <c r="E22" s="2606" t="s">
        <v>3047</v>
      </c>
      <c r="F22" s="447"/>
      <c r="G22" s="2606" t="s">
        <v>3047</v>
      </c>
      <c r="H22" s="447"/>
      <c r="I22" s="2606" t="s">
        <v>3047</v>
      </c>
      <c r="J22" s="447"/>
      <c r="K22" s="671"/>
      <c r="L22" s="1142"/>
      <c r="M22" s="1133"/>
      <c r="N22" s="1133"/>
      <c r="O22" s="1141"/>
      <c r="P22" s="3192"/>
      <c r="Q22" s="1811"/>
      <c r="R22" s="773"/>
      <c r="S22" s="774"/>
      <c r="T22" s="773"/>
      <c r="U22" s="774"/>
      <c r="V22" s="773"/>
      <c r="W22" s="774"/>
      <c r="X22" s="1814"/>
      <c r="Y22" s="3192"/>
      <c r="Z22" s="1815"/>
      <c r="AA22" s="1812">
        <v>1</v>
      </c>
      <c r="AB22" s="1812">
        <v>1</v>
      </c>
      <c r="AC22" s="1812">
        <v>1</v>
      </c>
    </row>
    <row r="23" spans="1:29" ht="15">
      <c r="A23" s="403"/>
      <c r="B23" s="450" t="s">
        <v>2700</v>
      </c>
      <c r="C23" s="1391" t="str">
        <f>估价对象房地状况!C19</f>
        <v>较一致</v>
      </c>
      <c r="D23" s="454">
        <v>100</v>
      </c>
      <c r="E23" s="451" t="s">
        <v>3102</v>
      </c>
      <c r="F23" s="454">
        <f>SUMIF(96:96,E24,97:97)-SUMIF(96:96,C24,97:97)+100</f>
        <v>100</v>
      </c>
      <c r="G23" s="451" t="s">
        <v>3102</v>
      </c>
      <c r="H23" s="454">
        <f>SUMIF(96:96,G24,97:97)-SUMIF(96:96,C24,97:97)+100</f>
        <v>100</v>
      </c>
      <c r="I23" s="451" t="s">
        <v>3102</v>
      </c>
      <c r="J23" s="454">
        <f>SUMIF(96:96,I24,97:97)-SUMIF(96:96,C24,97:97)+100</f>
        <v>100</v>
      </c>
      <c r="K23" s="672">
        <v>1</v>
      </c>
      <c r="L23" s="1142"/>
      <c r="M23" s="1133"/>
      <c r="N23" s="1133"/>
      <c r="O23" s="1141"/>
      <c r="P23" s="3192"/>
      <c r="Q23" s="1811" t="str">
        <f t="shared" ref="Q23:Q37" si="8">B23</f>
        <v>区域土地利用方向</v>
      </c>
      <c r="R23" s="773" t="s">
        <v>17</v>
      </c>
      <c r="S23" s="774">
        <f>F23</f>
        <v>100</v>
      </c>
      <c r="T23" s="773" t="s">
        <v>17</v>
      </c>
      <c r="U23" s="774">
        <f>H23</f>
        <v>100</v>
      </c>
      <c r="V23" s="773" t="s">
        <v>17</v>
      </c>
      <c r="W23" s="774">
        <f>J23</f>
        <v>100</v>
      </c>
      <c r="X23" s="1814"/>
      <c r="Y23" s="3192"/>
      <c r="Z23" s="1815" t="str">
        <f>Q23</f>
        <v>区域土地利用方向</v>
      </c>
      <c r="AA23" s="1812">
        <f t="shared" si="3"/>
        <v>1</v>
      </c>
      <c r="AB23" s="1812">
        <f t="shared" si="4"/>
        <v>1</v>
      </c>
      <c r="AC23" s="1812">
        <f t="shared" si="5"/>
        <v>1</v>
      </c>
    </row>
    <row r="24" spans="1:29" ht="15">
      <c r="A24" s="403"/>
      <c r="B24" s="455"/>
      <c r="C24" s="615" t="s">
        <v>3036</v>
      </c>
      <c r="D24" s="447"/>
      <c r="E24" s="2606" t="s">
        <v>3036</v>
      </c>
      <c r="F24" s="447"/>
      <c r="G24" s="2606" t="s">
        <v>3036</v>
      </c>
      <c r="H24" s="447"/>
      <c r="I24" s="2606" t="s">
        <v>3036</v>
      </c>
      <c r="J24" s="447"/>
      <c r="K24" s="811"/>
      <c r="L24" s="1142"/>
      <c r="M24" s="1133"/>
      <c r="N24" s="1133"/>
      <c r="O24" s="1141"/>
      <c r="P24" s="3192"/>
      <c r="Q24" s="1811"/>
      <c r="R24" s="773"/>
      <c r="S24" s="774"/>
      <c r="T24" s="773"/>
      <c r="U24" s="774"/>
      <c r="V24" s="773"/>
      <c r="W24" s="774"/>
      <c r="X24" s="1814"/>
      <c r="Y24" s="3192"/>
      <c r="Z24" s="1815"/>
      <c r="AA24" s="1812"/>
      <c r="AB24" s="1812"/>
      <c r="AC24" s="1812"/>
    </row>
    <row r="25" spans="1:29" ht="57">
      <c r="A25" s="403"/>
      <c r="B25" s="1386" t="s">
        <v>2701</v>
      </c>
      <c r="C25" s="2665" t="str">
        <f>估价对象房地状况!C20</f>
        <v>区域自然环境：；人文环境；综合评价环境状况较好</v>
      </c>
      <c r="D25" s="449">
        <v>100</v>
      </c>
      <c r="E25" s="451" t="s">
        <v>3103</v>
      </c>
      <c r="F25" s="449">
        <f>SUMIF(98:98,E26,99:99)-SUMIF(98:98,C26,99:99)+100</f>
        <v>100</v>
      </c>
      <c r="G25" s="451" t="s">
        <v>3103</v>
      </c>
      <c r="H25" s="449">
        <f>SUMIF(98:98,G26,99:99)-SUMIF(98:98,C26,99:99)+100</f>
        <v>100</v>
      </c>
      <c r="I25" s="451" t="s">
        <v>3103</v>
      </c>
      <c r="J25" s="449">
        <f>SUMIF(98:98,I26,99:99)-SUMIF(98:98,C26,99:99)+100</f>
        <v>100</v>
      </c>
      <c r="K25" s="672">
        <v>1</v>
      </c>
      <c r="L25" s="1142"/>
      <c r="M25" s="1133"/>
      <c r="N25" s="1133"/>
      <c r="O25" s="1141"/>
      <c r="P25" s="3192"/>
      <c r="Q25" s="1811" t="str">
        <f t="shared" si="8"/>
        <v>自然及人文环境状况</v>
      </c>
      <c r="R25" s="773" t="s">
        <v>17</v>
      </c>
      <c r="S25" s="774">
        <f>F25</f>
        <v>100</v>
      </c>
      <c r="T25" s="773" t="s">
        <v>17</v>
      </c>
      <c r="U25" s="774">
        <f>H25</f>
        <v>100</v>
      </c>
      <c r="V25" s="773" t="s">
        <v>17</v>
      </c>
      <c r="W25" s="774">
        <f>J25</f>
        <v>100</v>
      </c>
      <c r="X25" s="1814"/>
      <c r="Y25" s="3192"/>
      <c r="Z25" s="1815" t="str">
        <f>Q25</f>
        <v>自然及人文环境状况</v>
      </c>
      <c r="AA25" s="1812">
        <f t="shared" si="3"/>
        <v>1</v>
      </c>
      <c r="AB25" s="1812">
        <f t="shared" si="4"/>
        <v>1</v>
      </c>
      <c r="AC25" s="1812">
        <f t="shared" si="5"/>
        <v>1</v>
      </c>
    </row>
    <row r="26" spans="1:29" ht="15">
      <c r="A26" s="403"/>
      <c r="B26" s="455"/>
      <c r="C26" s="446" t="s">
        <v>3036</v>
      </c>
      <c r="D26" s="447"/>
      <c r="E26" s="2612" t="s">
        <v>3036</v>
      </c>
      <c r="F26" s="447"/>
      <c r="G26" s="2612" t="s">
        <v>3036</v>
      </c>
      <c r="H26" s="447"/>
      <c r="I26" s="2612" t="s">
        <v>3036</v>
      </c>
      <c r="J26" s="447"/>
      <c r="K26" s="671"/>
      <c r="L26" s="1142"/>
      <c r="M26" s="1133"/>
      <c r="N26" s="1133"/>
      <c r="O26" s="1141"/>
      <c r="P26" s="3192"/>
      <c r="Q26" s="1811"/>
      <c r="R26" s="773"/>
      <c r="S26" s="774"/>
      <c r="T26" s="773"/>
      <c r="U26" s="774"/>
      <c r="V26" s="773"/>
      <c r="W26" s="774"/>
      <c r="X26" s="1814"/>
      <c r="Y26" s="3192"/>
      <c r="Z26" s="1815"/>
      <c r="AA26" s="1812">
        <v>1</v>
      </c>
      <c r="AB26" s="1812">
        <v>1</v>
      </c>
      <c r="AC26" s="1812">
        <v>1</v>
      </c>
    </row>
    <row r="27" spans="1:29" s="116" customFormat="1" ht="42.75">
      <c r="A27" s="648"/>
      <c r="B27" s="1386" t="s">
        <v>2607</v>
      </c>
      <c r="C27" s="2608" t="str">
        <f>估价对象房地状况!C21</f>
        <v>估价对象所在区域公共配套设施齐备情况较好</v>
      </c>
      <c r="D27" s="449">
        <v>100</v>
      </c>
      <c r="E27" s="2972" t="s">
        <v>3139</v>
      </c>
      <c r="F27" s="449">
        <f>SUMIF(100:100,E28,101:101)-SUMIF(100:100,C28,101:101)+100</f>
        <v>97</v>
      </c>
      <c r="G27" s="2972" t="s">
        <v>3139</v>
      </c>
      <c r="H27" s="449">
        <f>SUMIF(100:100,G28,101:101)-SUMIF(100:100,C28,101:101)+100</f>
        <v>97</v>
      </c>
      <c r="I27" s="2972" t="s">
        <v>3139</v>
      </c>
      <c r="J27" s="449">
        <f>SUMIF(100:100,I28,101:101)-SUMIF(100:100,C28,101:101)+100</f>
        <v>97</v>
      </c>
      <c r="K27" s="672">
        <v>3</v>
      </c>
      <c r="L27" s="1134"/>
      <c r="M27" s="1135"/>
      <c r="N27" s="1135"/>
      <c r="O27" s="1136"/>
      <c r="P27" s="3192"/>
      <c r="Q27" s="1796" t="str">
        <f t="shared" si="8"/>
        <v>公共配套设施</v>
      </c>
      <c r="R27" s="769" t="s">
        <v>17</v>
      </c>
      <c r="S27" s="770">
        <f>F27</f>
        <v>97</v>
      </c>
      <c r="T27" s="769" t="s">
        <v>17</v>
      </c>
      <c r="U27" s="770">
        <f>H27</f>
        <v>97</v>
      </c>
      <c r="V27" s="769" t="s">
        <v>17</v>
      </c>
      <c r="W27" s="770">
        <f>J27</f>
        <v>97</v>
      </c>
      <c r="X27" s="771"/>
      <c r="Y27" s="3192"/>
      <c r="Z27" s="54" t="str">
        <f>Q27</f>
        <v>公共配套设施</v>
      </c>
      <c r="AA27" s="1812">
        <f>D27/F27</f>
        <v>1.0309278350515463</v>
      </c>
      <c r="AB27" s="1812">
        <f>D27/H27</f>
        <v>1.0309278350515463</v>
      </c>
      <c r="AC27" s="1812">
        <f>D27/J27</f>
        <v>1.0309278350515463</v>
      </c>
    </row>
    <row r="28" spans="1:29" s="116" customFormat="1" ht="15">
      <c r="A28" s="648"/>
      <c r="B28" s="455"/>
      <c r="C28" s="2701" t="s">
        <v>3036</v>
      </c>
      <c r="D28" s="447"/>
      <c r="E28" s="2612" t="s">
        <v>3047</v>
      </c>
      <c r="F28" s="447"/>
      <c r="G28" s="2612" t="s">
        <v>3047</v>
      </c>
      <c r="H28" s="447"/>
      <c r="I28" s="2612" t="s">
        <v>3047</v>
      </c>
      <c r="J28" s="447"/>
      <c r="K28" s="671"/>
      <c r="L28" s="1134"/>
      <c r="M28" s="1135"/>
      <c r="N28" s="1135"/>
      <c r="O28" s="1136"/>
      <c r="P28" s="3192"/>
      <c r="Q28" s="1796"/>
      <c r="R28" s="769"/>
      <c r="S28" s="770"/>
      <c r="T28" s="769"/>
      <c r="U28" s="770"/>
      <c r="V28" s="769"/>
      <c r="W28" s="770"/>
      <c r="X28" s="771"/>
      <c r="Y28" s="3192"/>
      <c r="Z28" s="54"/>
      <c r="AA28" s="1812">
        <v>1</v>
      </c>
      <c r="AB28" s="1812">
        <v>1</v>
      </c>
      <c r="AC28" s="1812">
        <v>1</v>
      </c>
    </row>
    <row r="29" spans="1:29" s="116" customFormat="1" ht="42.75">
      <c r="A29" s="648"/>
      <c r="B29" s="1386" t="s">
        <v>2608</v>
      </c>
      <c r="C29" s="2608" t="str">
        <f>估价对象房地状况!C22</f>
        <v>估价对象所在区域基础设施水平较好</v>
      </c>
      <c r="D29" s="449">
        <v>100</v>
      </c>
      <c r="E29" s="451" t="s">
        <v>3104</v>
      </c>
      <c r="F29" s="449">
        <f>SUMIF(102:102,E30,103:103)-SUMIF(102:102,C30,103:103)+100</f>
        <v>100</v>
      </c>
      <c r="G29" s="451" t="s">
        <v>3104</v>
      </c>
      <c r="H29" s="449">
        <f>SUMIF(102:102,G30,103:103)-SUMIF(102:102,C30,103:103)+100</f>
        <v>100</v>
      </c>
      <c r="I29" s="451" t="s">
        <v>3104</v>
      </c>
      <c r="J29" s="449">
        <f>SUMIF(102:102,I30,103:103)-SUMIF(102:102,C30,103:103)+100</f>
        <v>100</v>
      </c>
      <c r="K29" s="672">
        <v>1</v>
      </c>
      <c r="L29" s="1134"/>
      <c r="M29" s="1135"/>
      <c r="N29" s="1135"/>
      <c r="O29" s="1136"/>
      <c r="P29" s="3192"/>
      <c r="Q29" s="1796" t="str">
        <f t="shared" ref="Q29" si="9">B29</f>
        <v>基础设施水平</v>
      </c>
      <c r="R29" s="769" t="s">
        <v>17</v>
      </c>
      <c r="S29" s="770">
        <f>F29</f>
        <v>100</v>
      </c>
      <c r="T29" s="769" t="s">
        <v>17</v>
      </c>
      <c r="U29" s="770">
        <f>H29</f>
        <v>100</v>
      </c>
      <c r="V29" s="769" t="s">
        <v>17</v>
      </c>
      <c r="W29" s="770">
        <f>J29</f>
        <v>100</v>
      </c>
      <c r="X29" s="771"/>
      <c r="Y29" s="3192"/>
      <c r="Z29" s="54" t="str">
        <f>Q29</f>
        <v>基础设施水平</v>
      </c>
      <c r="AA29" s="1812">
        <f>D29/F29</f>
        <v>1</v>
      </c>
      <c r="AB29" s="1812">
        <f>D29/H29</f>
        <v>1</v>
      </c>
      <c r="AC29" s="1812">
        <f>D29/J29</f>
        <v>1</v>
      </c>
    </row>
    <row r="30" spans="1:29" s="116" customFormat="1" ht="15">
      <c r="A30" s="648"/>
      <c r="B30" s="455"/>
      <c r="C30" s="2701" t="s">
        <v>3037</v>
      </c>
      <c r="D30" s="447"/>
      <c r="E30" s="2702" t="s">
        <v>3037</v>
      </c>
      <c r="F30" s="447"/>
      <c r="G30" s="2702" t="s">
        <v>3037</v>
      </c>
      <c r="H30" s="447"/>
      <c r="I30" s="2702" t="s">
        <v>3037</v>
      </c>
      <c r="J30" s="447"/>
      <c r="K30" s="671"/>
      <c r="L30" s="1134"/>
      <c r="M30" s="1135"/>
      <c r="N30" s="1135"/>
      <c r="O30" s="1136"/>
      <c r="P30" s="3192"/>
      <c r="Q30" s="1796"/>
      <c r="R30" s="769"/>
      <c r="S30" s="770"/>
      <c r="T30" s="769"/>
      <c r="U30" s="770"/>
      <c r="V30" s="769"/>
      <c r="W30" s="770"/>
      <c r="X30" s="771"/>
      <c r="Y30" s="3192"/>
      <c r="Z30" s="54"/>
      <c r="AA30" s="1812">
        <v>1</v>
      </c>
      <c r="AB30" s="1812">
        <v>1</v>
      </c>
      <c r="AC30" s="1812">
        <v>1</v>
      </c>
    </row>
    <row r="31" spans="1:29" ht="15">
      <c r="A31" s="427"/>
      <c r="B31" s="455" t="s">
        <v>2609</v>
      </c>
      <c r="C31" s="615" t="s">
        <v>3033</v>
      </c>
      <c r="D31" s="434">
        <v>100</v>
      </c>
      <c r="E31" s="633" t="s">
        <v>3033</v>
      </c>
      <c r="F31" s="434">
        <f>SUMIF(104:104,E31,105:105)-SUMIF(104:104,C31,105:105)+100</f>
        <v>100</v>
      </c>
      <c r="G31" s="633" t="s">
        <v>3033</v>
      </c>
      <c r="H31" s="434">
        <f>SUMIF(104:104,G31,105:105)-SUMIF(104:104,C31,105:105)+100</f>
        <v>100</v>
      </c>
      <c r="I31" s="633" t="s">
        <v>3033</v>
      </c>
      <c r="J31" s="434">
        <f>SUMIF(104:104,I31,105:105)-SUMIF(104:104,C31,105:105)+100</f>
        <v>100</v>
      </c>
      <c r="K31" s="672">
        <v>1</v>
      </c>
      <c r="L31" s="1142"/>
      <c r="M31" s="1133"/>
      <c r="N31" s="1133"/>
      <c r="O31" s="1141"/>
      <c r="P31" s="319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2"/>
      <c r="Z31" s="1815" t="str">
        <f t="shared" ref="Z31:Z45" si="13">Q31</f>
        <v>临街状况</v>
      </c>
      <c r="AA31" s="1812">
        <f t="shared" si="3"/>
        <v>1</v>
      </c>
      <c r="AB31" s="1812">
        <f t="shared" si="4"/>
        <v>1</v>
      </c>
      <c r="AC31" s="1812">
        <f t="shared" si="5"/>
        <v>1</v>
      </c>
    </row>
    <row r="32" spans="1:29" ht="27">
      <c r="A32" s="427"/>
      <c r="B32" s="1386" t="s">
        <v>2644</v>
      </c>
      <c r="C32" s="2971" t="str">
        <f>估价对象房地状况!C10</f>
        <v>次干道-燕顺路</v>
      </c>
      <c r="D32" s="449">
        <v>100</v>
      </c>
      <c r="E32" s="2972" t="s">
        <v>3136</v>
      </c>
      <c r="F32" s="449">
        <f>SUMIF(106:106,E33,107:107)-SUMIF(106:106,C33,107:107)+100</f>
        <v>99</v>
      </c>
      <c r="G32" s="2972" t="s">
        <v>3140</v>
      </c>
      <c r="H32" s="449">
        <f>SUMIF(106:106,G33,107:107)-SUMIF(106:106,C33,107:107)+100</f>
        <v>99</v>
      </c>
      <c r="I32" s="453"/>
      <c r="J32" s="449">
        <f>SUMIF(106:106,I33,107:107)-SUMIF(106:106,C33,107:107)+100</f>
        <v>99</v>
      </c>
      <c r="K32" s="672">
        <v>1</v>
      </c>
      <c r="L32" s="1142"/>
      <c r="M32" s="1133"/>
      <c r="N32" s="1133"/>
      <c r="O32" s="1141"/>
      <c r="P32" s="3192"/>
      <c r="Q32" s="1811" t="str">
        <f t="shared" si="8"/>
        <v>毗邻道路的类型与等级</v>
      </c>
      <c r="R32" s="773" t="s">
        <v>17</v>
      </c>
      <c r="S32" s="774">
        <f t="shared" si="10"/>
        <v>99</v>
      </c>
      <c r="T32" s="773" t="s">
        <v>17</v>
      </c>
      <c r="U32" s="774">
        <f t="shared" si="11"/>
        <v>99</v>
      </c>
      <c r="V32" s="773" t="s">
        <v>17</v>
      </c>
      <c r="W32" s="774">
        <f t="shared" si="12"/>
        <v>99</v>
      </c>
      <c r="X32" s="1814"/>
      <c r="Y32" s="3192"/>
      <c r="Z32" s="1815" t="str">
        <f t="shared" si="13"/>
        <v>毗邻道路的类型与等级</v>
      </c>
      <c r="AA32" s="1812">
        <f t="shared" si="3"/>
        <v>1.0101010101010102</v>
      </c>
      <c r="AB32" s="1812">
        <f t="shared" si="4"/>
        <v>1.0101010101010102</v>
      </c>
      <c r="AC32" s="1812">
        <f t="shared" si="5"/>
        <v>1.0101010101010102</v>
      </c>
    </row>
    <row r="33" spans="1:29" ht="15">
      <c r="A33" s="427"/>
      <c r="B33" s="455"/>
      <c r="C33" s="446" t="s">
        <v>3040</v>
      </c>
      <c r="D33" s="447"/>
      <c r="E33" s="2612" t="s">
        <v>3135</v>
      </c>
      <c r="F33" s="447"/>
      <c r="G33" s="2612" t="s">
        <v>3135</v>
      </c>
      <c r="H33" s="447"/>
      <c r="I33" s="446" t="s">
        <v>3135</v>
      </c>
      <c r="J33" s="447"/>
      <c r="K33" s="612"/>
      <c r="L33" s="1142"/>
      <c r="M33" s="1133"/>
      <c r="N33" s="1133"/>
      <c r="O33" s="1141"/>
      <c r="P33" s="3192"/>
      <c r="Q33" s="1811"/>
      <c r="R33" s="773"/>
      <c r="S33" s="774"/>
      <c r="T33" s="773"/>
      <c r="U33" s="774"/>
      <c r="V33" s="773"/>
      <c r="W33" s="774"/>
      <c r="X33" s="1814"/>
      <c r="Y33" s="3192"/>
      <c r="Z33" s="1815"/>
      <c r="AA33" s="1812">
        <v>1</v>
      </c>
      <c r="AB33" s="1812">
        <v>1</v>
      </c>
      <c r="AC33" s="1812">
        <v>1</v>
      </c>
    </row>
    <row r="34" spans="1:29" ht="15">
      <c r="A34" s="427"/>
      <c r="B34" s="421" t="s">
        <v>2702</v>
      </c>
      <c r="C34" s="615" t="s">
        <v>1374</v>
      </c>
      <c r="D34" s="434">
        <v>100</v>
      </c>
      <c r="E34" s="633" t="s">
        <v>1374</v>
      </c>
      <c r="F34" s="434">
        <f>SUMIF(108:108,E34,109:109)-SUMIF(108:108,C34,109:109)+100</f>
        <v>100</v>
      </c>
      <c r="G34" s="633" t="s">
        <v>1374</v>
      </c>
      <c r="H34" s="434">
        <f>SUMIF(108:108,G34,109:109)-SUMIF(108:108,C34,109:109)+100</f>
        <v>100</v>
      </c>
      <c r="I34" s="615" t="s">
        <v>1374</v>
      </c>
      <c r="J34" s="434">
        <f>SUMIF(108:108,I34,109:109)-SUMIF(108:108,C34,109:109)+100</f>
        <v>100</v>
      </c>
      <c r="K34" s="611">
        <v>1</v>
      </c>
      <c r="L34" s="1142"/>
      <c r="M34" s="1133"/>
      <c r="N34" s="1133"/>
      <c r="O34" s="1141"/>
      <c r="P34" s="3192"/>
      <c r="Q34" s="1811" t="str">
        <f t="shared" si="8"/>
        <v>土地级别</v>
      </c>
      <c r="R34" s="773" t="s">
        <v>17</v>
      </c>
      <c r="S34" s="774">
        <f t="shared" si="10"/>
        <v>100</v>
      </c>
      <c r="T34" s="773" t="s">
        <v>17</v>
      </c>
      <c r="U34" s="774">
        <f t="shared" si="11"/>
        <v>100</v>
      </c>
      <c r="V34" s="773" t="s">
        <v>17</v>
      </c>
      <c r="W34" s="774">
        <f t="shared" si="12"/>
        <v>100</v>
      </c>
      <c r="X34" s="1814"/>
      <c r="Y34" s="3192"/>
      <c r="Z34" s="1815" t="str">
        <f t="shared" si="13"/>
        <v>土地级别</v>
      </c>
      <c r="AA34" s="1812">
        <f t="shared" si="3"/>
        <v>1</v>
      </c>
      <c r="AB34" s="1812">
        <f t="shared" si="4"/>
        <v>1</v>
      </c>
      <c r="AC34" s="1812">
        <f t="shared" si="5"/>
        <v>1</v>
      </c>
    </row>
    <row r="35" spans="1:29" ht="15">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2"/>
      <c r="Q35" s="1811">
        <f t="shared" si="8"/>
        <v>0</v>
      </c>
      <c r="R35" s="773" t="s">
        <v>17</v>
      </c>
      <c r="S35" s="774">
        <f t="shared" si="10"/>
        <v>100</v>
      </c>
      <c r="T35" s="773" t="s">
        <v>17</v>
      </c>
      <c r="U35" s="774">
        <f t="shared" si="11"/>
        <v>100</v>
      </c>
      <c r="V35" s="773" t="s">
        <v>17</v>
      </c>
      <c r="W35" s="774">
        <f t="shared" si="12"/>
        <v>100</v>
      </c>
      <c r="X35" s="1814"/>
      <c r="Y35" s="3192"/>
      <c r="Z35" s="1815">
        <f t="shared" si="13"/>
        <v>0</v>
      </c>
      <c r="AA35" s="1812">
        <f t="shared" si="3"/>
        <v>1</v>
      </c>
      <c r="AB35" s="1812">
        <f t="shared" si="4"/>
        <v>1</v>
      </c>
      <c r="AC35" s="1812">
        <f t="shared" si="5"/>
        <v>1</v>
      </c>
    </row>
    <row r="36" spans="1:29" ht="15">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3" t="s">
        <v>2518</v>
      </c>
      <c r="Q36" s="1811">
        <f t="shared" si="8"/>
        <v>0</v>
      </c>
      <c r="R36" s="773" t="s">
        <v>17</v>
      </c>
      <c r="S36" s="774">
        <f t="shared" si="10"/>
        <v>100</v>
      </c>
      <c r="T36" s="773" t="s">
        <v>17</v>
      </c>
      <c r="U36" s="774">
        <f t="shared" si="11"/>
        <v>100</v>
      </c>
      <c r="V36" s="773" t="s">
        <v>17</v>
      </c>
      <c r="W36" s="774">
        <f t="shared" si="12"/>
        <v>100</v>
      </c>
      <c r="X36" s="1814"/>
      <c r="Y36" s="3194" t="s">
        <v>2518</v>
      </c>
      <c r="Z36" s="1815">
        <f t="shared" si="13"/>
        <v>0</v>
      </c>
      <c r="AA36" s="1812">
        <f t="shared" si="3"/>
        <v>1</v>
      </c>
      <c r="AB36" s="1812">
        <f t="shared" si="4"/>
        <v>1</v>
      </c>
      <c r="AC36" s="1812">
        <f t="shared" si="5"/>
        <v>1</v>
      </c>
    </row>
    <row r="37" spans="1:29" s="470" customFormat="1" ht="15.75"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4"/>
      <c r="Q37" s="1811">
        <f t="shared" si="8"/>
        <v>0</v>
      </c>
      <c r="R37" s="776" t="s">
        <v>17</v>
      </c>
      <c r="S37" s="777">
        <f t="shared" si="10"/>
        <v>100</v>
      </c>
      <c r="T37" s="776" t="s">
        <v>17</v>
      </c>
      <c r="U37" s="777">
        <f t="shared" si="11"/>
        <v>100</v>
      </c>
      <c r="V37" s="776" t="s">
        <v>17</v>
      </c>
      <c r="W37" s="777">
        <f t="shared" si="12"/>
        <v>100</v>
      </c>
      <c r="X37" s="778"/>
      <c r="Y37" s="3194"/>
      <c r="Z37" s="779">
        <f t="shared" si="13"/>
        <v>0</v>
      </c>
      <c r="AA37" s="1812">
        <f t="shared" si="3"/>
        <v>1</v>
      </c>
      <c r="AB37" s="1812">
        <f t="shared" si="4"/>
        <v>1</v>
      </c>
      <c r="AC37" s="1812">
        <f t="shared" si="5"/>
        <v>1</v>
      </c>
    </row>
    <row r="38" spans="1:29" ht="15">
      <c r="A38" s="471" t="s">
        <v>2516</v>
      </c>
      <c r="B38" s="3313" t="s">
        <v>2703</v>
      </c>
      <c r="C38" s="3314">
        <f>'数据-基础表'!A3</f>
        <v>9365.7099999999991</v>
      </c>
      <c r="D38" s="3315">
        <v>100</v>
      </c>
      <c r="E38" s="3314">
        <f>土地案例!F5</f>
        <v>40566</v>
      </c>
      <c r="F38" s="3315">
        <f>LOOKUP(E38,117:117,118:118)-LOOKUP(C38,117:117,118:118)+100</f>
        <v>101</v>
      </c>
      <c r="G38" s="3314">
        <f>土地案例!F6</f>
        <v>44726</v>
      </c>
      <c r="H38" s="3315">
        <f>LOOKUP(G38,117:117,118:118)-LOOKUP(C38,117:117,118:118)+100</f>
        <v>101</v>
      </c>
      <c r="I38" s="3316">
        <f>土地案例!F7</f>
        <v>17382</v>
      </c>
      <c r="J38" s="3315">
        <f>LOOKUP(I38,117:117,118:118)-LOOKUP(C38,117:117,118:118)+100</f>
        <v>100</v>
      </c>
      <c r="K38" s="3317"/>
      <c r="L38" s="1142"/>
      <c r="M38" s="1133"/>
      <c r="N38" s="1133"/>
      <c r="O38" s="1141"/>
      <c r="P38" s="3194"/>
      <c r="Q38" s="1811" t="str">
        <f>B38</f>
        <v>宗地面积</v>
      </c>
      <c r="R38" s="773" t="s">
        <v>17</v>
      </c>
      <c r="S38" s="774">
        <f t="shared" si="10"/>
        <v>101</v>
      </c>
      <c r="T38" s="773" t="s">
        <v>17</v>
      </c>
      <c r="U38" s="774">
        <f t="shared" si="11"/>
        <v>101</v>
      </c>
      <c r="V38" s="773" t="s">
        <v>17</v>
      </c>
      <c r="W38" s="774">
        <f t="shared" si="12"/>
        <v>100</v>
      </c>
      <c r="X38" s="1814"/>
      <c r="Y38" s="3194"/>
      <c r="Z38" s="1815" t="str">
        <f t="shared" si="13"/>
        <v>宗地面积</v>
      </c>
      <c r="AA38" s="1812">
        <f t="shared" si="3"/>
        <v>0.99009900990099009</v>
      </c>
      <c r="AB38" s="1812">
        <f t="shared" si="4"/>
        <v>0.99009900990099009</v>
      </c>
      <c r="AC38" s="1812">
        <f t="shared" si="5"/>
        <v>1</v>
      </c>
    </row>
    <row r="39" spans="1:29" ht="15">
      <c r="A39" s="471"/>
      <c r="B39" s="421" t="s">
        <v>2704</v>
      </c>
      <c r="C39" s="2614" t="s">
        <v>3043</v>
      </c>
      <c r="D39" s="434">
        <v>100</v>
      </c>
      <c r="E39" s="2614" t="s">
        <v>3043</v>
      </c>
      <c r="F39" s="434">
        <f>SUMIF(119:119,E39,120:120)-SUMIF(119:119,C39,120:120)+100</f>
        <v>100</v>
      </c>
      <c r="G39" s="2614" t="s">
        <v>3043</v>
      </c>
      <c r="H39" s="434">
        <f>SUMIF(119:119,G39,120:120)-SUMIF(119:119,C39,120:120)+100</f>
        <v>100</v>
      </c>
      <c r="I39" s="2614" t="s">
        <v>3043</v>
      </c>
      <c r="J39" s="434">
        <f>SUMIF(119:119,I39,120:120)-SUMIF(119:119,C39,120:120)+100</f>
        <v>100</v>
      </c>
      <c r="K39" s="611">
        <v>1</v>
      </c>
      <c r="L39" s="1142"/>
      <c r="M39" s="1133"/>
      <c r="N39" s="1133"/>
      <c r="O39" s="1141"/>
      <c r="P39" s="3194"/>
      <c r="Q39" s="1811" t="str">
        <f t="shared" ref="Q39:Q45" si="14">B39</f>
        <v>宗地形状</v>
      </c>
      <c r="R39" s="773" t="s">
        <v>17</v>
      </c>
      <c r="S39" s="774">
        <f t="shared" si="10"/>
        <v>100</v>
      </c>
      <c r="T39" s="773" t="s">
        <v>17</v>
      </c>
      <c r="U39" s="774">
        <f t="shared" si="11"/>
        <v>100</v>
      </c>
      <c r="V39" s="773" t="s">
        <v>17</v>
      </c>
      <c r="W39" s="774">
        <f t="shared" si="12"/>
        <v>100</v>
      </c>
      <c r="X39" s="1814"/>
      <c r="Y39" s="3194"/>
      <c r="Z39" s="1815" t="str">
        <f t="shared" si="13"/>
        <v>宗地形状</v>
      </c>
      <c r="AA39" s="1812">
        <f t="shared" si="3"/>
        <v>1</v>
      </c>
      <c r="AB39" s="1812">
        <f t="shared" si="4"/>
        <v>1</v>
      </c>
      <c r="AC39" s="1812">
        <f t="shared" si="5"/>
        <v>1</v>
      </c>
    </row>
    <row r="40" spans="1:29" ht="15">
      <c r="A40" s="471"/>
      <c r="B40" s="421" t="s">
        <v>2705</v>
      </c>
      <c r="C40" s="2614" t="s">
        <v>3036</v>
      </c>
      <c r="D40" s="434">
        <v>100</v>
      </c>
      <c r="E40" s="2614" t="s">
        <v>3036</v>
      </c>
      <c r="F40" s="434">
        <f>SUMIF(121:121,E40,122:122)-SUMIF(121:121,C40,122:122)+100</f>
        <v>100</v>
      </c>
      <c r="G40" s="2614" t="s">
        <v>3036</v>
      </c>
      <c r="H40" s="434">
        <f>SUMIF(121:121,G40,122:122)-SUMIF(121:121,C40,122:122)+100</f>
        <v>100</v>
      </c>
      <c r="I40" s="2614" t="s">
        <v>3036</v>
      </c>
      <c r="J40" s="434">
        <f>SUMIF(121:121,I40,122:122)-SUMIF(121:121,C40,122:122)+100</f>
        <v>100</v>
      </c>
      <c r="K40" s="611">
        <v>1</v>
      </c>
      <c r="L40" s="1142"/>
      <c r="M40" s="1133"/>
      <c r="N40" s="1133"/>
      <c r="O40" s="1141"/>
      <c r="P40" s="3194"/>
      <c r="Q40" s="1811" t="str">
        <f t="shared" si="14"/>
        <v>临街宽度及深度</v>
      </c>
      <c r="R40" s="773" t="s">
        <v>17</v>
      </c>
      <c r="S40" s="774">
        <f t="shared" si="10"/>
        <v>100</v>
      </c>
      <c r="T40" s="773" t="s">
        <v>17</v>
      </c>
      <c r="U40" s="774">
        <f t="shared" si="11"/>
        <v>100</v>
      </c>
      <c r="V40" s="773" t="s">
        <v>17</v>
      </c>
      <c r="W40" s="774">
        <f t="shared" si="12"/>
        <v>100</v>
      </c>
      <c r="X40" s="1814"/>
      <c r="Y40" s="3194"/>
      <c r="Z40" s="1815" t="str">
        <f t="shared" si="13"/>
        <v>临街宽度及深度</v>
      </c>
      <c r="AA40" s="1812">
        <f t="shared" si="3"/>
        <v>1</v>
      </c>
      <c r="AB40" s="1812">
        <f t="shared" si="4"/>
        <v>1</v>
      </c>
      <c r="AC40" s="1812">
        <f t="shared" si="5"/>
        <v>1</v>
      </c>
    </row>
    <row r="41" spans="1:29" s="116" customFormat="1" ht="15">
      <c r="A41" s="472"/>
      <c r="B41" s="3308" t="s">
        <v>2706</v>
      </c>
      <c r="C41" s="3309" t="s">
        <v>3037</v>
      </c>
      <c r="D41" s="3310">
        <v>100</v>
      </c>
      <c r="E41" s="3309" t="s">
        <v>3037</v>
      </c>
      <c r="F41" s="3311">
        <f>SUMIF(123:123,E41,124:124)-SUMIF(123:123,C41,124:124)+100</f>
        <v>100</v>
      </c>
      <c r="G41" s="3309" t="s">
        <v>3037</v>
      </c>
      <c r="H41" s="3311">
        <f>SUMIF(123:123,G41,124:124)-SUMIF(123:123,C41,124:124)+100</f>
        <v>100</v>
      </c>
      <c r="I41" s="3309" t="s">
        <v>3037</v>
      </c>
      <c r="J41" s="3311">
        <f>SUMIF(123:123,I41,124:124)-SUMIF(123:123,C41,124:124)+100</f>
        <v>100</v>
      </c>
      <c r="K41" s="3312">
        <v>1</v>
      </c>
      <c r="L41" s="1134"/>
      <c r="M41" s="1135"/>
      <c r="N41" s="1135"/>
      <c r="O41" s="1136"/>
      <c r="P41" s="3194"/>
      <c r="Q41" s="1811" t="str">
        <f t="shared" si="14"/>
        <v>宗地开发程度</v>
      </c>
      <c r="R41" s="769" t="s">
        <v>17</v>
      </c>
      <c r="S41" s="770">
        <f t="shared" si="10"/>
        <v>100</v>
      </c>
      <c r="T41" s="769" t="s">
        <v>17</v>
      </c>
      <c r="U41" s="770">
        <f t="shared" si="11"/>
        <v>100</v>
      </c>
      <c r="V41" s="769" t="s">
        <v>17</v>
      </c>
      <c r="W41" s="770">
        <f t="shared" si="12"/>
        <v>100</v>
      </c>
      <c r="X41" s="771"/>
      <c r="Y41" s="3194"/>
      <c r="Z41" s="54" t="str">
        <f t="shared" si="13"/>
        <v>宗地开发程度</v>
      </c>
      <c r="AA41" s="772">
        <f t="shared" si="3"/>
        <v>1</v>
      </c>
      <c r="AB41" s="772">
        <f t="shared" si="4"/>
        <v>1</v>
      </c>
      <c r="AC41" s="772">
        <f t="shared" si="5"/>
        <v>1</v>
      </c>
    </row>
    <row r="42" spans="1:29" ht="15">
      <c r="A42" s="471"/>
      <c r="B42" s="421" t="s">
        <v>2707</v>
      </c>
      <c r="C42" s="2614" t="s">
        <v>3036</v>
      </c>
      <c r="D42" s="434">
        <v>100</v>
      </c>
      <c r="E42" s="2614" t="s">
        <v>3036</v>
      </c>
      <c r="F42" s="434">
        <f>SUMIF(125:125,E42,126:126)-SUMIF(125:125,C42,126:126)+100</f>
        <v>100</v>
      </c>
      <c r="G42" s="2614" t="s">
        <v>3036</v>
      </c>
      <c r="H42" s="434">
        <f>SUMIF(125:125,G42,126:126)-SUMIF(125:125,C42,126:126)+100</f>
        <v>100</v>
      </c>
      <c r="I42" s="2614" t="s">
        <v>3036</v>
      </c>
      <c r="J42" s="434">
        <f>SUMIF(125:125,I42,126:126)-SUMIF(125:125,C42,126:126)+100</f>
        <v>100</v>
      </c>
      <c r="K42" s="611">
        <v>1</v>
      </c>
      <c r="L42" s="1142"/>
      <c r="M42" s="1133"/>
      <c r="N42" s="1133"/>
      <c r="O42" s="1141"/>
      <c r="P42" s="3194" t="s">
        <v>2518</v>
      </c>
      <c r="Q42" s="1811" t="str">
        <f t="shared" si="14"/>
        <v>工程地质条件</v>
      </c>
      <c r="R42" s="773" t="s">
        <v>17</v>
      </c>
      <c r="S42" s="774">
        <f t="shared" si="10"/>
        <v>100</v>
      </c>
      <c r="T42" s="773" t="s">
        <v>17</v>
      </c>
      <c r="U42" s="774">
        <f t="shared" si="11"/>
        <v>100</v>
      </c>
      <c r="V42" s="773" t="s">
        <v>17</v>
      </c>
      <c r="W42" s="774">
        <f t="shared" si="12"/>
        <v>100</v>
      </c>
      <c r="X42" s="1814"/>
      <c r="Y42" s="3194" t="s">
        <v>2518</v>
      </c>
      <c r="Z42" s="1815" t="str">
        <f t="shared" si="13"/>
        <v>工程地质条件</v>
      </c>
      <c r="AA42" s="1812">
        <f t="shared" si="3"/>
        <v>1</v>
      </c>
      <c r="AB42" s="1812">
        <f t="shared" si="4"/>
        <v>1</v>
      </c>
      <c r="AC42" s="1812">
        <f t="shared" si="5"/>
        <v>1</v>
      </c>
    </row>
    <row r="43" spans="1:29" ht="15">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4"/>
      <c r="Q43" s="1811">
        <f t="shared" si="14"/>
        <v>0</v>
      </c>
      <c r="R43" s="773" t="s">
        <v>17</v>
      </c>
      <c r="S43" s="774">
        <f t="shared" si="10"/>
        <v>100</v>
      </c>
      <c r="T43" s="773" t="s">
        <v>17</v>
      </c>
      <c r="U43" s="774">
        <f t="shared" si="11"/>
        <v>100</v>
      </c>
      <c r="V43" s="773" t="s">
        <v>17</v>
      </c>
      <c r="W43" s="774">
        <f t="shared" si="12"/>
        <v>100</v>
      </c>
      <c r="X43" s="1814"/>
      <c r="Y43" s="3194"/>
      <c r="Z43" s="1815">
        <f t="shared" si="13"/>
        <v>0</v>
      </c>
      <c r="AA43" s="1812">
        <f t="shared" si="3"/>
        <v>1</v>
      </c>
      <c r="AB43" s="1812">
        <f t="shared" si="4"/>
        <v>1</v>
      </c>
      <c r="AC43" s="1812">
        <f t="shared" si="5"/>
        <v>1</v>
      </c>
    </row>
    <row r="44" spans="1:29" ht="15">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4"/>
      <c r="Q44" s="1811">
        <f t="shared" si="14"/>
        <v>0</v>
      </c>
      <c r="R44" s="773" t="s">
        <v>17</v>
      </c>
      <c r="S44" s="774">
        <f t="shared" si="10"/>
        <v>100</v>
      </c>
      <c r="T44" s="773" t="s">
        <v>17</v>
      </c>
      <c r="U44" s="774">
        <f t="shared" si="11"/>
        <v>100</v>
      </c>
      <c r="V44" s="773" t="s">
        <v>17</v>
      </c>
      <c r="W44" s="774">
        <f t="shared" si="12"/>
        <v>100</v>
      </c>
      <c r="X44" s="1814"/>
      <c r="Y44" s="3194"/>
      <c r="Z44" s="1815">
        <f t="shared" si="13"/>
        <v>0</v>
      </c>
      <c r="AA44" s="1812">
        <f t="shared" si="3"/>
        <v>1</v>
      </c>
      <c r="AB44" s="1812">
        <f t="shared" si="4"/>
        <v>1</v>
      </c>
      <c r="AC44" s="1812">
        <f t="shared" si="5"/>
        <v>1</v>
      </c>
    </row>
    <row r="45" spans="1:29" s="470" customFormat="1" ht="15.75" thickBot="1">
      <c r="A45" s="467"/>
      <c r="B45" s="1389"/>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4"/>
      <c r="Q45" s="1811">
        <f t="shared" si="14"/>
        <v>0</v>
      </c>
      <c r="R45" s="776" t="s">
        <v>17</v>
      </c>
      <c r="S45" s="777">
        <f t="shared" si="10"/>
        <v>100</v>
      </c>
      <c r="T45" s="776" t="s">
        <v>17</v>
      </c>
      <c r="U45" s="777">
        <f t="shared" si="11"/>
        <v>100</v>
      </c>
      <c r="V45" s="776" t="s">
        <v>17</v>
      </c>
      <c r="W45" s="777">
        <f t="shared" si="12"/>
        <v>100</v>
      </c>
      <c r="X45" s="778"/>
      <c r="Y45" s="3194"/>
      <c r="Z45" s="779">
        <f t="shared" si="13"/>
        <v>0</v>
      </c>
      <c r="AA45" s="1812">
        <f t="shared" si="3"/>
        <v>1</v>
      </c>
      <c r="AB45" s="1812">
        <f t="shared" si="4"/>
        <v>1</v>
      </c>
      <c r="AC45" s="1812">
        <f t="shared" si="5"/>
        <v>1</v>
      </c>
    </row>
    <row r="46" spans="1:29" ht="15">
      <c r="A46" s="478" t="s">
        <v>2673</v>
      </c>
      <c r="B46" s="2705" t="s">
        <v>2708</v>
      </c>
      <c r="C46" s="681" t="s">
        <v>1</v>
      </c>
      <c r="D46" s="480"/>
      <c r="E46" s="481">
        <f>ROUND(土地案例!J5,0)</f>
        <v>2856</v>
      </c>
      <c r="F46" s="482"/>
      <c r="G46" s="483">
        <f>ROUND(土地案例!J6,0)</f>
        <v>3079</v>
      </c>
      <c r="H46" s="484"/>
      <c r="I46" s="481">
        <f>ROUND(土地案例!J7,0)</f>
        <v>3167</v>
      </c>
      <c r="J46" s="484"/>
      <c r="K46" s="782"/>
      <c r="L46" s="1145"/>
      <c r="M46" s="1146"/>
      <c r="N46" s="1133"/>
      <c r="O46" s="1146"/>
      <c r="P46" s="3176" t="str">
        <f>A46</f>
        <v>成交单价</v>
      </c>
      <c r="Q46" s="3176"/>
      <c r="R46" s="3189">
        <f>E46</f>
        <v>2856</v>
      </c>
      <c r="S46" s="3189"/>
      <c r="T46" s="3189">
        <f>G46</f>
        <v>3079</v>
      </c>
      <c r="U46" s="3189"/>
      <c r="V46" s="3189">
        <f>I46</f>
        <v>3167</v>
      </c>
      <c r="W46" s="3189"/>
      <c r="X46" s="758"/>
      <c r="Y46" s="780"/>
      <c r="Z46" s="758"/>
      <c r="AA46" s="758"/>
      <c r="AB46" s="758"/>
      <c r="AC46" s="758"/>
    </row>
    <row r="47" spans="1:29" ht="15.75" thickBot="1">
      <c r="A47" s="485" t="s">
        <v>2622</v>
      </c>
      <c r="B47" s="682"/>
      <c r="C47" s="489">
        <f>R48</f>
        <v>3291</v>
      </c>
      <c r="D47" s="488"/>
      <c r="E47" s="489">
        <f>R47</f>
        <v>3087</v>
      </c>
      <c r="F47" s="490"/>
      <c r="G47" s="487">
        <f>T47</f>
        <v>3328</v>
      </c>
      <c r="H47" s="488"/>
      <c r="I47" s="489">
        <f>V47</f>
        <v>3457</v>
      </c>
      <c r="J47" s="488"/>
      <c r="K47" s="783"/>
      <c r="L47" s="1145"/>
      <c r="M47" s="1146"/>
      <c r="N47" s="1146"/>
      <c r="O47" s="1146"/>
      <c r="P47" s="3176" t="str">
        <f>A47</f>
        <v>比较价值（元/平方米）</v>
      </c>
      <c r="Q47" s="3176"/>
      <c r="R47" s="3195">
        <f>ROUND(PRODUCT(R46,AA7:AA45),0)</f>
        <v>3087</v>
      </c>
      <c r="S47" s="3195"/>
      <c r="T47" s="3195">
        <f>ROUND(PRODUCT(T46,AB7:AB45),0)</f>
        <v>3328</v>
      </c>
      <c r="U47" s="3195"/>
      <c r="V47" s="3195">
        <f>ROUND(PRODUCT(V46,AC7:AC45),0)</f>
        <v>3457</v>
      </c>
      <c r="W47" s="3195"/>
      <c r="X47" s="758"/>
      <c r="Y47" s="758"/>
      <c r="Z47" s="758"/>
      <c r="AA47" s="758"/>
      <c r="AB47" s="758"/>
      <c r="AC47" s="758"/>
    </row>
    <row r="48" spans="1:29" ht="15.75" thickBot="1">
      <c r="A48" s="491" t="s">
        <v>3025</v>
      </c>
      <c r="B48" s="492"/>
      <c r="C48" s="493">
        <f>R48</f>
        <v>3291</v>
      </c>
      <c r="D48" s="493"/>
      <c r="E48" s="493"/>
      <c r="F48" s="493"/>
      <c r="G48" s="493"/>
      <c r="H48" s="493"/>
      <c r="I48" s="493"/>
      <c r="J48" s="493"/>
      <c r="K48" s="784"/>
      <c r="L48" s="1145"/>
      <c r="M48" s="1146"/>
      <c r="N48" s="1146"/>
      <c r="O48" s="1146"/>
      <c r="P48" s="3196" t="str">
        <f>A48</f>
        <v>估价对象商业用房的比较价值（楼面单价，元/平方米）</v>
      </c>
      <c r="Q48" s="3197"/>
      <c r="R48" s="3198">
        <f>ROUND(AVERAGE(R47:V47),0)</f>
        <v>3291</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2624</v>
      </c>
      <c r="D51" s="497"/>
      <c r="E51" s="498">
        <f>IF(E46&lt;E47,E47/E46-1,E46/E47-1)</f>
        <v>8.0882352941176405E-2</v>
      </c>
      <c r="F51" s="499" t="str">
        <f>IF(OR(E51&gt;=0.3,E51&lt;=-0.3),"超过30%","")</f>
        <v/>
      </c>
      <c r="G51" s="498">
        <f>IF(G46&lt;G47,G47/G46-1,G46/G47-1)</f>
        <v>8.0870412471581776E-2</v>
      </c>
      <c r="H51" s="499" t="str">
        <f>IF(OR(G51&gt;=0.3,G51&lt;=-0.3),"超过30%","")</f>
        <v/>
      </c>
      <c r="I51" s="498">
        <f>IF(I46&lt;I47,I47/I46-1,I46/I47-1)</f>
        <v>9.1569308493842705E-2</v>
      </c>
      <c r="J51" s="499" t="str">
        <f>IF(OR(I51&gt;=0.3,I51&lt;=-0.3),"超过30%","")</f>
        <v/>
      </c>
      <c r="K51" s="1107"/>
      <c r="L51" s="1108"/>
      <c r="M51" s="1146"/>
      <c r="N51" s="1146"/>
      <c r="O51" s="1146"/>
    </row>
    <row r="52" spans="1:15" ht="13.5" customHeight="1">
      <c r="A52" s="1146"/>
      <c r="B52" s="1146"/>
      <c r="C52" s="496" t="s">
        <v>2625</v>
      </c>
      <c r="D52" s="500"/>
      <c r="E52" s="498">
        <f>IF(E47&lt;G47,G47/E47-1,E47/G47-1)</f>
        <v>7.8069322967282195E-2</v>
      </c>
      <c r="F52" s="499" t="str">
        <f>IF(OR(E52&gt;=0.2,E52&lt;=-0.2),"超过20%","")</f>
        <v/>
      </c>
      <c r="G52" s="498">
        <f>IF(G47&lt;I47,I47/G47-1,G47/I47-1)</f>
        <v>3.8762019230769162E-2</v>
      </c>
      <c r="H52" s="499" t="str">
        <f>IF(OR(G52&gt;=0.2,G52&lt;=-0.2),"超过20%","")</f>
        <v/>
      </c>
      <c r="I52" s="498">
        <f>IF(I47&lt;E47,E47/I47-1,I47/E47-1)</f>
        <v>0.11985746679624221</v>
      </c>
      <c r="J52" s="499" t="str">
        <f>IF(OR(I52&gt;=0.2,I52&lt;=-0.2),"超过20%","")</f>
        <v/>
      </c>
      <c r="K52" s="1107"/>
      <c r="L52" s="1108"/>
      <c r="M52" s="1146"/>
      <c r="N52" s="1146"/>
      <c r="O52" s="1146"/>
    </row>
    <row r="53" spans="1:15" s="501" customFormat="1" ht="13.5" customHeight="1">
      <c r="A53" s="1147"/>
      <c r="B53" s="1147"/>
      <c r="C53" s="496" t="s">
        <v>2626</v>
      </c>
      <c r="D53" s="500"/>
      <c r="E53" s="498">
        <f>IF(E46&lt;G46,G46/E46-1,E46/G46-1)</f>
        <v>7.8081232492997144E-2</v>
      </c>
      <c r="F53" s="499" t="str">
        <f>IF(OR(E53&gt;=0.3,E53&lt;=-0.3),"超过30%","")</f>
        <v/>
      </c>
      <c r="G53" s="498">
        <f>IF(G46&lt;I46,I46/G46-1,G46/I46-1)</f>
        <v>2.8580708022085011E-2</v>
      </c>
      <c r="H53" s="499" t="str">
        <f>IF(OR(G53&gt;=0.3,G53&lt;=-0.3),"超过30%","")</f>
        <v/>
      </c>
      <c r="I53" s="498">
        <f>IF(I46&lt;E46,E46/I46-1,I46/E46-1)</f>
        <v>0.10889355742296924</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2709</v>
      </c>
      <c r="B55" s="684" t="s">
        <v>2710</v>
      </c>
      <c r="C55" s="2706" t="s">
        <v>2711</v>
      </c>
      <c r="D55" s="2707" t="s">
        <v>2712</v>
      </c>
      <c r="E55" s="685" t="s">
        <v>2713</v>
      </c>
      <c r="F55" s="1109" t="s">
        <v>2714</v>
      </c>
      <c r="G55" s="3177" t="s">
        <v>2715</v>
      </c>
      <c r="H55" s="3199"/>
      <c r="I55" s="143" t="s">
        <v>2716</v>
      </c>
      <c r="J55" s="2708" t="str">
        <f>项目基本情况!F35</f>
        <v>廊坊市</v>
      </c>
      <c r="K55" s="2709" t="s">
        <v>2717</v>
      </c>
      <c r="L55" s="1108"/>
      <c r="M55" s="1146"/>
      <c r="N55" s="1146"/>
      <c r="O55" s="1146"/>
    </row>
    <row r="56" spans="1:15" s="691" customFormat="1">
      <c r="A56" s="687" t="s">
        <v>2718</v>
      </c>
      <c r="B56" s="688">
        <f>C48</f>
        <v>3291</v>
      </c>
      <c r="C56" s="689">
        <v>1</v>
      </c>
      <c r="D56" s="1165">
        <v>1</v>
      </c>
      <c r="E56" s="689">
        <f>'数据-汇总表'!E8+'数据-汇总表'!E9</f>
        <v>12111.68</v>
      </c>
      <c r="F56" s="1105">
        <f t="shared" ref="F56:F65" si="15">ROUND(B56*E56/10000,0)</f>
        <v>3986</v>
      </c>
      <c r="G56" s="3200"/>
      <c r="H56" s="3176"/>
      <c r="I56" s="1110">
        <v>1</v>
      </c>
      <c r="J56" s="1113">
        <v>1</v>
      </c>
      <c r="K56" s="1147"/>
      <c r="L56" s="943"/>
      <c r="M56" s="943"/>
      <c r="N56" s="943"/>
      <c r="O56" s="943"/>
    </row>
    <row r="57" spans="1:15" s="691" customFormat="1">
      <c r="A57" s="692" t="s">
        <v>2719</v>
      </c>
      <c r="B57" s="261">
        <f>ROUND($C$48*C57*D57,0)</f>
        <v>0</v>
      </c>
      <c r="C57" s="199">
        <f t="shared" ref="C57:C65" si="16">IF($C$55="北京市系数",I57,J57)</f>
        <v>0</v>
      </c>
      <c r="D57" s="1166">
        <v>0.25</v>
      </c>
      <c r="E57" s="693"/>
      <c r="F57" s="1105">
        <f t="shared" si="15"/>
        <v>0</v>
      </c>
      <c r="G57" s="3201" t="s">
        <v>2720</v>
      </c>
      <c r="H57" s="1106">
        <f>项目基本情况!B37</f>
        <v>0</v>
      </c>
      <c r="I57" s="1110">
        <f>SUMIF(修正!A45:A56,H57,修正!B45:B56)</f>
        <v>0</v>
      </c>
      <c r="J57" s="1114"/>
      <c r="K57" s="1146"/>
      <c r="L57" s="943"/>
      <c r="M57" s="943"/>
      <c r="N57" s="943"/>
      <c r="O57" s="943"/>
    </row>
    <row r="58" spans="1:15" s="691" customFormat="1">
      <c r="A58" s="692" t="s">
        <v>2721</v>
      </c>
      <c r="B58" s="261">
        <f t="shared" ref="B58:B65" si="17">ROUND($C$48*C58*D58,0)</f>
        <v>0</v>
      </c>
      <c r="C58" s="199">
        <f t="shared" si="16"/>
        <v>0</v>
      </c>
      <c r="D58" s="1166">
        <v>0.25</v>
      </c>
      <c r="E58" s="693"/>
      <c r="F58" s="1105">
        <f t="shared" si="15"/>
        <v>0</v>
      </c>
      <c r="G58" s="3201"/>
      <c r="H58" s="1106">
        <f>项目基本情况!B37</f>
        <v>0</v>
      </c>
      <c r="I58" s="1110">
        <f>SUMIF(修正!A45:A56,H58,修正!C45:C56)</f>
        <v>0</v>
      </c>
      <c r="J58" s="1114"/>
      <c r="K58" s="1147"/>
      <c r="L58" s="943"/>
      <c r="M58" s="943"/>
      <c r="N58" s="943"/>
      <c r="O58" s="943"/>
    </row>
    <row r="59" spans="1:15" s="691" customFormat="1">
      <c r="A59" s="692" t="s">
        <v>2722</v>
      </c>
      <c r="B59" s="261">
        <f t="shared" si="17"/>
        <v>0</v>
      </c>
      <c r="C59" s="199">
        <f t="shared" si="16"/>
        <v>0</v>
      </c>
      <c r="D59" s="1166">
        <v>0.25</v>
      </c>
      <c r="E59" s="693"/>
      <c r="F59" s="1105">
        <f t="shared" si="15"/>
        <v>0</v>
      </c>
      <c r="G59" s="3201"/>
      <c r="H59" s="1106">
        <f>项目基本情况!B37</f>
        <v>0</v>
      </c>
      <c r="I59" s="1110">
        <f>SUMIF(修正!A45:A56,H59,修正!D45:D56)</f>
        <v>0</v>
      </c>
      <c r="J59" s="1114"/>
      <c r="K59" s="1146"/>
      <c r="L59" s="943"/>
      <c r="M59" s="943"/>
      <c r="N59" s="943"/>
      <c r="O59" s="943"/>
    </row>
    <row r="60" spans="1:15" s="691" customFormat="1">
      <c r="A60" s="692" t="s">
        <v>2723</v>
      </c>
      <c r="B60" s="261">
        <f t="shared" si="17"/>
        <v>0</v>
      </c>
      <c r="C60" s="199">
        <f t="shared" si="16"/>
        <v>0</v>
      </c>
      <c r="D60" s="1166">
        <v>0.25</v>
      </c>
      <c r="E60" s="693"/>
      <c r="F60" s="1105">
        <f t="shared" si="15"/>
        <v>0</v>
      </c>
      <c r="G60" s="3201"/>
      <c r="H60" s="1106">
        <f>项目基本情况!B37</f>
        <v>0</v>
      </c>
      <c r="I60" s="1110">
        <f>SUMIF(修正!A45:A56,H60,修正!E45:E56)</f>
        <v>0</v>
      </c>
      <c r="J60" s="1114"/>
      <c r="K60" s="1147"/>
      <c r="L60" s="943"/>
      <c r="M60" s="943"/>
      <c r="N60" s="943"/>
      <c r="O60" s="943"/>
    </row>
    <row r="61" spans="1:15" s="691" customFormat="1">
      <c r="A61" s="692" t="s">
        <v>2724</v>
      </c>
      <c r="B61" s="261">
        <f t="shared" si="17"/>
        <v>0</v>
      </c>
      <c r="C61" s="199">
        <f t="shared" si="16"/>
        <v>0</v>
      </c>
      <c r="D61" s="1166">
        <v>0.25</v>
      </c>
      <c r="E61" s="260">
        <f>'数据-汇总表'!E11</f>
        <v>0</v>
      </c>
      <c r="F61" s="1105">
        <f t="shared" si="15"/>
        <v>0</v>
      </c>
      <c r="G61" s="2710" t="s">
        <v>2725</v>
      </c>
      <c r="H61" s="1106">
        <f>项目基本情况!C37</f>
        <v>0</v>
      </c>
      <c r="I61" s="1110">
        <f>SUMIF(修正!A45:A56,H61,修正!F45:F56)</f>
        <v>0</v>
      </c>
      <c r="J61" s="1114"/>
      <c r="K61" s="1146"/>
      <c r="L61" s="943"/>
      <c r="M61" s="943"/>
      <c r="N61" s="943"/>
      <c r="O61" s="943"/>
    </row>
    <row r="62" spans="1:15" s="691" customFormat="1">
      <c r="A62" s="692" t="s">
        <v>2726</v>
      </c>
      <c r="B62" s="261">
        <f t="shared" si="17"/>
        <v>0</v>
      </c>
      <c r="C62" s="199">
        <f t="shared" si="16"/>
        <v>0</v>
      </c>
      <c r="D62" s="1166">
        <v>0.25</v>
      </c>
      <c r="E62" s="260">
        <f>'数据-汇总表'!E12</f>
        <v>0</v>
      </c>
      <c r="F62" s="1105">
        <f t="shared" si="15"/>
        <v>0</v>
      </c>
      <c r="G62" s="1111" t="s">
        <v>2727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2728</v>
      </c>
      <c r="B63" s="261">
        <f t="shared" si="17"/>
        <v>0</v>
      </c>
      <c r="C63" s="199">
        <f t="shared" si="16"/>
        <v>0</v>
      </c>
      <c r="D63" s="1166">
        <v>0.25</v>
      </c>
      <c r="E63" s="260">
        <f>'数据-汇总表'!E13</f>
        <v>0</v>
      </c>
      <c r="F63" s="1105">
        <f t="shared" si="15"/>
        <v>0</v>
      </c>
      <c r="G63" s="1111" t="s">
        <v>2729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2730</v>
      </c>
      <c r="B64" s="261">
        <f t="shared" si="17"/>
        <v>0</v>
      </c>
      <c r="C64" s="199">
        <f t="shared" si="16"/>
        <v>0</v>
      </c>
      <c r="D64" s="1166">
        <v>0.25</v>
      </c>
      <c r="E64" s="260">
        <f>'数据-汇总表'!E14</f>
        <v>0</v>
      </c>
      <c r="F64" s="1105">
        <f t="shared" si="15"/>
        <v>0</v>
      </c>
      <c r="G64" s="2710" t="s">
        <v>2720</v>
      </c>
      <c r="H64" s="1106">
        <f>项目基本情况!B37</f>
        <v>0</v>
      </c>
      <c r="I64" s="1110">
        <f>SUMIF(修正!A45:A56,H64,修正!H45:H56)</f>
        <v>0</v>
      </c>
      <c r="J64" s="1114"/>
      <c r="K64" s="1147"/>
      <c r="L64" s="943"/>
      <c r="M64" s="943"/>
      <c r="N64" s="943"/>
      <c r="O64" s="943"/>
    </row>
    <row r="65" spans="1:17" s="691" customFormat="1" ht="15" thickBot="1">
      <c r="A65" s="692" t="s">
        <v>2731</v>
      </c>
      <c r="B65" s="261">
        <f t="shared" si="17"/>
        <v>0</v>
      </c>
      <c r="C65" s="199">
        <f t="shared" si="16"/>
        <v>0</v>
      </c>
      <c r="D65" s="1166">
        <v>0.25</v>
      </c>
      <c r="E65" s="260">
        <f>'数据-汇总表'!E15</f>
        <v>0</v>
      </c>
      <c r="F65" s="1105">
        <f t="shared" si="15"/>
        <v>0</v>
      </c>
      <c r="G65" s="2711" t="s">
        <v>2725</v>
      </c>
      <c r="H65" s="1116">
        <f>项目基本情况!C37</f>
        <v>0</v>
      </c>
      <c r="I65" s="1112">
        <f>SUMIF(修正!A45:A56,H65,修正!H45:H56)</f>
        <v>0</v>
      </c>
      <c r="J65" s="1115"/>
      <c r="K65" s="1146"/>
      <c r="L65" s="943"/>
      <c r="M65" s="943"/>
      <c r="N65" s="943"/>
      <c r="O65" s="943"/>
    </row>
    <row r="66" spans="1:17" s="691" customFormat="1" ht="13.5" thickBot="1">
      <c r="A66" s="694" t="s">
        <v>2732</v>
      </c>
      <c r="B66" s="695" t="s">
        <v>27</v>
      </c>
      <c r="C66" s="695" t="s">
        <v>28</v>
      </c>
      <c r="D66" s="695" t="s">
        <v>1027</v>
      </c>
      <c r="E66" s="695">
        <f>IF(B46="楼面地价",SUM(E56:E65),'数据-汇总表'!D3)</f>
        <v>12111.68</v>
      </c>
      <c r="F66" s="696">
        <f>IF(B46="楼面地价",SUM(F56:F65),ROUND(C48*E66/10000,0))</f>
        <v>3986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2627</v>
      </c>
      <c r="B69" s="758"/>
      <c r="C69" s="763"/>
      <c r="D69" s="763"/>
      <c r="E69" s="763"/>
      <c r="F69" s="764"/>
      <c r="G69" s="764"/>
      <c r="H69" s="763"/>
      <c r="I69" s="763"/>
      <c r="J69" s="1161"/>
      <c r="K69" s="1162"/>
      <c r="L69" s="1163"/>
      <c r="M69" s="1161"/>
      <c r="N69" s="1161"/>
      <c r="O69" s="1161"/>
      <c r="P69" s="502"/>
      <c r="Q69" s="503"/>
    </row>
    <row r="70" spans="1:17" s="507" customFormat="1" ht="15">
      <c r="A70" s="2712" t="s">
        <v>2733</v>
      </c>
      <c r="B70" s="1361"/>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2961">
        <v>42005</v>
      </c>
    </row>
    <row r="71" spans="1:17" s="116" customFormat="1" ht="30" customHeight="1">
      <c r="A71" s="2713" t="s">
        <v>2734</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94">
        <v>87</v>
      </c>
    </row>
    <row r="72" spans="1:17" s="116" customFormat="1" ht="15.75" thickBot="1">
      <c r="A72" s="514" t="s">
        <v>2538</v>
      </c>
      <c r="B72" s="515"/>
      <c r="C72" s="516"/>
      <c r="D72" s="517"/>
      <c r="E72" s="517"/>
      <c r="F72" s="517"/>
      <c r="G72" s="517"/>
      <c r="H72" s="517"/>
      <c r="I72" s="517"/>
      <c r="J72" s="517"/>
      <c r="K72" s="517"/>
      <c r="L72" s="517"/>
      <c r="M72" s="518"/>
      <c r="N72" s="517"/>
      <c r="O72" s="1164"/>
      <c r="P72" s="503"/>
      <c r="Q72" s="503"/>
    </row>
    <row r="73" spans="1:17" s="116" customFormat="1" ht="15">
      <c r="A73" s="520" t="s">
        <v>2503</v>
      </c>
      <c r="B73" s="509"/>
      <c r="C73" s="521" t="s">
        <v>2605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2541</v>
      </c>
      <c r="B75" s="527" t="s">
        <v>2507</v>
      </c>
      <c r="C75" s="2955" t="s">
        <v>3038</v>
      </c>
      <c r="D75" s="529"/>
      <c r="E75" s="529"/>
      <c r="F75" s="529"/>
      <c r="G75" s="529"/>
      <c r="H75" s="529"/>
      <c r="I75" s="529"/>
      <c r="J75" s="529"/>
      <c r="K75" s="530"/>
      <c r="L75" s="531"/>
      <c r="M75" s="532"/>
      <c r="N75" s="1154"/>
      <c r="O75" s="1154"/>
      <c r="P75" s="44"/>
      <c r="Q75" s="503"/>
    </row>
    <row r="76" spans="1:17" ht="15.75" thickBot="1">
      <c r="A76" s="533"/>
      <c r="B76" s="534"/>
      <c r="C76" s="535">
        <v>100</v>
      </c>
      <c r="D76" s="535"/>
      <c r="E76" s="535"/>
      <c r="F76" s="535"/>
      <c r="G76" s="535"/>
      <c r="H76" s="535"/>
      <c r="I76" s="535"/>
      <c r="J76" s="535"/>
      <c r="K76" s="535"/>
      <c r="L76" s="535"/>
      <c r="M76" s="536"/>
      <c r="N76" s="1155"/>
      <c r="O76" s="1155"/>
      <c r="P76" s="44"/>
      <c r="Q76" s="503"/>
    </row>
    <row r="77" spans="1:17" ht="27.75" thickTop="1">
      <c r="A77" s="533"/>
      <c r="B77" s="537" t="s">
        <v>2510</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2511</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5"/>
      <c r="O79" s="1155"/>
      <c r="P79" s="44"/>
      <c r="Q79" s="503"/>
    </row>
    <row r="80" spans="1:17" ht="15">
      <c r="A80" s="533"/>
      <c r="B80" s="547"/>
      <c r="C80" s="548">
        <v>0</v>
      </c>
      <c r="D80" s="548">
        <v>1</v>
      </c>
      <c r="E80" s="548">
        <v>2</v>
      </c>
      <c r="F80" s="548">
        <v>3</v>
      </c>
      <c r="G80" s="548">
        <v>4</v>
      </c>
      <c r="H80" s="548">
        <v>5</v>
      </c>
      <c r="I80" s="548">
        <v>6</v>
      </c>
      <c r="J80" s="548">
        <v>7</v>
      </c>
      <c r="K80" s="548">
        <v>8</v>
      </c>
      <c r="L80" s="548">
        <v>9</v>
      </c>
      <c r="M80" s="548">
        <v>10</v>
      </c>
      <c r="N80" s="1154"/>
      <c r="O80" s="1154"/>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5"/>
      <c r="O81" s="1155"/>
      <c r="P81" s="44"/>
      <c r="Q81" s="503"/>
    </row>
    <row r="82" spans="1:17" s="470" customFormat="1" ht="15.75" thickTop="1">
      <c r="A82" s="552"/>
      <c r="B82" s="537">
        <f>B12</f>
        <v>0</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0</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0</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2512</v>
      </c>
      <c r="B88" s="527" t="s">
        <v>2549</v>
      </c>
      <c r="C88" s="572" t="s">
        <v>2550</v>
      </c>
      <c r="D88" s="572" t="s">
        <v>2551</v>
      </c>
      <c r="E88" s="572" t="s">
        <v>2552</v>
      </c>
      <c r="F88" s="572" t="s">
        <v>2553</v>
      </c>
      <c r="G88" s="572" t="s">
        <v>2554</v>
      </c>
      <c r="H88" s="528"/>
      <c r="I88" s="528"/>
      <c r="J88" s="528"/>
      <c r="K88" s="573"/>
      <c r="L88" s="574"/>
      <c r="M88" s="575"/>
      <c r="N88" s="1154"/>
      <c r="O88" s="1154"/>
      <c r="P88" s="576"/>
      <c r="Q88" s="503"/>
    </row>
    <row r="89" spans="1:17" ht="15.75" thickBot="1">
      <c r="A89" s="533"/>
      <c r="B89" s="542"/>
      <c r="C89" s="543">
        <v>100</v>
      </c>
      <c r="D89" s="543">
        <f>C89-$K15</f>
        <v>99</v>
      </c>
      <c r="E89" s="543">
        <f>D89-$K15</f>
        <v>98</v>
      </c>
      <c r="F89" s="543">
        <f>E89-$K15</f>
        <v>97</v>
      </c>
      <c r="G89" s="543">
        <f>F89-$K15</f>
        <v>96</v>
      </c>
      <c r="H89" s="543"/>
      <c r="I89" s="543"/>
      <c r="J89" s="543"/>
      <c r="K89" s="543"/>
      <c r="L89" s="543"/>
      <c r="M89" s="544"/>
      <c r="N89" s="1155"/>
      <c r="O89" s="1155"/>
      <c r="P89" s="44"/>
      <c r="Q89" s="503"/>
    </row>
    <row r="90" spans="1:17" ht="15.75" thickTop="1">
      <c r="A90" s="533"/>
      <c r="B90" s="537" t="s">
        <v>2735</v>
      </c>
      <c r="C90" s="577" t="s">
        <v>2550</v>
      </c>
      <c r="D90" s="577" t="s">
        <v>2551</v>
      </c>
      <c r="E90" s="577" t="s">
        <v>2552</v>
      </c>
      <c r="F90" s="577" t="s">
        <v>2553</v>
      </c>
      <c r="G90" s="577" t="s">
        <v>2554</v>
      </c>
      <c r="H90" s="538"/>
      <c r="I90" s="538"/>
      <c r="J90" s="538"/>
      <c r="K90" s="539"/>
      <c r="L90" s="540"/>
      <c r="M90" s="541"/>
      <c r="N90" s="1154"/>
      <c r="O90" s="1154"/>
      <c r="P90" s="44"/>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4"/>
      <c r="Q91" s="503"/>
    </row>
    <row r="92" spans="1:17" ht="15.75" thickTop="1">
      <c r="A92" s="533"/>
      <c r="B92" s="537" t="s">
        <v>2650</v>
      </c>
      <c r="C92" s="577" t="s">
        <v>2550</v>
      </c>
      <c r="D92" s="577" t="s">
        <v>2551</v>
      </c>
      <c r="E92" s="577" t="s">
        <v>2552</v>
      </c>
      <c r="F92" s="577" t="s">
        <v>2553</v>
      </c>
      <c r="G92" s="577" t="s">
        <v>2554</v>
      </c>
      <c r="H92" s="538"/>
      <c r="I92" s="538"/>
      <c r="J92" s="538"/>
      <c r="K92" s="539"/>
      <c r="L92" s="540"/>
      <c r="M92" s="541"/>
      <c r="N92" s="1154"/>
      <c r="O92" s="1154"/>
      <c r="P92" s="44"/>
      <c r="Q92" s="503"/>
    </row>
    <row r="93" spans="1:17" ht="15.75" thickBot="1">
      <c r="A93" s="533"/>
      <c r="B93" s="542"/>
      <c r="C93" s="543">
        <v>100</v>
      </c>
      <c r="D93" s="543">
        <f>C93-$K19</f>
        <v>99</v>
      </c>
      <c r="E93" s="543">
        <f>D93-$K19</f>
        <v>98</v>
      </c>
      <c r="F93" s="543">
        <f>E93-$K19</f>
        <v>97</v>
      </c>
      <c r="G93" s="543">
        <f>F93-$K19</f>
        <v>96</v>
      </c>
      <c r="H93" s="543"/>
      <c r="I93" s="543"/>
      <c r="J93" s="543"/>
      <c r="K93" s="543"/>
      <c r="L93" s="543"/>
      <c r="M93" s="544"/>
      <c r="N93" s="1155"/>
      <c r="O93" s="1155"/>
      <c r="P93" s="44"/>
      <c r="Q93" s="503"/>
    </row>
    <row r="94" spans="1:17" ht="15.75" thickTop="1">
      <c r="A94" s="533"/>
      <c r="B94" s="537" t="s">
        <v>2555</v>
      </c>
      <c r="C94" s="577" t="s">
        <v>2550</v>
      </c>
      <c r="D94" s="577" t="s">
        <v>2551</v>
      </c>
      <c r="E94" s="577" t="s">
        <v>2552</v>
      </c>
      <c r="F94" s="577" t="s">
        <v>2553</v>
      </c>
      <c r="G94" s="577" t="s">
        <v>2554</v>
      </c>
      <c r="H94" s="538"/>
      <c r="I94" s="538"/>
      <c r="J94" s="538"/>
      <c r="K94" s="539"/>
      <c r="L94" s="540"/>
      <c r="M94" s="541"/>
      <c r="N94" s="1154"/>
      <c r="O94" s="1154"/>
      <c r="P94" s="44"/>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4"/>
      <c r="Q95" s="503"/>
    </row>
    <row r="96" spans="1:17" s="116" customFormat="1" ht="15.75" thickTop="1">
      <c r="A96" s="578"/>
      <c r="B96" s="537" t="s">
        <v>2736</v>
      </c>
      <c r="C96" s="577" t="s">
        <v>2550</v>
      </c>
      <c r="D96" s="577" t="s">
        <v>2551</v>
      </c>
      <c r="E96" s="577" t="s">
        <v>2552</v>
      </c>
      <c r="F96" s="577" t="s">
        <v>2553</v>
      </c>
      <c r="G96" s="577" t="s">
        <v>2554</v>
      </c>
      <c r="H96" s="577"/>
      <c r="I96" s="577"/>
      <c r="J96" s="577"/>
      <c r="K96" s="577"/>
      <c r="L96" s="697"/>
      <c r="M96" s="621"/>
      <c r="N96" s="1153"/>
      <c r="O96" s="1153"/>
      <c r="P96" s="44"/>
      <c r="Q96" s="503"/>
    </row>
    <row r="97" spans="1:17" s="116" customFormat="1" ht="15.75" thickBot="1">
      <c r="A97" s="578"/>
      <c r="B97" s="542"/>
      <c r="C97" s="581">
        <v>100</v>
      </c>
      <c r="D97" s="543">
        <f>C97-$K23</f>
        <v>99</v>
      </c>
      <c r="E97" s="543">
        <f>D97-$K23</f>
        <v>98</v>
      </c>
      <c r="F97" s="543">
        <f>E97-$K23</f>
        <v>97</v>
      </c>
      <c r="G97" s="543">
        <f>F97-$K23</f>
        <v>96</v>
      </c>
      <c r="H97" s="543"/>
      <c r="I97" s="543"/>
      <c r="J97" s="543"/>
      <c r="K97" s="543"/>
      <c r="L97" s="543"/>
      <c r="M97" s="544"/>
      <c r="N97" s="1155"/>
      <c r="O97" s="1155"/>
      <c r="P97" s="44"/>
      <c r="Q97" s="503"/>
    </row>
    <row r="98" spans="1:17" s="116" customFormat="1" ht="27.75" thickTop="1">
      <c r="A98" s="578"/>
      <c r="B98" s="537" t="s">
        <v>2737</v>
      </c>
      <c r="C98" s="572" t="s">
        <v>2550</v>
      </c>
      <c r="D98" s="572" t="s">
        <v>2551</v>
      </c>
      <c r="E98" s="572" t="s">
        <v>2552</v>
      </c>
      <c r="F98" s="572" t="s">
        <v>2553</v>
      </c>
      <c r="G98" s="572" t="s">
        <v>2554</v>
      </c>
      <c r="H98" s="577"/>
      <c r="I98" s="577"/>
      <c r="J98" s="577"/>
      <c r="K98" s="577"/>
      <c r="L98" s="577"/>
      <c r="M98" s="621"/>
      <c r="N98" s="1153"/>
      <c r="O98" s="1153"/>
      <c r="P98" s="44"/>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5"/>
      <c r="O99" s="1155"/>
      <c r="P99" s="44"/>
      <c r="Q99" s="503"/>
    </row>
    <row r="100" spans="1:17" s="470" customFormat="1" ht="15.75" thickTop="1">
      <c r="A100" s="552"/>
      <c r="B100" s="537" t="s">
        <v>2607</v>
      </c>
      <c r="C100" s="572" t="s">
        <v>2550</v>
      </c>
      <c r="D100" s="572" t="s">
        <v>2551</v>
      </c>
      <c r="E100" s="572" t="s">
        <v>2552</v>
      </c>
      <c r="F100" s="572" t="s">
        <v>2553</v>
      </c>
      <c r="G100" s="572" t="s">
        <v>2554</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2608</v>
      </c>
      <c r="C102" s="659" t="s">
        <v>2628</v>
      </c>
      <c r="D102" s="659" t="s">
        <v>2629</v>
      </c>
      <c r="E102" s="659" t="s">
        <v>2630</v>
      </c>
      <c r="F102" s="659" t="s">
        <v>2631</v>
      </c>
      <c r="G102" s="659" t="s">
        <v>2632</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2738</v>
      </c>
      <c r="D104" s="538" t="s">
        <v>2739</v>
      </c>
      <c r="E104" s="538" t="s">
        <v>2740</v>
      </c>
      <c r="F104" s="538" t="s">
        <v>2741</v>
      </c>
      <c r="G104" s="538"/>
      <c r="H104" s="538"/>
      <c r="I104" s="538"/>
      <c r="J104" s="538"/>
      <c r="K104" s="539"/>
      <c r="L104" s="540"/>
      <c r="M104" s="541"/>
      <c r="N104" s="1154"/>
      <c r="O104" s="1154"/>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4"/>
      <c r="Q105" s="503"/>
    </row>
    <row r="106" spans="1:17" ht="27.75" thickTop="1">
      <c r="A106" s="533"/>
      <c r="B106" s="537" t="s">
        <v>2644</v>
      </c>
      <c r="C106" s="2956" t="s">
        <v>3039</v>
      </c>
      <c r="D106" s="2956" t="s">
        <v>3041</v>
      </c>
      <c r="E106" s="2956" t="s">
        <v>3042</v>
      </c>
      <c r="F106" s="553"/>
      <c r="G106" s="553"/>
      <c r="H106" s="582"/>
      <c r="I106" s="582"/>
      <c r="J106" s="582"/>
      <c r="K106" s="583"/>
      <c r="L106" s="584"/>
      <c r="M106" s="585"/>
      <c r="N106" s="1154"/>
      <c r="O106" s="1154"/>
      <c r="P106" s="44"/>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4"/>
      <c r="Q107" s="503"/>
    </row>
    <row r="108" spans="1:17" ht="15.75" thickTop="1">
      <c r="A108" s="533"/>
      <c r="B108" s="537" t="s">
        <v>2702</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99</v>
      </c>
      <c r="E109" s="543">
        <f t="shared" ref="E109:M109" si="24">D109-$K34</f>
        <v>98</v>
      </c>
      <c r="F109" s="543">
        <f t="shared" si="24"/>
        <v>97</v>
      </c>
      <c r="G109" s="543">
        <f t="shared" si="24"/>
        <v>96</v>
      </c>
      <c r="H109" s="543">
        <f t="shared" si="24"/>
        <v>95</v>
      </c>
      <c r="I109" s="543">
        <f t="shared" si="24"/>
        <v>94</v>
      </c>
      <c r="J109" s="543">
        <f t="shared" si="24"/>
        <v>93</v>
      </c>
      <c r="K109" s="543">
        <f t="shared" si="24"/>
        <v>92</v>
      </c>
      <c r="L109" s="543">
        <f t="shared" si="24"/>
        <v>91</v>
      </c>
      <c r="M109" s="543">
        <f t="shared" si="24"/>
        <v>90</v>
      </c>
      <c r="N109" s="1155"/>
      <c r="O109" s="1155"/>
      <c r="P109" s="44"/>
      <c r="Q109" s="503"/>
    </row>
    <row r="110" spans="1:17" ht="15.75" thickTop="1">
      <c r="A110" s="533"/>
      <c r="B110" s="545">
        <f>B35</f>
        <v>0</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0</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2516</v>
      </c>
      <c r="B116" s="527" t="s">
        <v>2742</v>
      </c>
      <c r="C116" s="528" t="str">
        <f>C117&amp;"(含)"&amp;"-"&amp;D117</f>
        <v>0(含)-20000</v>
      </c>
      <c r="D116" s="528" t="str">
        <f t="shared" ref="D116:M116" si="25">D117&amp;"(含)"&amp;"-"&amp;E117</f>
        <v>20000(含)-30000</v>
      </c>
      <c r="E116" s="528" t="str">
        <f t="shared" si="25"/>
        <v>30000(含)-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v>0</v>
      </c>
      <c r="D117" s="594">
        <v>20000</v>
      </c>
      <c r="E117" s="594">
        <v>30000</v>
      </c>
      <c r="F117" s="594"/>
      <c r="G117" s="594"/>
      <c r="H117" s="594"/>
      <c r="I117" s="594"/>
      <c r="J117" s="595"/>
      <c r="K117" s="595"/>
      <c r="L117" s="596"/>
      <c r="M117" s="597"/>
      <c r="N117" s="1154"/>
      <c r="O117" s="1154"/>
      <c r="P117" s="44"/>
      <c r="Q117" s="503"/>
    </row>
    <row r="118" spans="1:17" ht="15.75" thickBot="1">
      <c r="A118" s="533"/>
      <c r="B118" s="542"/>
      <c r="C118" s="569">
        <v>100</v>
      </c>
      <c r="D118" s="590">
        <v>100.5</v>
      </c>
      <c r="E118" s="590">
        <v>101</v>
      </c>
      <c r="F118" s="590"/>
      <c r="G118" s="590"/>
      <c r="H118" s="590"/>
      <c r="I118" s="590"/>
      <c r="J118" s="590"/>
      <c r="K118" s="590"/>
      <c r="L118" s="590"/>
      <c r="M118" s="591"/>
      <c r="N118" s="1155"/>
      <c r="O118" s="1155"/>
      <c r="P118" s="44"/>
      <c r="Q118" s="503"/>
    </row>
    <row r="119" spans="1:17" ht="15" thickTop="1">
      <c r="A119" s="598"/>
      <c r="B119" s="537" t="s">
        <v>2743</v>
      </c>
      <c r="C119" s="2957" t="s">
        <v>3044</v>
      </c>
      <c r="D119" s="2957" t="s">
        <v>3045</v>
      </c>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4"/>
      <c r="Q120" s="503"/>
    </row>
    <row r="121" spans="1:17" ht="15" thickTop="1">
      <c r="A121" s="598"/>
      <c r="B121" s="537" t="s">
        <v>2744</v>
      </c>
      <c r="C121" s="553" t="s">
        <v>3046</v>
      </c>
      <c r="D121" s="553" t="s">
        <v>3036</v>
      </c>
      <c r="E121" s="553" t="s">
        <v>3047</v>
      </c>
      <c r="F121" s="582" t="s">
        <v>3048</v>
      </c>
      <c r="G121" s="582" t="s">
        <v>3049</v>
      </c>
      <c r="H121" s="582"/>
      <c r="I121" s="582"/>
      <c r="J121" s="582"/>
      <c r="K121" s="583"/>
      <c r="L121" s="584"/>
      <c r="M121" s="585"/>
      <c r="N121" s="1154"/>
      <c r="O121" s="1154"/>
      <c r="P121" s="44"/>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4"/>
      <c r="Q122" s="503"/>
    </row>
    <row r="123" spans="1:17" s="470" customFormat="1" ht="15" thickTop="1">
      <c r="A123" s="592"/>
      <c r="B123" s="537" t="s">
        <v>2745</v>
      </c>
      <c r="C123" s="553" t="s">
        <v>3037</v>
      </c>
      <c r="D123" s="553" t="s">
        <v>3050</v>
      </c>
      <c r="E123" s="553" t="s">
        <v>3051</v>
      </c>
      <c r="F123" s="553" t="s">
        <v>3052</v>
      </c>
      <c r="G123" s="553" t="s">
        <v>3053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2746</v>
      </c>
      <c r="C125" s="553" t="s">
        <v>3046</v>
      </c>
      <c r="D125" s="553" t="s">
        <v>3036</v>
      </c>
      <c r="E125" s="582" t="s">
        <v>3047</v>
      </c>
      <c r="F125" s="582" t="s">
        <v>3048</v>
      </c>
      <c r="G125" s="582" t="s">
        <v>3049</v>
      </c>
      <c r="H125" s="582"/>
      <c r="I125" s="582"/>
      <c r="J125" s="582"/>
      <c r="K125" s="583"/>
      <c r="L125" s="584"/>
      <c r="M125" s="585"/>
      <c r="N125" s="1154"/>
      <c r="O125" s="1154"/>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4"/>
      <c r="Q126" s="503"/>
    </row>
    <row r="127" spans="1:17" ht="15" thickTop="1">
      <c r="A127" s="598"/>
      <c r="B127" s="537">
        <f>B43</f>
        <v>0</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0</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2973" t="str">
        <f>项目基本情况!B1</f>
        <v>廊坊市三河市燕郊开发区燕顺路西侧、高压走廊北侧美林君渡（美林新东城B区续建及C区）16号楼房地产抵押价值预评估</v>
      </c>
      <c r="C37" s="2973"/>
      <c r="D37" s="2973"/>
      <c r="E37" s="2973"/>
      <c r="F37" s="2973"/>
      <c r="G37" s="2973"/>
      <c r="H37" s="2973"/>
      <c r="I37" s="2973"/>
    </row>
    <row r="38" spans="1:9">
      <c r="A38" s="1018"/>
      <c r="B38" s="1018"/>
    </row>
    <row r="39" spans="1:9">
      <c r="A39" s="1016" t="s">
        <v>816</v>
      </c>
      <c r="B39" s="1016" t="s">
        <v>818</v>
      </c>
    </row>
    <row r="40" spans="1:9">
      <c r="A40" s="1016"/>
      <c r="B40" s="1943" t="str">
        <f>项目基本情况!B5</f>
        <v>三河市天宝嘉麟房地产开发有限公司</v>
      </c>
    </row>
    <row r="41" spans="1:9">
      <c r="A41" s="1016"/>
      <c r="B41" s="1016"/>
    </row>
    <row r="42" spans="1:9">
      <c r="A42" s="1016" t="s">
        <v>816</v>
      </c>
      <c r="B42" s="1016" t="s">
        <v>819</v>
      </c>
    </row>
    <row r="43" spans="1:9">
      <c r="A43" s="1016"/>
      <c r="B43" s="1943" t="s">
        <v>820</v>
      </c>
    </row>
    <row r="44" spans="1:9">
      <c r="A44" s="1016"/>
      <c r="B44" s="1016"/>
    </row>
    <row r="45" spans="1:9">
      <c r="A45" s="1016" t="s">
        <v>816</v>
      </c>
      <c r="B45" s="1016" t="s">
        <v>821</v>
      </c>
    </row>
    <row r="46" spans="1:9" s="1016" customFormat="1" ht="12.75">
      <c r="B46" s="1943" t="str">
        <f ca="1">项目基本情况!K4</f>
        <v>欧红伟（注册号：1120000080)、崔锴（注册号：1120100036)</v>
      </c>
    </row>
    <row r="47" spans="1:9">
      <c r="A47" s="1016"/>
      <c r="B47" s="1016" t="str">
        <f>项目基本情况!K5</f>
        <v/>
      </c>
    </row>
    <row r="48" spans="1:9">
      <c r="A48" s="1016" t="s">
        <v>816</v>
      </c>
      <c r="B48" s="1016" t="s">
        <v>822</v>
      </c>
    </row>
    <row r="49" spans="2:2">
      <c r="B49" s="1943" t="str">
        <f>"康正预评字"&amp;项目基本情况!B2&amp;"号"</f>
        <v>康正预评字2018-1-0245-P01DYGJ1号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2279</v>
      </c>
      <c r="B1" s="1938"/>
      <c r="C1" s="241"/>
      <c r="D1" s="241"/>
      <c r="E1" s="241"/>
      <c r="F1" s="241"/>
      <c r="G1" s="1381">
        <f>MATCH(B1,'数据-取费表'!A6:A16,0)+5</f>
        <v>8</v>
      </c>
    </row>
    <row r="2" spans="1:9" s="243" customFormat="1" ht="18" customHeight="1">
      <c r="A2" s="244" t="s">
        <v>2280</v>
      </c>
      <c r="B2" s="245">
        <f ca="1">IF(D2="——",C52,C52-E2)</f>
        <v>11208</v>
      </c>
      <c r="C2" s="242" t="s">
        <v>2281</v>
      </c>
      <c r="D2" s="2548" t="s">
        <v>69</v>
      </c>
      <c r="E2" s="1442" t="e">
        <f ca="1">SUMIF(INDIRECT("'"&amp;G2&amp;"'"&amp;"!A:A"),"承租人权益价值",INDIRECT("'"&amp;G2&amp;"'"&amp;"!c:c"))</f>
        <v>#REF!</v>
      </c>
      <c r="F2" s="2549" t="s">
        <v>2281</v>
      </c>
      <c r="G2" s="2550"/>
    </row>
    <row r="3" spans="1:9" s="243" customFormat="1" ht="18" customHeight="1" thickBot="1">
      <c r="A3" s="246" t="s">
        <v>2282</v>
      </c>
      <c r="B3" s="247">
        <f ca="1">ROUND(B2*10000/(IF(B1="",'数据-汇总表'!E3,INDIRECT("'数据-取费表'!k"&amp;$G$1))),0)</f>
        <v>9254</v>
      </c>
      <c r="C3" s="242" t="s">
        <v>2283</v>
      </c>
      <c r="D3" s="242"/>
      <c r="E3" s="242"/>
      <c r="F3" s="242"/>
      <c r="G3" s="242"/>
    </row>
    <row r="4" spans="1:9" s="251" customFormat="1" ht="15.75">
      <c r="A4" s="248" t="s">
        <v>2284</v>
      </c>
      <c r="B4" s="249"/>
      <c r="C4" s="249"/>
      <c r="D4" s="249"/>
      <c r="E4" s="249"/>
      <c r="F4" s="249"/>
      <c r="G4" s="250"/>
    </row>
    <row r="5" spans="1:9" s="257" customFormat="1" ht="13.5" customHeight="1">
      <c r="A5" s="298" t="s">
        <v>2285</v>
      </c>
      <c r="B5" s="253" t="s">
        <v>2286</v>
      </c>
      <c r="C5" s="254">
        <f ca="1">C6+C7+C8</f>
        <v>4193</v>
      </c>
      <c r="D5" s="254" t="s">
        <v>2287</v>
      </c>
      <c r="E5" s="255" t="s">
        <v>2288</v>
      </c>
      <c r="F5" s="255" t="s">
        <v>2289</v>
      </c>
      <c r="G5" s="256"/>
    </row>
    <row r="6" spans="1:9" s="257" customFormat="1" ht="13.5" customHeight="1">
      <c r="A6" s="951" t="s">
        <v>2290</v>
      </c>
      <c r="B6" s="258" t="s">
        <v>2291</v>
      </c>
      <c r="C6" s="259">
        <f>'土地比较法-住宅、综合'!B2</f>
        <v>3986</v>
      </c>
      <c r="D6" s="260"/>
      <c r="E6" s="261"/>
      <c r="F6" s="261"/>
      <c r="G6" s="262"/>
    </row>
    <row r="7" spans="1:9" s="257" customFormat="1" ht="13.5" customHeight="1">
      <c r="A7" s="951" t="s">
        <v>2292</v>
      </c>
      <c r="B7" s="258" t="s">
        <v>2293</v>
      </c>
      <c r="C7" s="263">
        <f>ROUND(C6*F7,0)</f>
        <v>161</v>
      </c>
      <c r="D7" s="263"/>
      <c r="E7" s="261"/>
      <c r="F7" s="264">
        <f>'数据-取费表'!B48+'数据-取费表'!B49</f>
        <v>4.0500000000000001E-2</v>
      </c>
      <c r="G7" s="262"/>
    </row>
    <row r="8" spans="1:9" s="266" customFormat="1">
      <c r="A8" s="951" t="s">
        <v>2294</v>
      </c>
      <c r="B8" s="258" t="s">
        <v>2295</v>
      </c>
      <c r="C8" s="3318">
        <f ca="1">IF(G8="已包含在土地购买价格中","0",IF(B1="",'数据-取费表'!B29,IF(G9="全部缴纳",C9+C10,H9)))</f>
        <v>46</v>
      </c>
      <c r="D8" s="265"/>
      <c r="E8" s="263"/>
      <c r="F8" s="264"/>
      <c r="G8" s="2551" t="s">
        <v>3105</v>
      </c>
    </row>
    <row r="9" spans="1:9" s="257" customFormat="1" ht="13.5" customHeight="1">
      <c r="A9" s="952" t="s">
        <v>798</v>
      </c>
      <c r="B9" s="267" t="s">
        <v>2296</v>
      </c>
      <c r="C9" s="268">
        <f ca="1">ROUND(D9*E9/10000,0)</f>
        <v>0</v>
      </c>
      <c r="D9" s="1034">
        <f ca="1">IF(B1="",'数据-汇总表'!E5,IF(INDIRECT("'数据-取费表'!c"&amp;$G$1)="住宅",INDIRECT("'数据-取费表'!k"&amp;$G$1),0))</f>
        <v>0</v>
      </c>
      <c r="E9" s="268">
        <f>'数据-取费表'!B27</f>
        <v>58.3</v>
      </c>
      <c r="F9" s="264"/>
      <c r="G9" s="2552" t="s">
        <v>3106</v>
      </c>
      <c r="H9" s="1392"/>
      <c r="I9" s="2553" t="s">
        <v>2297</v>
      </c>
    </row>
    <row r="10" spans="1:9" s="257" customFormat="1" ht="13.5" customHeight="1">
      <c r="A10" s="952" t="s">
        <v>799</v>
      </c>
      <c r="B10" s="267" t="s">
        <v>2298</v>
      </c>
      <c r="C10" s="268">
        <f ca="1">ROUND(D10*E10/10000,0)</f>
        <v>46</v>
      </c>
      <c r="D10" s="1034">
        <f ca="1">IF(B1="",'数据-汇总表'!E6,IF(INDIRECT("'数据-取费表'!c"&amp;$G$1)="住宅",INDIRECT("'数据-取费表'!s"&amp;$G$1),INDIRECT("'数据-取费表'!k"&amp;$G$1)+INDIRECT("'数据-取费表'!s"&amp;$G$1)))</f>
        <v>12111.68</v>
      </c>
      <c r="E10" s="268">
        <f>'数据-取费表'!B28</f>
        <v>38.299999999999997</v>
      </c>
      <c r="F10" s="264"/>
      <c r="G10" s="269"/>
    </row>
    <row r="11" spans="1:9" s="257" customFormat="1" ht="13.5" hidden="1" customHeight="1">
      <c r="A11" s="270" t="s">
        <v>7</v>
      </c>
      <c r="B11" s="258" t="s">
        <v>2299</v>
      </c>
      <c r="C11" s="254"/>
      <c r="D11" s="1036"/>
      <c r="E11" s="261"/>
      <c r="F11" s="261"/>
      <c r="G11" s="262"/>
    </row>
    <row r="12" spans="1:9" s="257" customFormat="1" ht="13.5" hidden="1" customHeight="1">
      <c r="A12" s="270" t="s">
        <v>8</v>
      </c>
      <c r="B12" s="258" t="s">
        <v>2300</v>
      </c>
      <c r="C12" s="254">
        <v>0</v>
      </c>
      <c r="D12" s="1036"/>
      <c r="E12" s="271"/>
      <c r="F12" s="264">
        <v>3.0499999999999999E-2</v>
      </c>
      <c r="G12" s="262"/>
    </row>
    <row r="13" spans="1:9" s="257" customFormat="1" ht="13.5" hidden="1" customHeight="1">
      <c r="A13" s="270" t="s">
        <v>9</v>
      </c>
      <c r="B13" s="258" t="s">
        <v>2301</v>
      </c>
      <c r="C13" s="254"/>
      <c r="D13" s="1036"/>
      <c r="E13" s="261"/>
      <c r="F13" s="261"/>
      <c r="G13" s="262"/>
    </row>
    <row r="14" spans="1:9" s="257" customFormat="1" ht="13.5" hidden="1" customHeight="1">
      <c r="A14" s="270" t="s">
        <v>10</v>
      </c>
      <c r="B14" s="258" t="s">
        <v>2302</v>
      </c>
      <c r="C14" s="254"/>
      <c r="D14" s="1036"/>
      <c r="E14" s="261"/>
      <c r="F14" s="261"/>
      <c r="G14" s="262" t="s">
        <v>2303</v>
      </c>
    </row>
    <row r="15" spans="1:9" s="257" customFormat="1" ht="13.5" hidden="1" customHeight="1">
      <c r="A15" s="270" t="s">
        <v>11</v>
      </c>
      <c r="B15" s="258" t="s">
        <v>2304</v>
      </c>
      <c r="C15" s="263"/>
      <c r="D15" s="1036"/>
      <c r="E15" s="261"/>
      <c r="F15" s="261"/>
      <c r="G15" s="262" t="s">
        <v>2305</v>
      </c>
    </row>
    <row r="16" spans="1:9" s="257" customFormat="1" ht="13.5" hidden="1" customHeight="1">
      <c r="A16" s="270" t="s">
        <v>12</v>
      </c>
      <c r="B16" s="258" t="s">
        <v>2302</v>
      </c>
      <c r="C16" s="263"/>
      <c r="D16" s="1036"/>
      <c r="E16" s="261"/>
      <c r="F16" s="261"/>
      <c r="G16" s="262"/>
    </row>
    <row r="17" spans="1:7" s="257" customFormat="1" ht="13.5" hidden="1" customHeight="1">
      <c r="A17" s="270" t="s">
        <v>13</v>
      </c>
      <c r="B17" s="258" t="s">
        <v>2306</v>
      </c>
      <c r="C17" s="272"/>
      <c r="D17" s="1037"/>
      <c r="E17" s="272"/>
      <c r="F17" s="272"/>
      <c r="G17" s="262" t="s">
        <v>2305</v>
      </c>
    </row>
    <row r="18" spans="1:7" s="257" customFormat="1" ht="13.5" hidden="1" customHeight="1">
      <c r="A18" s="270" t="s">
        <v>14</v>
      </c>
      <c r="B18" s="258" t="s">
        <v>2307</v>
      </c>
      <c r="C18" s="263">
        <v>0</v>
      </c>
      <c r="D18" s="1036"/>
      <c r="E18" s="261"/>
      <c r="F18" s="264">
        <v>3.0499999999999999E-2</v>
      </c>
      <c r="G18" s="262" t="s">
        <v>2308</v>
      </c>
    </row>
    <row r="19" spans="1:7" s="266" customFormat="1" ht="13.5" customHeight="1">
      <c r="A19" s="298" t="s">
        <v>2309</v>
      </c>
      <c r="B19" s="253" t="s">
        <v>2310</v>
      </c>
      <c r="C19" s="254">
        <f ca="1">IF(G19="已包含在土地取得成本中","0",ROUND(D19*E19/10000,0))</f>
        <v>242</v>
      </c>
      <c r="D19" s="1038">
        <f ca="1">D9+D10</f>
        <v>12111.68</v>
      </c>
      <c r="E19" s="254">
        <f>'数据-取费表'!B31</f>
        <v>200</v>
      </c>
      <c r="F19" s="274"/>
      <c r="G19" s="2551" t="s">
        <v>1072</v>
      </c>
    </row>
    <row r="20" spans="1:7" s="257" customFormat="1" ht="13.5" customHeight="1">
      <c r="A20" s="298" t="s">
        <v>2311</v>
      </c>
      <c r="B20" s="253" t="s">
        <v>2312</v>
      </c>
      <c r="C20" s="275">
        <f ca="1">ROUND((C5+C19)*F20,0)</f>
        <v>133</v>
      </c>
      <c r="D20" s="275"/>
      <c r="E20" s="275"/>
      <c r="F20" s="276">
        <f>'数据-取费表'!B37</f>
        <v>0.03</v>
      </c>
      <c r="G20" s="277" t="s">
        <v>2313</v>
      </c>
    </row>
    <row r="21" spans="1:7" s="257" customFormat="1" ht="13.5" customHeight="1">
      <c r="A21" s="298" t="s">
        <v>2314</v>
      </c>
      <c r="B21" s="253" t="s">
        <v>2315</v>
      </c>
      <c r="C21" s="278">
        <f>F21</f>
        <v>0.02</v>
      </c>
      <c r="D21" s="279" t="s">
        <v>2316</v>
      </c>
      <c r="E21" s="275"/>
      <c r="F21" s="276">
        <f>'数据-取费表'!B38</f>
        <v>0.02</v>
      </c>
      <c r="G21" s="277" t="s">
        <v>2317</v>
      </c>
    </row>
    <row r="22" spans="1:7" s="257" customFormat="1" ht="13.5" customHeight="1">
      <c r="A22" s="298" t="s">
        <v>2318</v>
      </c>
      <c r="B22" s="253" t="s">
        <v>2319</v>
      </c>
      <c r="C22" s="1356">
        <f ca="1">ROUND(SUM(C23:C25),0)</f>
        <v>438</v>
      </c>
      <c r="D22" s="278">
        <f ca="1">C26</f>
        <v>1E-3</v>
      </c>
      <c r="E22" s="279" t="s">
        <v>2316</v>
      </c>
      <c r="F22" s="280">
        <f ca="1">'数据-取费表'!B40</f>
        <v>4.7500000000000001E-2</v>
      </c>
      <c r="G22" s="277" t="str">
        <f>IF('数据-取费表'!B22&lt;=1,"单利计息","复利计息")</f>
        <v>复利计息</v>
      </c>
    </row>
    <row r="23" spans="1:7" s="257" customFormat="1" ht="13.5" customHeight="1">
      <c r="A23" s="953" t="s">
        <v>2320</v>
      </c>
      <c r="B23" s="258" t="s">
        <v>2321</v>
      </c>
      <c r="C23" s="1357">
        <f ca="1">ROUND(IF('数据-取费表'!B22&lt;=1,C5*F22*'数据-取费表'!B23,C5*(POWER((1+F22),'数据-取费表'!B23)-1)),0)</f>
        <v>408</v>
      </c>
      <c r="D23" s="281"/>
      <c r="E23" s="281"/>
      <c r="F23" s="282"/>
      <c r="G23" s="283" t="s">
        <v>2322</v>
      </c>
    </row>
    <row r="24" spans="1:7" s="257" customFormat="1" ht="13.5" customHeight="1">
      <c r="A24" s="953" t="s">
        <v>2323</v>
      </c>
      <c r="B24" s="258" t="s">
        <v>2324</v>
      </c>
      <c r="C24" s="1357">
        <f ca="1">ROUND(IF('数据-取费表'!B22&lt;=1,C19*F22*('数据-取费表'!B19/2+'数据-取费表'!B21),C19*(POWER((1+F22),('数据-取费表'!B19/2+'数据-取费表'!B21))-1)),0)</f>
        <v>24</v>
      </c>
      <c r="D24" s="281"/>
      <c r="E24" s="281"/>
      <c r="F24" s="282"/>
      <c r="G24" s="283" t="s">
        <v>2325</v>
      </c>
    </row>
    <row r="25" spans="1:7" s="257" customFormat="1" ht="24">
      <c r="A25" s="953" t="s">
        <v>2326</v>
      </c>
      <c r="B25" s="258" t="s">
        <v>2327</v>
      </c>
      <c r="C25" s="1357">
        <f ca="1">ROUND(IF('数据-取费表'!B22&lt;=1,C20*F22*'数据-取费表'!B23/2,C20*(POWER((1+F22),'数据-取费表'!B23/2)-1)),0)</f>
        <v>6</v>
      </c>
      <c r="D25" s="281"/>
      <c r="E25" s="284"/>
      <c r="F25" s="282"/>
      <c r="G25" s="285" t="s">
        <v>2328</v>
      </c>
    </row>
    <row r="26" spans="1:7" s="257" customFormat="1">
      <c r="A26" s="953" t="s">
        <v>793</v>
      </c>
      <c r="B26" s="258" t="s">
        <v>2329</v>
      </c>
      <c r="C26" s="281">
        <f ca="1">ROUND(IF('数据-取费表'!B22&lt;=1,F21*F22*'数据-取费表'!B23/2,F21*(POWER((1+F22),'数据-取费表'!B23/2)-1)),4)</f>
        <v>1E-3</v>
      </c>
      <c r="D26" s="281"/>
      <c r="E26" s="284"/>
      <c r="F26" s="282"/>
      <c r="G26" s="286"/>
    </row>
    <row r="27" spans="1:7" s="257" customFormat="1" ht="24.75">
      <c r="A27" s="298" t="s">
        <v>2330</v>
      </c>
      <c r="B27" s="287" t="s">
        <v>2331</v>
      </c>
      <c r="C27" s="288">
        <f ca="1">C28</f>
        <v>685</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ROUND((C5+C19+C20)*F27*'数据-取费表'!B21/'数据-取费表'!B20,0)</f>
        <v>685</v>
      </c>
      <c r="D28" s="278"/>
      <c r="E28" s="279"/>
      <c r="F28" s="289"/>
      <c r="G28" s="290"/>
    </row>
    <row r="29" spans="1:7" s="257" customFormat="1" ht="13.5" customHeight="1">
      <c r="A29" s="953" t="s">
        <v>790</v>
      </c>
      <c r="B29" s="291" t="s">
        <v>2335</v>
      </c>
      <c r="C29" s="281">
        <f ca="1">ROUND(C21*F27*'数据-取费表'!B21/'数据-取费表'!B20,4)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6162</v>
      </c>
      <c r="D31" s="273"/>
      <c r="E31" s="254"/>
      <c r="F31" s="293"/>
      <c r="G31" s="277" t="s">
        <v>2340</v>
      </c>
    </row>
    <row r="32" spans="1:7" s="251" customFormat="1" ht="15.75">
      <c r="A32" s="295" t="s">
        <v>2341</v>
      </c>
      <c r="B32" s="296"/>
      <c r="C32" s="296"/>
      <c r="D32" s="296"/>
      <c r="E32" s="296"/>
      <c r="F32" s="296"/>
      <c r="G32" s="297"/>
    </row>
    <row r="33" spans="1:7" s="257" customFormat="1" ht="13.5" customHeight="1">
      <c r="A33" s="298" t="s">
        <v>780</v>
      </c>
      <c r="B33" s="253" t="s">
        <v>2342</v>
      </c>
      <c r="C33" s="299">
        <f ca="1">SUM(C34:C38)</f>
        <v>3895</v>
      </c>
      <c r="D33" s="275"/>
      <c r="E33" s="255"/>
      <c r="F33" s="284"/>
      <c r="G33" s="277"/>
    </row>
    <row r="34" spans="1:7" s="301" customFormat="1" ht="13.5" customHeight="1">
      <c r="A34" s="953" t="s">
        <v>789</v>
      </c>
      <c r="B34" s="258" t="s">
        <v>2343</v>
      </c>
      <c r="C34" s="263">
        <f ca="1">IF(B1="",IF(F34=100%,'数据-取费表'!M16,'数据-取费表'!O16),IF(F34=100%,INDIRECT("'数据-取费表'!m"&amp;$G$1)+INDIRECT("'数据-取费表'!t"&amp;$G$1),INDIRECT("'数据-取费表'!o"&amp;$G$1)+INDIRECT("'数据-取费表'!aq"&amp;$G$1)))</f>
        <v>3430</v>
      </c>
      <c r="D34" s="260"/>
      <c r="E34" s="263"/>
      <c r="F34" s="300">
        <f ca="1">IF('数据-取费表'!B24=0,1,IF(B1="",'数据-取费表'!N16,INDIRECT("'数据-取费表'!n"&amp;$G$1)))</f>
        <v>1</v>
      </c>
      <c r="G34" s="262" t="s">
        <v>2344</v>
      </c>
    </row>
    <row r="35" spans="1:7" ht="13.5" customHeight="1">
      <c r="A35" s="953" t="s">
        <v>794</v>
      </c>
      <c r="B35" s="258" t="s">
        <v>2345</v>
      </c>
      <c r="C35" s="263">
        <f ca="1">ROUND(C34*F35,0)</f>
        <v>172</v>
      </c>
      <c r="D35" s="263"/>
      <c r="E35" s="263"/>
      <c r="F35" s="302">
        <f>'数据-取费表'!B33</f>
        <v>0.05</v>
      </c>
      <c r="G35" s="262" t="s">
        <v>2346</v>
      </c>
    </row>
    <row r="36" spans="1:7" ht="24">
      <c r="A36" s="953" t="s">
        <v>795</v>
      </c>
      <c r="B36" s="258" t="s">
        <v>2347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2348</v>
      </c>
    </row>
    <row r="37" spans="1:7" s="301" customFormat="1" ht="13.5" customHeight="1">
      <c r="A37" s="953" t="s">
        <v>796</v>
      </c>
      <c r="B37" s="258" t="s">
        <v>2349</v>
      </c>
      <c r="C37" s="292">
        <f ca="1">ROUND(E37*D37*F34/10000,0)</f>
        <v>242</v>
      </c>
      <c r="D37" s="260">
        <f ca="1">D19</f>
        <v>12111.68</v>
      </c>
      <c r="E37" s="292">
        <f>'数据-取费表'!B35</f>
        <v>200</v>
      </c>
      <c r="F37" s="302"/>
      <c r="G37" s="304" t="s">
        <v>2350</v>
      </c>
    </row>
    <row r="38" spans="1:7" ht="13.5" customHeight="1">
      <c r="A38" s="953" t="s">
        <v>797</v>
      </c>
      <c r="B38" s="258" t="s">
        <v>2351</v>
      </c>
      <c r="C38" s="263">
        <f ca="1">ROUND(C34*F38,0)</f>
        <v>51</v>
      </c>
      <c r="D38" s="263"/>
      <c r="E38" s="263"/>
      <c r="F38" s="302">
        <f>'数据-取费表'!B36</f>
        <v>1.4999999999999999E-2</v>
      </c>
      <c r="G38" s="262" t="s">
        <v>2346</v>
      </c>
    </row>
    <row r="39" spans="1:7" s="257" customFormat="1" ht="13.5" customHeight="1">
      <c r="A39" s="298" t="s">
        <v>2352</v>
      </c>
      <c r="B39" s="253" t="s">
        <v>2353</v>
      </c>
      <c r="C39" s="275">
        <f ca="1">ROUND(C33*F20,0)</f>
        <v>117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191</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ROUND(IF('数据-取费表'!B22&lt;=1,C33*F22*'数据-取费表'!B21/2,C33*(POWER((1+F22),'数据-取费表'!B21/2)-1)),0)</f>
        <v>185</v>
      </c>
      <c r="D42" s="281"/>
      <c r="E42" s="281"/>
      <c r="F42" s="282"/>
      <c r="G42" s="3202" t="s">
        <v>2362</v>
      </c>
    </row>
    <row r="43" spans="1:7" ht="13.5" customHeight="1">
      <c r="A43" s="953" t="s">
        <v>790</v>
      </c>
      <c r="B43" s="258" t="s">
        <v>2363</v>
      </c>
      <c r="C43" s="281">
        <f ca="1">ROUND(IF('数据-取费表'!B22&lt;=1,C39*F22*'数据-取费表'!B21/2,C39*(POWER((1+F22),'数据-取费表'!B21/2)-1)),0)</f>
        <v>6</v>
      </c>
      <c r="D43" s="281"/>
      <c r="E43" s="281"/>
      <c r="F43" s="282"/>
      <c r="G43" s="3203"/>
    </row>
    <row r="44" spans="1:7" ht="13.5" customHeight="1">
      <c r="A44" s="953" t="s">
        <v>791</v>
      </c>
      <c r="B44" s="258" t="s">
        <v>2364</v>
      </c>
      <c r="C44" s="281">
        <f ca="1">ROUND(IF('数据-取费表'!B22&lt;=1,C40*F22*'数据-取费表'!B21/2,C40*(POWER((1+F22),'数据-取费表'!B21/2)-1)),4)</f>
        <v>1E-3</v>
      </c>
      <c r="D44" s="281"/>
      <c r="E44" s="281"/>
      <c r="F44" s="282"/>
      <c r="G44" s="3204"/>
    </row>
    <row r="45" spans="1:7" s="257" customFormat="1" ht="13.5" customHeight="1">
      <c r="A45" s="298" t="s">
        <v>2365</v>
      </c>
      <c r="B45" s="287" t="s">
        <v>2331</v>
      </c>
      <c r="C45" s="288">
        <f ca="1">C46</f>
        <v>602</v>
      </c>
      <c r="D45" s="278">
        <f ca="1">C47</f>
        <v>3.0000000000000001E-3</v>
      </c>
      <c r="E45" s="279" t="s">
        <v>2357</v>
      </c>
      <c r="F45" s="289"/>
      <c r="G45" s="290" t="s">
        <v>2366</v>
      </c>
    </row>
    <row r="46" spans="1:7" s="257" customFormat="1" ht="13.5" customHeight="1">
      <c r="A46" s="953" t="s">
        <v>789</v>
      </c>
      <c r="B46" s="291" t="s">
        <v>2367</v>
      </c>
      <c r="C46" s="292">
        <f ca="1">ROUND((C33+C39)*F27,0)</f>
        <v>602</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1729">
        <f>ROUND(F30/(1+'数据-取费表'!C42),4)</f>
        <v>5.2400000000000002E-2</v>
      </c>
      <c r="D48" s="279" t="s">
        <v>2357</v>
      </c>
      <c r="E48" s="275"/>
      <c r="F48" s="280"/>
      <c r="G48" s="277" t="s">
        <v>2370</v>
      </c>
    </row>
    <row r="49" spans="1:7" ht="16.5" customHeight="1">
      <c r="A49" s="298" t="s">
        <v>2336</v>
      </c>
      <c r="B49" s="253" t="s">
        <v>2371</v>
      </c>
      <c r="C49" s="275">
        <f ca="1">ROUND((C33+C39+C41+C45)/(1-C40-D41-D45-C48),0)</f>
        <v>5202</v>
      </c>
      <c r="D49" s="275"/>
      <c r="E49" s="275"/>
      <c r="F49" s="307"/>
      <c r="G49" s="277" t="s">
        <v>2372</v>
      </c>
    </row>
    <row r="50" spans="1:7" s="301" customFormat="1" ht="24">
      <c r="A50" s="298" t="s">
        <v>2373</v>
      </c>
      <c r="B50" s="253" t="s">
        <v>2374</v>
      </c>
      <c r="C50" s="275"/>
      <c r="D50" s="275"/>
      <c r="E50" s="275"/>
      <c r="F50" s="307">
        <f>IF('数据-取费表'!B24=0,'数据-取费表'!N16,1)</f>
        <v>0.97</v>
      </c>
      <c r="G50" s="290" t="s">
        <v>2375</v>
      </c>
    </row>
    <row r="51" spans="1:7" ht="16.5" customHeight="1">
      <c r="A51" s="298" t="s">
        <v>2376</v>
      </c>
      <c r="B51" s="253" t="s">
        <v>2377</v>
      </c>
      <c r="C51" s="275">
        <f ca="1">ROUND(C49*F50,0)</f>
        <v>5046</v>
      </c>
      <c r="D51" s="275"/>
      <c r="E51" s="275"/>
      <c r="F51" s="307"/>
      <c r="G51" s="277" t="s">
        <v>2378</v>
      </c>
    </row>
    <row r="52" spans="1:7" s="251" customFormat="1" ht="16.5" thickBot="1">
      <c r="A52" s="308" t="s">
        <v>2379</v>
      </c>
      <c r="B52" s="309"/>
      <c r="C52" s="310">
        <f ca="1">C31+C51</f>
        <v>11208</v>
      </c>
      <c r="D52" s="309"/>
      <c r="E52" s="309"/>
      <c r="F52" s="309"/>
      <c r="G52" s="311"/>
    </row>
    <row r="55" spans="1:7" ht="15">
      <c r="B55" s="313" t="s">
        <v>2380</v>
      </c>
      <c r="C55" s="314"/>
    </row>
    <row r="56" spans="1:7">
      <c r="B56" s="316" t="s">
        <v>1507</v>
      </c>
      <c r="C56" s="318">
        <f ca="1">1-C57</f>
        <v>0.55000000000000004</v>
      </c>
    </row>
    <row r="57" spans="1:7">
      <c r="B57" s="316" t="s">
        <v>1508</v>
      </c>
      <c r="C57" s="317">
        <f ca="1">ROUND(C51/C52,3)</f>
        <v>0.45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2279</v>
      </c>
      <c r="B1" s="1938"/>
      <c r="C1" s="2554" t="s">
        <v>2381</v>
      </c>
      <c r="D1" s="241"/>
      <c r="E1" s="241"/>
      <c r="F1" s="241"/>
      <c r="G1" s="1381">
        <f>MATCH(B1,'数据-取费表'!A6:A16,0)+5</f>
        <v>8</v>
      </c>
      <c r="H1" s="1284" t="str">
        <f>IF(ISERROR(FIND("住宅",B1)),"非住宅","住宅")</f>
        <v>非住宅</v>
      </c>
    </row>
    <row r="2" spans="1:8" s="243" customFormat="1" ht="18" customHeight="1">
      <c r="A2" s="244" t="s">
        <v>2280</v>
      </c>
      <c r="B2" s="245">
        <f ca="1">ROUND(IF(D2="——",C52/10000,C52/10000-E2),0)</f>
        <v>5446</v>
      </c>
      <c r="C2" s="242" t="s">
        <v>2281</v>
      </c>
      <c r="D2" s="2548" t="s">
        <v>69</v>
      </c>
      <c r="E2" s="1442" t="e">
        <f ca="1">SUMIF(INDIRECT("'"&amp;G2&amp;"'"&amp;"!A:A"),"承租人权益价值",INDIRECT("'"&amp;G2&amp;"'"&amp;"!c:c"))</f>
        <v>#REF!</v>
      </c>
      <c r="F2" s="2549" t="s">
        <v>2281</v>
      </c>
      <c r="G2" s="2550"/>
    </row>
    <row r="3" spans="1:8" s="243" customFormat="1" ht="18" customHeight="1" thickBot="1">
      <c r="A3" s="246" t="s">
        <v>2282</v>
      </c>
      <c r="B3" s="247">
        <f ca="1">ROUND(B2*10000/(IF(B1="",'数据-汇总表'!E3,INDIRECT("'数据-取费表'!k"&amp;$G$1))),0)</f>
        <v>4496</v>
      </c>
      <c r="C3" s="242" t="s">
        <v>2283</v>
      </c>
      <c r="D3" s="242"/>
      <c r="E3" s="242"/>
      <c r="F3" s="242"/>
      <c r="G3" s="242"/>
    </row>
    <row r="4" spans="1:8" s="251" customFormat="1" ht="15.75">
      <c r="A4" s="248" t="s">
        <v>2284</v>
      </c>
      <c r="B4" s="249"/>
      <c r="C4" s="249"/>
      <c r="D4" s="249"/>
      <c r="E4" s="249"/>
      <c r="F4" s="249"/>
      <c r="G4" s="250"/>
    </row>
    <row r="5" spans="1:8" s="257" customFormat="1" ht="13.5" customHeight="1">
      <c r="A5" s="298" t="s">
        <v>2285</v>
      </c>
      <c r="B5" s="253" t="s">
        <v>2286</v>
      </c>
      <c r="C5" s="254">
        <f ca="1">C6+C7+C8</f>
        <v>463877</v>
      </c>
      <c r="D5" s="254" t="s">
        <v>2287</v>
      </c>
      <c r="E5" s="255" t="s">
        <v>2288</v>
      </c>
      <c r="F5" s="255" t="s">
        <v>2289</v>
      </c>
      <c r="G5" s="256"/>
    </row>
    <row r="6" spans="1:8" s="257" customFormat="1" ht="13.5" customHeight="1">
      <c r="A6" s="951" t="s">
        <v>2290</v>
      </c>
      <c r="B6" s="258" t="s">
        <v>2291</v>
      </c>
      <c r="C6" s="259"/>
      <c r="D6" s="260"/>
      <c r="E6" s="261"/>
      <c r="F6" s="261"/>
      <c r="G6" s="262"/>
    </row>
    <row r="7" spans="1:8" s="257" customFormat="1" ht="13.5" customHeight="1">
      <c r="A7" s="951" t="s">
        <v>2292</v>
      </c>
      <c r="B7" s="258" t="s">
        <v>2293</v>
      </c>
      <c r="C7" s="263">
        <f>ROUND(C6*F7,0)</f>
        <v>0</v>
      </c>
      <c r="D7" s="263"/>
      <c r="E7" s="261"/>
      <c r="F7" s="264">
        <f>'数据-取费表'!B48+'数据-取费表'!B49</f>
        <v>4.0500000000000001E-2</v>
      </c>
      <c r="G7" s="262"/>
    </row>
    <row r="8" spans="1:8" s="266" customFormat="1">
      <c r="A8" s="951" t="s">
        <v>2294</v>
      </c>
      <c r="B8" s="258" t="s">
        <v>2295</v>
      </c>
      <c r="C8" s="263">
        <f ca="1">IF(G8="已包含在土地购买价格中",0,C9+C10)</f>
        <v>463877</v>
      </c>
      <c r="D8" s="265"/>
      <c r="E8" s="263"/>
      <c r="F8" s="264"/>
      <c r="G8" s="2551"/>
    </row>
    <row r="9" spans="1:8" s="257" customFormat="1" ht="13.5" customHeight="1">
      <c r="A9" s="952" t="s">
        <v>798</v>
      </c>
      <c r="B9" s="267" t="s">
        <v>2296</v>
      </c>
      <c r="C9" s="268">
        <f ca="1">ROUND(D9*E9,0)</f>
        <v>0</v>
      </c>
      <c r="D9" s="1034">
        <f ca="1">IF(B1="",'数据-汇总表'!E5,IF(INDIRECT("'数据-取费表'!c"&amp;$G$1)="住宅",INDIRECT("'数据-取费表'!k"&amp;$G$1),0))</f>
        <v>0</v>
      </c>
      <c r="E9" s="268">
        <f>'数据-取费表'!B27</f>
        <v>58.3</v>
      </c>
      <c r="F9" s="264"/>
      <c r="G9" s="269"/>
    </row>
    <row r="10" spans="1:8" s="257" customFormat="1" ht="13.5" customHeight="1">
      <c r="A10" s="952" t="s">
        <v>799</v>
      </c>
      <c r="B10" s="267" t="s">
        <v>2298</v>
      </c>
      <c r="C10" s="268">
        <f ca="1">ROUND(D10*E10,0)</f>
        <v>463877</v>
      </c>
      <c r="D10" s="1034">
        <f ca="1">IF(B1="",'数据-汇总表'!E6,IF(INDIRECT("'数据-取费表'!c"&amp;$G$1)="住宅",INDIRECT("'数据-取费表'!s"&amp;$G$1),INDIRECT("'数据-取费表'!k"&amp;$G$1)+INDIRECT("'数据-取费表'!s"&amp;$G$1)))</f>
        <v>12111.68</v>
      </c>
      <c r="E10" s="268">
        <f>'数据-取费表'!B28</f>
        <v>38.299999999999997</v>
      </c>
      <c r="F10" s="264"/>
      <c r="G10" s="269"/>
    </row>
    <row r="11" spans="1:8" s="257" customFormat="1" ht="13.5" hidden="1" customHeight="1">
      <c r="A11" s="270" t="s">
        <v>7</v>
      </c>
      <c r="B11" s="258" t="s">
        <v>2299</v>
      </c>
      <c r="C11" s="254"/>
      <c r="D11" s="1036"/>
      <c r="E11" s="261"/>
      <c r="F11" s="261"/>
      <c r="G11" s="262"/>
    </row>
    <row r="12" spans="1:8" s="257" customFormat="1" ht="13.5" hidden="1" customHeight="1">
      <c r="A12" s="270" t="s">
        <v>8</v>
      </c>
      <c r="B12" s="258" t="s">
        <v>2382</v>
      </c>
      <c r="C12" s="254">
        <v>0</v>
      </c>
      <c r="D12" s="1036"/>
      <c r="E12" s="271"/>
      <c r="F12" s="264">
        <v>3.0499999999999999E-2</v>
      </c>
      <c r="G12" s="262"/>
    </row>
    <row r="13" spans="1:8" s="257" customFormat="1" ht="13.5" hidden="1" customHeight="1">
      <c r="A13" s="270" t="s">
        <v>9</v>
      </c>
      <c r="B13" s="258" t="s">
        <v>2383</v>
      </c>
      <c r="C13" s="254"/>
      <c r="D13" s="1036"/>
      <c r="E13" s="261"/>
      <c r="F13" s="261"/>
      <c r="G13" s="262"/>
    </row>
    <row r="14" spans="1:8" s="257" customFormat="1" ht="13.5" hidden="1" customHeight="1">
      <c r="A14" s="270" t="s">
        <v>10</v>
      </c>
      <c r="B14" s="258" t="s">
        <v>2295</v>
      </c>
      <c r="C14" s="254"/>
      <c r="D14" s="1036"/>
      <c r="E14" s="261"/>
      <c r="F14" s="261"/>
      <c r="G14" s="262" t="s">
        <v>2384</v>
      </c>
    </row>
    <row r="15" spans="1:8" s="257" customFormat="1" ht="13.5" hidden="1" customHeight="1">
      <c r="A15" s="270" t="s">
        <v>11</v>
      </c>
      <c r="B15" s="258" t="s">
        <v>2385</v>
      </c>
      <c r="C15" s="263"/>
      <c r="D15" s="1036"/>
      <c r="E15" s="261"/>
      <c r="F15" s="261"/>
      <c r="G15" s="262" t="s">
        <v>2386</v>
      </c>
    </row>
    <row r="16" spans="1:8" s="257" customFormat="1" ht="13.5" hidden="1" customHeight="1">
      <c r="A16" s="270" t="s">
        <v>12</v>
      </c>
      <c r="B16" s="258" t="s">
        <v>2295</v>
      </c>
      <c r="C16" s="263"/>
      <c r="D16" s="1036"/>
      <c r="E16" s="261"/>
      <c r="F16" s="261"/>
      <c r="G16" s="262"/>
    </row>
    <row r="17" spans="1:7" s="257" customFormat="1" ht="13.5" hidden="1" customHeight="1">
      <c r="A17" s="270" t="s">
        <v>13</v>
      </c>
      <c r="B17" s="258" t="s">
        <v>2387</v>
      </c>
      <c r="C17" s="272"/>
      <c r="D17" s="1037"/>
      <c r="E17" s="272"/>
      <c r="F17" s="272"/>
      <c r="G17" s="262" t="s">
        <v>2386</v>
      </c>
    </row>
    <row r="18" spans="1:7" s="257" customFormat="1" ht="13.5" hidden="1" customHeight="1">
      <c r="A18" s="270" t="s">
        <v>14</v>
      </c>
      <c r="B18" s="258" t="s">
        <v>2388</v>
      </c>
      <c r="C18" s="263">
        <v>0</v>
      </c>
      <c r="D18" s="1036"/>
      <c r="E18" s="261"/>
      <c r="F18" s="264">
        <v>3.0499999999999999E-2</v>
      </c>
      <c r="G18" s="262" t="s">
        <v>2389</v>
      </c>
    </row>
    <row r="19" spans="1:7" s="266" customFormat="1" ht="13.5" customHeight="1">
      <c r="A19" s="298" t="s">
        <v>2390</v>
      </c>
      <c r="B19" s="253" t="s">
        <v>2391</v>
      </c>
      <c r="C19" s="254">
        <f ca="1">IF(G19="已包含在土地取得成本中","0",ROUND(D19*E19,0))</f>
        <v>2422336</v>
      </c>
      <c r="D19" s="1038">
        <f ca="1">D9+D10</f>
        <v>12111.68</v>
      </c>
      <c r="E19" s="254">
        <f>'数据-取费表'!B31</f>
        <v>200</v>
      </c>
      <c r="F19" s="274"/>
      <c r="G19" s="2551"/>
    </row>
    <row r="20" spans="1:7" s="257" customFormat="1" ht="13.5" customHeight="1">
      <c r="A20" s="298" t="s">
        <v>2392</v>
      </c>
      <c r="B20" s="253" t="s">
        <v>2393</v>
      </c>
      <c r="C20" s="275">
        <f ca="1">ROUND((C5+C19)*F20,0)</f>
        <v>86586</v>
      </c>
      <c r="D20" s="275"/>
      <c r="E20" s="275"/>
      <c r="F20" s="276">
        <f>'数据-取费表'!B37</f>
        <v>0.03</v>
      </c>
      <c r="G20" s="277" t="s">
        <v>2394</v>
      </c>
    </row>
    <row r="21" spans="1:7" s="257" customFormat="1" ht="13.5" customHeight="1">
      <c r="A21" s="298" t="s">
        <v>2395</v>
      </c>
      <c r="B21" s="253" t="s">
        <v>2396</v>
      </c>
      <c r="C21" s="278">
        <f>F21</f>
        <v>0.02</v>
      </c>
      <c r="D21" s="279" t="s">
        <v>2397</v>
      </c>
      <c r="E21" s="275"/>
      <c r="F21" s="276">
        <f>'数据-取费表'!B38</f>
        <v>0.02</v>
      </c>
      <c r="G21" s="277" t="s">
        <v>2398</v>
      </c>
    </row>
    <row r="22" spans="1:7" s="257" customFormat="1" ht="13.5" customHeight="1">
      <c r="A22" s="298" t="s">
        <v>2399</v>
      </c>
      <c r="B22" s="253" t="s">
        <v>2400</v>
      </c>
      <c r="C22" s="1382">
        <f ca="1">ROUND(SUM(C23:C25),0)</f>
        <v>284815</v>
      </c>
      <c r="D22" s="278">
        <f ca="1">C26</f>
        <v>1E-3</v>
      </c>
      <c r="E22" s="279" t="s">
        <v>2397</v>
      </c>
      <c r="F22" s="280">
        <f ca="1">'数据-取费表'!B40</f>
        <v>4.7500000000000001E-2</v>
      </c>
      <c r="G22" s="277" t="str">
        <f>IF('数据-取费表'!B22&lt;=1,"单利计息","复利计息")</f>
        <v>复利计息</v>
      </c>
    </row>
    <row r="23" spans="1:7" s="257" customFormat="1" ht="13.5" customHeight="1">
      <c r="A23" s="953" t="s">
        <v>2290</v>
      </c>
      <c r="B23" s="258" t="s">
        <v>2401</v>
      </c>
      <c r="C23" s="1383">
        <f ca="1">ROUND(IF('数据-取费表'!B22&lt;=1,C5*F22*'数据-取费表'!B22,C5*(POWER((1+F22),'数据-取费表'!B22)-1)),0)</f>
        <v>45115</v>
      </c>
      <c r="D23" s="281"/>
      <c r="E23" s="281"/>
      <c r="F23" s="282"/>
      <c r="G23" s="283" t="s">
        <v>2402</v>
      </c>
    </row>
    <row r="24" spans="1:7" s="257" customFormat="1" ht="13.5" customHeight="1">
      <c r="A24" s="953" t="s">
        <v>2292</v>
      </c>
      <c r="B24" s="258" t="s">
        <v>2403</v>
      </c>
      <c r="C24" s="1383">
        <f ca="1">ROUND(IF('数据-取费表'!B22&lt;=1,C19*F22*('数据-取费表'!B19/2+'数据-取费表'!B20),C19*(POWER((1+F22),('数据-取费表'!B19/2+'数据-取费表'!B20))-1)),0)</f>
        <v>235587</v>
      </c>
      <c r="D24" s="281"/>
      <c r="E24" s="281"/>
      <c r="F24" s="282"/>
      <c r="G24" s="283" t="s">
        <v>2404</v>
      </c>
    </row>
    <row r="25" spans="1:7" s="257" customFormat="1" ht="24">
      <c r="A25" s="953" t="s">
        <v>2294</v>
      </c>
      <c r="B25" s="258" t="s">
        <v>2405</v>
      </c>
      <c r="C25" s="1383">
        <f ca="1">ROUND(IF('数据-取费表'!B22&lt;=1,C20*F22*'数据-取费表'!B22/2,C20*(POWER((1+F22),'数据-取费表'!B22/2)-1)),0)</f>
        <v>4113</v>
      </c>
      <c r="D25" s="281"/>
      <c r="E25" s="284"/>
      <c r="F25" s="282"/>
      <c r="G25" s="285" t="s">
        <v>2406</v>
      </c>
    </row>
    <row r="26" spans="1:7" s="257" customFormat="1">
      <c r="A26" s="953" t="s">
        <v>793</v>
      </c>
      <c r="B26" s="258" t="s">
        <v>2329</v>
      </c>
      <c r="C26" s="281">
        <f ca="1">ROUND(IF('数据-取费表'!B22&lt;=1,F21*F22*'数据-取费表'!B22/2,F21*(POWER((1+F22),'数据-取费表'!B22/2)-1)),4)</f>
        <v>1E-3</v>
      </c>
      <c r="D26" s="281"/>
      <c r="E26" s="284"/>
      <c r="F26" s="282"/>
      <c r="G26" s="286"/>
    </row>
    <row r="27" spans="1:7" s="257" customFormat="1" ht="24.75">
      <c r="A27" s="298" t="s">
        <v>2330</v>
      </c>
      <c r="B27" s="287" t="s">
        <v>2331</v>
      </c>
      <c r="C27" s="288">
        <f ca="1">C28</f>
        <v>445920</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ROUND((C5+C19+C20)*F27,0)</f>
        <v>445920</v>
      </c>
      <c r="D28" s="278"/>
      <c r="E28" s="279"/>
      <c r="F28" s="289"/>
      <c r="G28" s="290"/>
    </row>
    <row r="29" spans="1:7" s="257" customFormat="1" ht="13.5" customHeight="1">
      <c r="A29" s="953" t="s">
        <v>790</v>
      </c>
      <c r="B29" s="291" t="s">
        <v>2335</v>
      </c>
      <c r="C29" s="281">
        <f ca="1">ROUND(C21*F27,4)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4009890</v>
      </c>
      <c r="D31" s="273"/>
      <c r="E31" s="254"/>
      <c r="F31" s="293"/>
      <c r="G31" s="277" t="s">
        <v>2340</v>
      </c>
    </row>
    <row r="32" spans="1:7" s="251" customFormat="1" ht="15.75">
      <c r="A32" s="295" t="s">
        <v>2407</v>
      </c>
      <c r="B32" s="296"/>
      <c r="C32" s="296"/>
      <c r="D32" s="296"/>
      <c r="E32" s="296"/>
      <c r="F32" s="296"/>
      <c r="G32" s="297"/>
    </row>
    <row r="33" spans="1:7" s="257" customFormat="1" ht="13.5" customHeight="1">
      <c r="A33" s="298" t="s">
        <v>780</v>
      </c>
      <c r="B33" s="253" t="s">
        <v>2408</v>
      </c>
      <c r="C33" s="299">
        <f ca="1">SUM(C34:C38)</f>
        <v>38945244</v>
      </c>
      <c r="D33" s="275"/>
      <c r="E33" s="255"/>
      <c r="F33" s="284"/>
      <c r="G33" s="277"/>
    </row>
    <row r="34" spans="1:7" s="301" customFormat="1" ht="13.5" customHeight="1">
      <c r="A34" s="953" t="s">
        <v>789</v>
      </c>
      <c r="B34" s="258" t="s">
        <v>2343</v>
      </c>
      <c r="C34" s="263">
        <f ca="1">ROUND(IF(B1="",SUMPRODUCT('数据-取费表'!K6:K14,'数据-取费表'!L6:L14),INDIRECT("'数据-取费表'!l"&amp;$G$1)*INDIRECT("'数据-取费表'!k"&amp;$G$1)+'数据-取费表'!L14*INDIRECT("'数据-取费表'!S"&amp;$G$1)),0)</f>
        <v>34293810</v>
      </c>
      <c r="D34" s="260"/>
      <c r="E34" s="263"/>
      <c r="F34" s="300"/>
      <c r="G34" s="262"/>
    </row>
    <row r="35" spans="1:7" ht="13.5" customHeight="1">
      <c r="A35" s="953" t="s">
        <v>794</v>
      </c>
      <c r="B35" s="258" t="s">
        <v>2345</v>
      </c>
      <c r="C35" s="263">
        <f ca="1">ROUND(C34*F35,0)</f>
        <v>1714691</v>
      </c>
      <c r="D35" s="263"/>
      <c r="E35" s="263"/>
      <c r="F35" s="302">
        <f>'数据-取费表'!B33</f>
        <v>0.05</v>
      </c>
      <c r="G35" s="262" t="s">
        <v>2346</v>
      </c>
    </row>
    <row r="36" spans="1:7" ht="24">
      <c r="A36" s="953" t="s">
        <v>795</v>
      </c>
      <c r="B36" s="258" t="s">
        <v>2347</v>
      </c>
      <c r="C36" s="263">
        <f ca="1">ROUND(IF(B1="",SUM('数据-取费表'!AP6:AP13)*F36,IF(INDIRECT("'数据-取费表'!c"&amp;$G$1)="住宅",INDIRECT("'数据-取费表'!k"&amp;$G$1)*INDIRECT("'数据-取费表'!l"&amp;$G$1)*F36,0)),0)</f>
        <v>0</v>
      </c>
      <c r="D36" s="263"/>
      <c r="E36" s="263"/>
      <c r="F36" s="302">
        <f>'数据-取费表'!B34</f>
        <v>0</v>
      </c>
      <c r="G36" s="303" t="s">
        <v>2348</v>
      </c>
    </row>
    <row r="37" spans="1:7" s="301" customFormat="1" ht="13.5" customHeight="1">
      <c r="A37" s="953" t="s">
        <v>796</v>
      </c>
      <c r="B37" s="258" t="s">
        <v>2349</v>
      </c>
      <c r="C37" s="292">
        <f ca="1">ROUND(E37*D37,0)</f>
        <v>2422336</v>
      </c>
      <c r="D37" s="260">
        <f ca="1">D19</f>
        <v>12111.68</v>
      </c>
      <c r="E37" s="292">
        <f>'数据-取费表'!B35</f>
        <v>200</v>
      </c>
      <c r="F37" s="302"/>
      <c r="G37" s="304"/>
    </row>
    <row r="38" spans="1:7" ht="13.5" customHeight="1">
      <c r="A38" s="953" t="s">
        <v>797</v>
      </c>
      <c r="B38" s="258" t="s">
        <v>2351</v>
      </c>
      <c r="C38" s="263">
        <f ca="1">ROUND(C34*F38,0)</f>
        <v>514407</v>
      </c>
      <c r="D38" s="263"/>
      <c r="E38" s="263"/>
      <c r="F38" s="302">
        <f>'数据-取费表'!B36</f>
        <v>1.4999999999999999E-2</v>
      </c>
      <c r="G38" s="262" t="s">
        <v>2346</v>
      </c>
    </row>
    <row r="39" spans="1:7" s="257" customFormat="1" ht="13.5" customHeight="1">
      <c r="A39" s="298" t="s">
        <v>2352</v>
      </c>
      <c r="B39" s="253" t="s">
        <v>2353</v>
      </c>
      <c r="C39" s="275">
        <f ca="1">ROUND(C33*F20,0)</f>
        <v>1168357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1905396</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ROUND(IF('数据-取费表'!B22&lt;=1,C33*F22*'数据-取费表'!B20/2,C33*(POWER((1+F22),'数据-取费表'!B20/2)-1)),0)</f>
        <v>1849899</v>
      </c>
      <c r="D42" s="281"/>
      <c r="E42" s="281"/>
      <c r="F42" s="282"/>
      <c r="G42" s="3202" t="s">
        <v>2409</v>
      </c>
    </row>
    <row r="43" spans="1:7" ht="13.5" customHeight="1">
      <c r="A43" s="953" t="s">
        <v>790</v>
      </c>
      <c r="B43" s="258" t="s">
        <v>2363</v>
      </c>
      <c r="C43" s="281">
        <f ca="1">ROUND(IF('数据-取费表'!B22&lt;=1,C39*F22*'数据-取费表'!B20/2,C39*(POWER((1+F22),'数据-取费表'!B20/2)-1)),0)</f>
        <v>55497</v>
      </c>
      <c r="D43" s="281"/>
      <c r="E43" s="281"/>
      <c r="F43" s="282"/>
      <c r="G43" s="3203"/>
    </row>
    <row r="44" spans="1:7" ht="13.5" customHeight="1">
      <c r="A44" s="953" t="s">
        <v>791</v>
      </c>
      <c r="B44" s="258" t="s">
        <v>2364</v>
      </c>
      <c r="C44" s="281">
        <f ca="1">ROUND(IF('数据-取费表'!B22&lt;=1,C40*F22*'数据-取费表'!B20/2,C40*(POWER((1+F22),'数据-取费表'!B20/2)-1)),4)</f>
        <v>1E-3</v>
      </c>
      <c r="D44" s="281"/>
      <c r="E44" s="281"/>
      <c r="F44" s="282"/>
      <c r="G44" s="3204"/>
    </row>
    <row r="45" spans="1:7" s="257" customFormat="1" ht="13.5" customHeight="1">
      <c r="A45" s="298" t="s">
        <v>2365</v>
      </c>
      <c r="B45" s="287" t="s">
        <v>2331</v>
      </c>
      <c r="C45" s="288">
        <f ca="1">C46</f>
        <v>6017040</v>
      </c>
      <c r="D45" s="278">
        <f ca="1">C47</f>
        <v>3.0000000000000001E-3</v>
      </c>
      <c r="E45" s="279" t="s">
        <v>2357</v>
      </c>
      <c r="F45" s="289"/>
      <c r="G45" s="290" t="s">
        <v>2366</v>
      </c>
    </row>
    <row r="46" spans="1:7" s="257" customFormat="1" ht="13.5" customHeight="1">
      <c r="A46" s="953" t="s">
        <v>789</v>
      </c>
      <c r="B46" s="291" t="s">
        <v>2367</v>
      </c>
      <c r="C46" s="292">
        <f ca="1">ROUND((C33+C39)*F27,0)</f>
        <v>6017040</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305">
        <f>ROUND(F30/(1+'数据-取费表'!C42),4)</f>
        <v>5.2400000000000002E-2</v>
      </c>
      <c r="D48" s="279" t="s">
        <v>2357</v>
      </c>
      <c r="E48" s="275"/>
      <c r="F48" s="280"/>
      <c r="G48" s="277" t="s">
        <v>2370</v>
      </c>
    </row>
    <row r="49" spans="1:7" ht="16.5" customHeight="1">
      <c r="A49" s="298" t="s">
        <v>2336</v>
      </c>
      <c r="B49" s="253" t="s">
        <v>2410</v>
      </c>
      <c r="C49" s="275">
        <f ca="1">ROUND((C33+C39+C41+C45)/(1-C40-D41-D45-C48),0)</f>
        <v>52009568</v>
      </c>
      <c r="D49" s="275"/>
      <c r="E49" s="275"/>
      <c r="F49" s="307"/>
      <c r="G49" s="277" t="s">
        <v>2372</v>
      </c>
    </row>
    <row r="50" spans="1:7" s="301" customFormat="1">
      <c r="A50" s="298" t="s">
        <v>2373</v>
      </c>
      <c r="B50" s="253" t="s">
        <v>2374</v>
      </c>
      <c r="C50" s="275"/>
      <c r="D50" s="275"/>
      <c r="E50" s="275"/>
      <c r="F50" s="307">
        <f>IF('数据-取费表'!B24=0,'数据-取费表'!N16,1)</f>
        <v>0.97</v>
      </c>
      <c r="G50" s="290"/>
    </row>
    <row r="51" spans="1:7" ht="16.5" customHeight="1">
      <c r="A51" s="298" t="s">
        <v>2376</v>
      </c>
      <c r="B51" s="253" t="s">
        <v>2411</v>
      </c>
      <c r="C51" s="275">
        <f ca="1">ROUND(C49*F50,0)</f>
        <v>50449281</v>
      </c>
      <c r="D51" s="275"/>
      <c r="E51" s="275"/>
      <c r="F51" s="307"/>
      <c r="G51" s="277" t="s">
        <v>2378</v>
      </c>
    </row>
    <row r="52" spans="1:7" s="251" customFormat="1" ht="16.5" thickBot="1">
      <c r="A52" s="308" t="s">
        <v>2379</v>
      </c>
      <c r="B52" s="309"/>
      <c r="C52" s="310">
        <f ca="1">C31+C51</f>
        <v>54459171</v>
      </c>
      <c r="D52" s="309"/>
      <c r="E52" s="309"/>
      <c r="F52" s="309"/>
      <c r="G52" s="311"/>
    </row>
    <row r="55" spans="1:7" ht="15">
      <c r="B55" s="313" t="s">
        <v>2380</v>
      </c>
      <c r="C55" s="314"/>
    </row>
    <row r="56" spans="1:7">
      <c r="B56" s="316" t="s">
        <v>1507</v>
      </c>
      <c r="C56" s="318">
        <f ca="1">1-C57</f>
        <v>7.3999999999999955E-2</v>
      </c>
    </row>
    <row r="57" spans="1:7">
      <c r="B57" s="316" t="s">
        <v>1508</v>
      </c>
      <c r="C57" s="317">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2412</v>
      </c>
      <c r="B1" s="1582"/>
      <c r="C1" s="1583"/>
      <c r="D1" s="1581"/>
      <c r="E1" s="319"/>
      <c r="F1" s="319"/>
      <c r="G1" s="1582"/>
      <c r="H1" s="319"/>
      <c r="I1" s="319"/>
      <c r="J1" s="319"/>
      <c r="K1" s="319">
        <f>MATCH(C1,'数据-取费表'!A6:A16,0)+5</f>
        <v>8</v>
      </c>
    </row>
    <row r="2" spans="1:33" ht="18" customHeight="1">
      <c r="A2" s="244" t="s">
        <v>2280</v>
      </c>
      <c r="B2" s="247">
        <f ca="1">C32</f>
        <v>0</v>
      </c>
      <c r="C2" s="319" t="s">
        <v>2413</v>
      </c>
      <c r="D2" s="319"/>
      <c r="E2" s="319"/>
      <c r="F2" s="319"/>
      <c r="G2" s="319"/>
      <c r="H2" s="319"/>
      <c r="I2" s="319"/>
      <c r="J2" s="319"/>
      <c r="K2" s="319"/>
    </row>
    <row r="3" spans="1:33" ht="18" customHeight="1" thickBot="1">
      <c r="A3" s="246" t="s">
        <v>2282</v>
      </c>
      <c r="B3" s="247">
        <f ca="1">ROUND(B2*10000/IF(C1="",'数据-汇总表'!E3,INDIRECT("'数据-取费表'!K"&amp;$K$1)),0)</f>
        <v>0</v>
      </c>
      <c r="C3" s="319" t="s">
        <v>2414</v>
      </c>
      <c r="D3" s="319"/>
      <c r="E3" s="319"/>
      <c r="F3" s="319"/>
      <c r="G3" s="319"/>
      <c r="H3" s="319"/>
      <c r="I3" s="319"/>
      <c r="J3" s="319"/>
      <c r="K3" s="319"/>
    </row>
    <row r="4" spans="1:33" s="958" customFormat="1" ht="16.5" customHeight="1">
      <c r="A4" s="955" t="s">
        <v>2415</v>
      </c>
      <c r="B4" s="956"/>
      <c r="C4" s="998">
        <f>SUM(C8:K8)</f>
        <v>0</v>
      </c>
      <c r="D4" s="956"/>
      <c r="E4" s="956"/>
      <c r="F4" s="956"/>
      <c r="G4" s="956"/>
      <c r="H4" s="956"/>
      <c r="I4" s="956"/>
      <c r="J4" s="956"/>
      <c r="K4" s="957"/>
    </row>
    <row r="5" spans="1:33" s="962" customFormat="1" ht="24.75">
      <c r="A5" s="959" t="s">
        <v>2416</v>
      </c>
      <c r="B5" s="960" t="s">
        <v>2417</v>
      </c>
      <c r="C5" s="2555" t="s">
        <v>2418</v>
      </c>
      <c r="D5" s="2555" t="s">
        <v>2419</v>
      </c>
      <c r="E5" s="2555" t="s">
        <v>2420</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39" t="s">
        <v>2421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2422</v>
      </c>
      <c r="B7" s="139" t="s">
        <v>2423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2424</v>
      </c>
      <c r="B8" s="176" t="s">
        <v>2425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2426</v>
      </c>
      <c r="B9" s="956"/>
      <c r="C9" s="956"/>
      <c r="D9" s="956"/>
      <c r="E9" s="956"/>
      <c r="F9" s="956"/>
      <c r="G9" s="956"/>
      <c r="H9" s="956"/>
      <c r="I9" s="956"/>
      <c r="J9" s="956"/>
      <c r="K9" s="957"/>
    </row>
    <row r="10" spans="1:33" s="972" customFormat="1" ht="13.5" customHeight="1">
      <c r="A10" s="959" t="s">
        <v>2427</v>
      </c>
      <c r="B10" s="8" t="s">
        <v>2428</v>
      </c>
      <c r="C10" s="968" t="s">
        <v>2429</v>
      </c>
      <c r="D10" s="969" t="s">
        <v>2430</v>
      </c>
      <c r="E10" s="969" t="s">
        <v>2431</v>
      </c>
      <c r="F10" s="969" t="s">
        <v>2432</v>
      </c>
      <c r="G10" s="8"/>
      <c r="H10" s="970"/>
      <c r="I10" s="970"/>
      <c r="J10" s="970"/>
      <c r="K10" s="971"/>
    </row>
    <row r="11" spans="1:33" s="977" customFormat="1" ht="13.5" customHeight="1">
      <c r="A11" s="973" t="s">
        <v>1329</v>
      </c>
      <c r="B11" s="974" t="s">
        <v>2433</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1330</v>
      </c>
      <c r="B12" s="974" t="s">
        <v>2434</v>
      </c>
      <c r="C12" s="23">
        <f ca="1">ROUND(C11*F12,0)</f>
        <v>0</v>
      </c>
      <c r="D12" s="975"/>
      <c r="E12" s="374"/>
      <c r="F12" s="978">
        <f>'数据-取费表'!B33</f>
        <v>0.05</v>
      </c>
      <c r="G12" s="8" t="s">
        <v>2435</v>
      </c>
      <c r="H12" s="970"/>
      <c r="I12" s="970"/>
      <c r="J12" s="970"/>
      <c r="K12" s="971"/>
    </row>
    <row r="13" spans="1:33" s="977" customFormat="1" ht="13.5" customHeight="1">
      <c r="A13" s="973" t="s">
        <v>1331</v>
      </c>
      <c r="B13" s="974" t="s">
        <v>2436</v>
      </c>
      <c r="C13" s="23">
        <f ca="1">ROUND(IF(C1="",SUMIF('数据-取费表'!C:C,"住宅",'数据-取费表'!P:P)*F13,IF(INDIRECT("'数据-取费表'!c"&amp;$K$1)="住宅",INDIRECT("'数据-取费表'!P"&amp;$K$1)*F13,0)),0)</f>
        <v>0</v>
      </c>
      <c r="D13" s="1035"/>
      <c r="E13" s="374"/>
      <c r="F13" s="978">
        <f>'数据-取费表'!B34</f>
        <v>0</v>
      </c>
      <c r="G13" s="8" t="s">
        <v>2437</v>
      </c>
      <c r="H13" s="970"/>
      <c r="I13" s="970"/>
      <c r="J13" s="970"/>
      <c r="K13" s="971"/>
    </row>
    <row r="14" spans="1:33" s="979" customFormat="1" ht="13.5" customHeight="1">
      <c r="A14" s="973" t="s">
        <v>1332</v>
      </c>
      <c r="B14" s="974" t="s">
        <v>2438</v>
      </c>
      <c r="C14" s="23">
        <f ca="1">ROUND(D14*E14*F11/10000,0)</f>
        <v>0</v>
      </c>
      <c r="D14" s="1035">
        <f ca="1">IF(C1="",'数据-汇总表'!E3,INDIRECT("'数据-取费表'!K"&amp;$K$1)+INDIRECT("'数据-取费表'!S"&amp;$K$1))</f>
        <v>12111.68</v>
      </c>
      <c r="E14" s="23">
        <f>'数据-取费表'!B35</f>
        <v>200</v>
      </c>
      <c r="F14" s="978"/>
      <c r="G14" s="8" t="s">
        <v>2439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1333</v>
      </c>
      <c r="B15" s="974" t="s">
        <v>2440</v>
      </c>
      <c r="C15" s="985">
        <f ca="1">ROUND(C11*F15,0)</f>
        <v>0</v>
      </c>
      <c r="D15" s="980"/>
      <c r="E15" s="985"/>
      <c r="F15" s="986">
        <f>'数据-取费表'!B36</f>
        <v>1.4999999999999999E-2</v>
      </c>
      <c r="G15" s="139" t="s">
        <v>2441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2442</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2443</v>
      </c>
      <c r="C17" s="23">
        <f ca="1">ROUND(D17*E17/10000,0)</f>
        <v>0</v>
      </c>
      <c r="D17" s="1035">
        <f ca="1">D14</f>
        <v>12111.68</v>
      </c>
      <c r="E17" s="23">
        <f>'数据-取费表'!B32</f>
        <v>0</v>
      </c>
      <c r="F17" s="980"/>
      <c r="G17" s="139" t="s">
        <v>2444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1334</v>
      </c>
      <c r="B18" s="974" t="s">
        <v>2445</v>
      </c>
      <c r="C18" s="23">
        <f ca="1">C19+C20-IF(C1="",'数据-取费表'!B29,IF(G18="已全部缴纳",C19+C20,H18))</f>
        <v>0</v>
      </c>
      <c r="D18" s="1035"/>
      <c r="E18" s="23"/>
      <c r="F18" s="978"/>
      <c r="G18" s="2557"/>
      <c r="H18" s="1578"/>
      <c r="I18" s="2558" t="s">
        <v>2446</v>
      </c>
      <c r="J18" s="981"/>
      <c r="K18" s="982"/>
    </row>
    <row r="19" spans="1:33" s="977" customFormat="1" ht="13.5" customHeight="1">
      <c r="A19" s="973" t="s">
        <v>803</v>
      </c>
      <c r="B19" s="974" t="s">
        <v>2447</v>
      </c>
      <c r="C19" s="23">
        <f ca="1">ROUND(D19*E19/10000,0)</f>
        <v>0</v>
      </c>
      <c r="D19" s="1035">
        <f ca="1">IF(C1="",'数据-汇总表'!E5,IF(INDIRECT("'数据-取费表'!c"&amp;$K$1)="住宅",INDIRECT("'数据-取费表'!k"&amp;$K$1),0))</f>
        <v>0</v>
      </c>
      <c r="E19" s="23">
        <f>'数据-取费表'!B27</f>
        <v>58.3</v>
      </c>
      <c r="F19" s="978"/>
      <c r="G19" s="14"/>
      <c r="H19" s="1580"/>
      <c r="I19" s="983"/>
      <c r="J19" s="983"/>
      <c r="K19" s="984"/>
    </row>
    <row r="20" spans="1:33" s="977" customFormat="1" ht="13.5" customHeight="1">
      <c r="A20" s="973" t="s">
        <v>804</v>
      </c>
      <c r="B20" s="974" t="s">
        <v>2448</v>
      </c>
      <c r="C20" s="23">
        <f ca="1">ROUND(D20*E20/10000,0)</f>
        <v>46</v>
      </c>
      <c r="D20" s="1035">
        <f ca="1">IF(C1="",'数据-汇总表'!E6,IF(INDIRECT("'数据-取费表'!c"&amp;$K$1)="住宅",INDIRECT("'数据-取费表'!s"&amp;$K$1),INDIRECT("'数据-取费表'!k"&amp;$K$1)+INDIRECT("'数据-取费表'!s"&amp;$K$1)))</f>
        <v>12111.68</v>
      </c>
      <c r="E20" s="23">
        <f>'数据-取费表'!B28</f>
        <v>38.299999999999997</v>
      </c>
      <c r="F20" s="978"/>
      <c r="G20" s="14"/>
      <c r="H20" s="983"/>
      <c r="I20" s="983"/>
      <c r="J20" s="983"/>
      <c r="K20" s="984"/>
    </row>
    <row r="21" spans="1:33" s="977" customFormat="1" ht="13.5" customHeight="1">
      <c r="A21" s="963" t="s">
        <v>800</v>
      </c>
      <c r="B21" s="987" t="s">
        <v>2449</v>
      </c>
      <c r="C21" s="988">
        <f ca="1">C16+C17+C18</f>
        <v>0</v>
      </c>
      <c r="D21" s="989"/>
      <c r="E21" s="324"/>
      <c r="F21" s="324"/>
      <c r="G21" s="139" t="s">
        <v>2450</v>
      </c>
      <c r="H21" s="981"/>
      <c r="I21" s="981"/>
      <c r="J21" s="981"/>
      <c r="K21" s="982"/>
    </row>
    <row r="22" spans="1:33" s="977" customFormat="1" ht="13.5" customHeight="1">
      <c r="A22" s="963" t="s">
        <v>2422</v>
      </c>
      <c r="B22" s="987" t="s">
        <v>2451</v>
      </c>
      <c r="C22" s="988">
        <f ca="1">ROUND(C21*F22,0)</f>
        <v>0</v>
      </c>
      <c r="D22" s="324"/>
      <c r="E22" s="324"/>
      <c r="F22" s="990">
        <f>'数据-取费表'!B37</f>
        <v>0.03</v>
      </c>
      <c r="G22" s="8" t="s">
        <v>2452</v>
      </c>
      <c r="H22" s="970"/>
      <c r="I22" s="970"/>
      <c r="J22" s="970"/>
      <c r="K22" s="971"/>
    </row>
    <row r="23" spans="1:33" s="977" customFormat="1" ht="13.5" customHeight="1">
      <c r="A23" s="963" t="s">
        <v>2424</v>
      </c>
      <c r="B23" s="987" t="s">
        <v>2453</v>
      </c>
      <c r="C23" s="988">
        <f ca="1">ROUND(C4*F23*F11,0)</f>
        <v>0</v>
      </c>
      <c r="D23" s="324"/>
      <c r="E23" s="324"/>
      <c r="F23" s="990">
        <f>'数据-取费表'!B38</f>
        <v>0.02</v>
      </c>
      <c r="G23" s="8" t="s">
        <v>2454</v>
      </c>
      <c r="H23" s="970"/>
      <c r="I23" s="970"/>
      <c r="J23" s="970"/>
      <c r="K23" s="971"/>
    </row>
    <row r="24" spans="1:33" s="977" customFormat="1" ht="13.5" customHeight="1">
      <c r="A24" s="963" t="s">
        <v>2455</v>
      </c>
      <c r="B24" s="987" t="s">
        <v>2456</v>
      </c>
      <c r="C24" s="323">
        <f>ROUND(F24/(1+'数据-取费表'!C42),4)</f>
        <v>3.8600000000000002E-2</v>
      </c>
      <c r="D24" s="324" t="s">
        <v>15</v>
      </c>
      <c r="E24" s="324"/>
      <c r="F24" s="990">
        <f>'数据-取费表'!B48+'数据-取费表'!B49</f>
        <v>4.0500000000000001E-2</v>
      </c>
      <c r="G24" s="8" t="s">
        <v>2457</v>
      </c>
      <c r="H24" s="992"/>
      <c r="I24" s="992"/>
      <c r="J24" s="992"/>
      <c r="K24" s="993"/>
    </row>
    <row r="25" spans="1:33" s="977" customFormat="1" ht="13.5" customHeight="1">
      <c r="A25" s="963" t="s">
        <v>2458</v>
      </c>
      <c r="B25" s="989" t="s">
        <v>2459</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2460</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2461</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2462</v>
      </c>
      <c r="B28" s="2560" t="s">
        <v>2463</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801</v>
      </c>
      <c r="B29" s="996" t="s">
        <v>2464</v>
      </c>
      <c r="C29" s="327">
        <f ca="1">ROUND((1+C24)*F28*'数据-取费表'!B24/'数据-取费表'!B20,4)</f>
        <v>0</v>
      </c>
      <c r="D29" s="327"/>
      <c r="E29" s="328"/>
      <c r="F29" s="333"/>
      <c r="G29" s="139" t="s">
        <v>2465</v>
      </c>
      <c r="H29" s="981"/>
      <c r="I29" s="981"/>
      <c r="J29" s="981"/>
      <c r="K29" s="982"/>
    </row>
    <row r="30" spans="1:33" s="334" customFormat="1" ht="13.5" customHeight="1">
      <c r="A30" s="973" t="s">
        <v>802</v>
      </c>
      <c r="B30" s="996" t="s">
        <v>2466</v>
      </c>
      <c r="C30" s="335">
        <f ca="1">ROUND((C21+C22+C23)*F28,0)</f>
        <v>0</v>
      </c>
      <c r="D30" s="327"/>
      <c r="E30" s="328"/>
      <c r="F30" s="333"/>
      <c r="G30" s="139"/>
      <c r="H30" s="981"/>
      <c r="I30" s="981"/>
      <c r="J30" s="981"/>
      <c r="K30" s="982"/>
    </row>
    <row r="31" spans="1:33" s="977" customFormat="1" ht="13.5" customHeight="1" thickBot="1">
      <c r="A31" s="2561" t="s">
        <v>2467</v>
      </c>
      <c r="B31" s="1007" t="s">
        <v>2468</v>
      </c>
      <c r="C31" s="1008">
        <f>ROUND(C4*F31/(1+'数据-取费表'!C42),0)</f>
        <v>0</v>
      </c>
      <c r="D31" s="1009"/>
      <c r="E31" s="1010"/>
      <c r="F31" s="1011">
        <f>'数据-取费表'!B41</f>
        <v>5.5000000000000007E-2</v>
      </c>
      <c r="G31" s="1012" t="s">
        <v>2469</v>
      </c>
      <c r="H31" s="1013"/>
      <c r="I31" s="1013"/>
      <c r="J31" s="1013"/>
      <c r="K31" s="1014"/>
    </row>
    <row r="32" spans="1:33" s="972" customFormat="1" ht="13.5" customHeight="1" thickBot="1">
      <c r="A32" s="1002" t="s">
        <v>2470</v>
      </c>
      <c r="B32" s="1003"/>
      <c r="C32" s="1004">
        <f ca="1">ROUND((C4-C21-C22-C23-C25-C28-C31)/(1+C24+D25+D28),0)</f>
        <v>0</v>
      </c>
      <c r="D32" s="1003"/>
      <c r="E32" s="1003"/>
      <c r="F32" s="1003"/>
      <c r="G32" s="1005" t="s">
        <v>2471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2479</v>
      </c>
      <c r="B1" s="2563"/>
      <c r="C1" s="2563"/>
      <c r="D1" s="2563"/>
      <c r="E1" s="2564"/>
    </row>
    <row r="2" spans="1:6" ht="15.75">
      <c r="A2" s="2565" t="s">
        <v>2280</v>
      </c>
      <c r="B2" s="2566">
        <f ca="1">SUMIF(B6:B13,"&lt;&gt;#ref!",B6:B13)</f>
        <v>19581</v>
      </c>
      <c r="C2" s="2567" t="s">
        <v>2472</v>
      </c>
      <c r="D2" s="2568" t="s">
        <v>2473</v>
      </c>
      <c r="E2" s="2569">
        <f>SUM(E6:E13)</f>
        <v>12111.68</v>
      </c>
    </row>
    <row r="3" spans="1:6" ht="15.75">
      <c r="A3" s="2565" t="s">
        <v>1390</v>
      </c>
      <c r="B3" s="2566">
        <f ca="1">ROUND(B2*10000/E2,0)</f>
        <v>16167</v>
      </c>
      <c r="C3" s="2567" t="s">
        <v>2480</v>
      </c>
      <c r="D3" s="2570"/>
      <c r="E3" s="2571"/>
    </row>
    <row r="4" spans="1:6" ht="15.75">
      <c r="A4" s="2572"/>
      <c r="B4" s="2570"/>
      <c r="C4" s="2570"/>
      <c r="D4" s="2570"/>
      <c r="E4" s="2571"/>
    </row>
    <row r="5" spans="1:6" ht="15">
      <c r="A5" s="2573" t="s">
        <v>2474</v>
      </c>
      <c r="B5" s="3205" t="s">
        <v>2475</v>
      </c>
      <c r="C5" s="3205"/>
      <c r="D5" s="2574"/>
      <c r="E5" s="2575" t="s">
        <v>2476</v>
      </c>
      <c r="F5" s="2576" t="s">
        <v>2477</v>
      </c>
    </row>
    <row r="6" spans="1:6">
      <c r="A6" s="2577" t="str">
        <f>'数据-取费表'!AN6</f>
        <v>收益法-酒店用房</v>
      </c>
      <c r="B6" s="2576">
        <f ca="1">IF(F6="是",'数据-取费表'!AO6,0)</f>
        <v>17607</v>
      </c>
      <c r="C6" s="2567" t="s">
        <v>2472</v>
      </c>
      <c r="D6" s="2570"/>
      <c r="E6" s="2578">
        <f>IF(OR(A6=0,F6="否"),0,'数据-取费表'!K6+'数据-取费表'!S6)</f>
        <v>10206.15</v>
      </c>
      <c r="F6" s="2579" t="s">
        <v>2478</v>
      </c>
    </row>
    <row r="7" spans="1:6">
      <c r="A7" s="2577" t="str">
        <f>'数据-取费表'!AN7</f>
        <v>收益法-商业用房</v>
      </c>
      <c r="B7" s="2576">
        <f ca="1">IF(F7="是",'数据-取费表'!AO7,0)</f>
        <v>1974</v>
      </c>
      <c r="C7" s="2567" t="s">
        <v>2472</v>
      </c>
      <c r="D7" s="2570"/>
      <c r="E7" s="2578">
        <f>IF(OR(A7=0,F7="否"),0,'数据-取费表'!K7+'数据-取费表'!S7)</f>
        <v>1905.53</v>
      </c>
      <c r="F7" s="2579" t="s">
        <v>2478</v>
      </c>
    </row>
    <row r="8" spans="1:6">
      <c r="A8" s="2577">
        <f>'数据-取费表'!AN8</f>
        <v>0</v>
      </c>
      <c r="B8" s="2576" t="e">
        <f ca="1">IF(F8="是",'数据-取费表'!AO8,0)</f>
        <v>#REF!</v>
      </c>
      <c r="C8" s="2567" t="s">
        <v>2472</v>
      </c>
      <c r="D8" s="2570"/>
      <c r="E8" s="2578">
        <f>IF(OR(A8=0,F8="否"),0,'数据-取费表'!K8+'数据-取费表'!S8)</f>
        <v>0</v>
      </c>
      <c r="F8" s="2579" t="s">
        <v>2478</v>
      </c>
    </row>
    <row r="9" spans="1:6">
      <c r="A9" s="2577">
        <f>'数据-取费表'!AN9</f>
        <v>0</v>
      </c>
      <c r="B9" s="2576" t="e">
        <f ca="1">IF(F9="是",'数据-取费表'!AO9,0)</f>
        <v>#REF!</v>
      </c>
      <c r="C9" s="2567" t="s">
        <v>2472</v>
      </c>
      <c r="D9" s="2570"/>
      <c r="E9" s="2578">
        <f>IF(OR(A9=0,F9="否"),0,'数据-取费表'!K9+'数据-取费表'!S9)</f>
        <v>0</v>
      </c>
      <c r="F9" s="2579" t="s">
        <v>2478</v>
      </c>
    </row>
    <row r="10" spans="1:6">
      <c r="A10" s="2577">
        <f>'数据-取费表'!AN10</f>
        <v>0</v>
      </c>
      <c r="B10" s="2576" t="e">
        <f ca="1">IF(F10="是",'数据-取费表'!AO10,0)</f>
        <v>#REF!</v>
      </c>
      <c r="C10" s="2567" t="s">
        <v>2472</v>
      </c>
      <c r="D10" s="2570"/>
      <c r="E10" s="2578">
        <f>IF(OR(A10=0,F10="否"),0,'数据-取费表'!K10+'数据-取费表'!S10)</f>
        <v>0</v>
      </c>
      <c r="F10" s="2579" t="s">
        <v>2478</v>
      </c>
    </row>
    <row r="11" spans="1:6">
      <c r="A11" s="2577">
        <f>'数据-取费表'!AN11</f>
        <v>0</v>
      </c>
      <c r="B11" s="2576" t="e">
        <f ca="1">IF(F11="是",'数据-取费表'!AO11,0)</f>
        <v>#REF!</v>
      </c>
      <c r="C11" s="2567" t="s">
        <v>2472</v>
      </c>
      <c r="D11" s="2570"/>
      <c r="E11" s="2578">
        <f>IF(OR(A11=0,F11="否"),0,'数据-取费表'!K11+'数据-取费表'!S11)</f>
        <v>0</v>
      </c>
      <c r="F11" s="2579" t="s">
        <v>2478</v>
      </c>
    </row>
    <row r="12" spans="1:6">
      <c r="A12" s="2577">
        <f>'数据-取费表'!AN12</f>
        <v>0</v>
      </c>
      <c r="B12" s="2576" t="e">
        <f ca="1">IF(F12="是",'数据-取费表'!AO12,0)</f>
        <v>#REF!</v>
      </c>
      <c r="C12" s="2567" t="s">
        <v>2472</v>
      </c>
      <c r="D12" s="2570"/>
      <c r="E12" s="2578">
        <f>IF(OR(A12=0,F12="否"),0,'数据-取费表'!K12+'数据-取费表'!S12)</f>
        <v>0</v>
      </c>
      <c r="F12" s="2579" t="s">
        <v>2478</v>
      </c>
    </row>
    <row r="13" spans="1:6" ht="15" thickBot="1">
      <c r="A13" s="2580">
        <f>'数据-取费表'!AN13</f>
        <v>0</v>
      </c>
      <c r="B13" s="2576" t="e">
        <f ca="1">IF(F13="是",'数据-取费表'!AO13,0)</f>
        <v>#REF!</v>
      </c>
      <c r="C13" s="2581" t="s">
        <v>2472</v>
      </c>
      <c r="D13" s="2582"/>
      <c r="E13" s="2578">
        <f>IF(OR(A13=0,F13="否"),0,'数据-取费表'!K13+'数据-取费表'!S13)</f>
        <v>0</v>
      </c>
      <c r="F13" s="2579"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1" sqref="D2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3021</v>
      </c>
      <c r="D1" s="1821" t="s">
        <v>69</v>
      </c>
      <c r="E1" s="1822" t="s">
        <v>1382</v>
      </c>
      <c r="F1" s="1285">
        <f ca="1">J53</f>
        <v>26.81</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1974</v>
      </c>
      <c r="C2" s="1846" t="s">
        <v>1510</v>
      </c>
      <c r="D2" s="1846"/>
      <c r="E2" s="1847"/>
      <c r="F2" s="1848"/>
      <c r="G2" s="1849"/>
      <c r="H2" s="1841"/>
      <c r="I2" s="1841"/>
      <c r="J2" s="1841"/>
      <c r="K2" s="1842"/>
      <c r="L2" s="1841"/>
      <c r="M2" s="1841"/>
    </row>
    <row r="3" spans="1:37" ht="18" customHeight="1" thickBot="1">
      <c r="A3" s="1850" t="s">
        <v>1511</v>
      </c>
      <c r="B3" s="1851">
        <f ca="1">IF(ISERROR(B2*10000/F43),0,ROUND(B2*10000/F43,0))</f>
        <v>10359</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125</v>
      </c>
      <c r="D5" s="1823" t="s">
        <v>1397</v>
      </c>
      <c r="E5" s="1295"/>
      <c r="F5" s="1296"/>
      <c r="G5" s="1852"/>
      <c r="H5" s="343">
        <v>1</v>
      </c>
      <c r="I5" s="344" t="s">
        <v>1396</v>
      </c>
      <c r="J5" s="1294">
        <f ca="1">J6+J10+J12</f>
        <v>188</v>
      </c>
      <c r="K5" s="1823" t="s">
        <v>1397</v>
      </c>
      <c r="L5" s="1295"/>
      <c r="M5" s="1296"/>
    </row>
    <row r="6" spans="1:37" ht="18" customHeight="1">
      <c r="A6" s="1293" t="s">
        <v>1033</v>
      </c>
      <c r="B6" s="3208" t="s">
        <v>1398</v>
      </c>
      <c r="C6" s="1298">
        <f ca="1">ROUND(F6*F8*F7*(1-F9)/10000,0)</f>
        <v>125</v>
      </c>
      <c r="D6" s="163" t="s">
        <v>2985</v>
      </c>
      <c r="E6" s="346" t="s">
        <v>1400</v>
      </c>
      <c r="F6" s="347">
        <f ca="1">INDIRECT("'数据-取费表'!u"&amp;$G$1)</f>
        <v>1.8</v>
      </c>
      <c r="G6" s="1852"/>
      <c r="H6" s="1293" t="s">
        <v>1033</v>
      </c>
      <c r="I6" s="3208" t="s">
        <v>1398</v>
      </c>
      <c r="J6" s="345">
        <f ca="1">ROUND(M6*M8*M7*(1-M9)/10000,0)</f>
        <v>188</v>
      </c>
      <c r="K6" s="163" t="s">
        <v>2984</v>
      </c>
      <c r="L6" s="346" t="s">
        <v>1400</v>
      </c>
      <c r="M6" s="347">
        <f ca="1">INDIRECT("'数据-取费表'!z"&amp;$G$1)</f>
        <v>3</v>
      </c>
    </row>
    <row r="7" spans="1:37" ht="18" customHeight="1">
      <c r="A7" s="1297"/>
      <c r="B7" s="3209"/>
      <c r="C7" s="1299"/>
      <c r="D7" s="351"/>
      <c r="E7" s="1300" t="s">
        <v>1401</v>
      </c>
      <c r="F7" s="347">
        <f ca="1">IF(INDIRECT("'数据-取费表'!ah"&amp;$G$1)="",INDIRECT("'数据-取费表'!k"&amp;$G$1),INDIRECT("'数据-取费表'!ah"&amp;$G$1))</f>
        <v>1905.53</v>
      </c>
      <c r="G7" s="1852"/>
      <c r="H7" s="348"/>
      <c r="I7" s="3209"/>
      <c r="J7" s="350"/>
      <c r="K7" s="351"/>
      <c r="L7" s="346" t="s">
        <v>1401</v>
      </c>
      <c r="M7" s="347">
        <f ca="1">F7</f>
        <v>1905.53</v>
      </c>
    </row>
    <row r="8" spans="1:37" ht="18" customHeight="1">
      <c r="A8" s="348"/>
      <c r="B8" s="3209"/>
      <c r="C8" s="350"/>
      <c r="D8" s="351"/>
      <c r="E8" s="346" t="s">
        <v>1402</v>
      </c>
      <c r="F8" s="347">
        <f ca="1">INDIRECT("'数据-取费表'!ai"&amp;$G$1)</f>
        <v>365</v>
      </c>
      <c r="G8" s="1852"/>
      <c r="H8" s="348"/>
      <c r="I8" s="3209"/>
      <c r="J8" s="350"/>
      <c r="K8" s="351"/>
      <c r="L8" s="346" t="s">
        <v>1402</v>
      </c>
      <c r="M8" s="347">
        <f ca="1">INDIRECT("'数据-取费表'!ai"&amp;$G$1)</f>
        <v>365</v>
      </c>
    </row>
    <row r="9" spans="1:37" ht="18" customHeight="1">
      <c r="A9" s="348"/>
      <c r="B9" s="3210"/>
      <c r="C9" s="350"/>
      <c r="D9" s="351"/>
      <c r="E9" s="346" t="s">
        <v>1403</v>
      </c>
      <c r="F9" s="356">
        <f ca="1">INDIRECT("'数据-取费表'!w"&amp;$G$1)</f>
        <v>0</v>
      </c>
      <c r="G9" s="1852"/>
      <c r="H9" s="348"/>
      <c r="I9" s="3210"/>
      <c r="J9" s="350"/>
      <c r="K9" s="351"/>
      <c r="L9" s="357" t="s">
        <v>1403</v>
      </c>
      <c r="M9" s="358">
        <f ca="1">INDIRECT("'数据-取费表'!ab"&amp;$G$1)</f>
        <v>0.1</v>
      </c>
    </row>
    <row r="10" spans="1:37" ht="18" customHeight="1">
      <c r="A10" s="1293" t="s">
        <v>1037</v>
      </c>
      <c r="B10" s="1824" t="s">
        <v>1404</v>
      </c>
      <c r="C10" s="360">
        <f ca="1">ROUND(IF(F10="押一",C6/12*F11,IF(F10="押二",C6/12*2*F11,IF(F10="押三",C6/12*3*F11,C11*F11)))/10000,0)</f>
        <v>0</v>
      </c>
      <c r="D10" s="1825" t="s">
        <v>2994</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3055</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839</v>
      </c>
      <c r="D13" s="1333" t="s">
        <v>1409</v>
      </c>
      <c r="E13" s="1333" t="s">
        <v>1410</v>
      </c>
      <c r="F13" s="1334">
        <f ca="1">INDIRECT("'数据-取费表'!y"&amp;$G$1)</f>
        <v>0.97</v>
      </c>
      <c r="G13" s="1852"/>
      <c r="H13" s="1331">
        <v>2</v>
      </c>
      <c r="I13" s="1332" t="s">
        <v>1408</v>
      </c>
      <c r="J13" s="1292">
        <f ca="1">ROUND(J14*J15,0)</f>
        <v>709</v>
      </c>
      <c r="K13" s="1339" t="s">
        <v>1409</v>
      </c>
      <c r="L13" s="1853"/>
      <c r="M13" s="1854"/>
    </row>
    <row r="14" spans="1:37" ht="18" customHeight="1">
      <c r="A14" s="1203" t="s">
        <v>1032</v>
      </c>
      <c r="B14" s="346" t="s">
        <v>1411</v>
      </c>
      <c r="C14" s="362">
        <f ca="1">INDIRECT("'数据-取费表'!m"&amp;$G$1)+INDIRECT("'数据-取费表'!t"&amp;$G$1)</f>
        <v>572</v>
      </c>
      <c r="D14" s="1801" t="s">
        <v>1412</v>
      </c>
      <c r="E14" s="1795"/>
      <c r="F14" s="363"/>
      <c r="G14" s="1852"/>
      <c r="H14" s="1203" t="s">
        <v>1033</v>
      </c>
      <c r="I14" s="346" t="s">
        <v>1413</v>
      </c>
      <c r="J14" s="23">
        <f ca="1">C29</f>
        <v>865</v>
      </c>
      <c r="K14" s="14"/>
      <c r="L14" s="981"/>
      <c r="M14" s="982"/>
    </row>
    <row r="15" spans="1:37" s="1859" customFormat="1" ht="18" customHeight="1" thickBot="1">
      <c r="A15" s="1203" t="s">
        <v>1034</v>
      </c>
      <c r="B15" s="346" t="s">
        <v>1414</v>
      </c>
      <c r="C15" s="23">
        <f ca="1">ROUND(C14*F15,0)</f>
        <v>29</v>
      </c>
      <c r="D15" s="364" t="s">
        <v>1415</v>
      </c>
      <c r="E15" s="364" t="s">
        <v>1416</v>
      </c>
      <c r="F15" s="365">
        <f>'数据-取费表'!B33</f>
        <v>0.05</v>
      </c>
      <c r="G15" s="1855"/>
      <c r="H15" s="1341" t="s">
        <v>1037</v>
      </c>
      <c r="I15" s="1342" t="s">
        <v>1410</v>
      </c>
      <c r="J15" s="1351">
        <f ca="1">INDIRECT("'数据-取费表'!ad"&amp;$G$1)</f>
        <v>0.82</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34</v>
      </c>
      <c r="K16" s="1339" t="s">
        <v>1419</v>
      </c>
      <c r="L16" s="1340"/>
      <c r="M16" s="1296"/>
    </row>
    <row r="17" spans="1:37" s="1859" customFormat="1" ht="18" customHeight="1">
      <c r="A17" s="1203" t="s">
        <v>1385</v>
      </c>
      <c r="B17" s="346" t="s">
        <v>1420</v>
      </c>
      <c r="C17" s="23">
        <f ca="1">ROUND(F17*(F43+INDIRECT("'数据-取费表'!S"&amp;$G$1))/10000,0)</f>
        <v>38</v>
      </c>
      <c r="D17" s="346" t="s">
        <v>1421</v>
      </c>
      <c r="E17" s="346" t="s">
        <v>1422</v>
      </c>
      <c r="F17" s="25">
        <f>'数据-取费表'!B35</f>
        <v>200</v>
      </c>
      <c r="G17" s="1855"/>
      <c r="H17" s="1203" t="s">
        <v>1033</v>
      </c>
      <c r="I17" s="346" t="s">
        <v>1423</v>
      </c>
      <c r="J17" s="23">
        <f ca="1">ROUND(IF(项目基本情况!B11="自然人",J5*M17,J18+J19+J20),1)</f>
        <v>17.600000000000001</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9</v>
      </c>
      <c r="D18" s="346" t="s">
        <v>1415</v>
      </c>
      <c r="E18" s="346" t="s">
        <v>1416</v>
      </c>
      <c r="F18" s="366">
        <f>'数据-取费表'!B36</f>
        <v>1.4999999999999999E-2</v>
      </c>
      <c r="G18" s="1855"/>
      <c r="H18" s="1203" t="s">
        <v>1032</v>
      </c>
      <c r="I18" s="346" t="s">
        <v>1427</v>
      </c>
      <c r="J18" s="23">
        <f ca="1">ROUND(J5*M18/(1+'数据-取费表'!C42),2)</f>
        <v>9.85</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648</v>
      </c>
      <c r="D19" s="139" t="s">
        <v>1430</v>
      </c>
      <c r="E19" s="1819"/>
      <c r="F19" s="25"/>
      <c r="G19" s="1852"/>
      <c r="H19" s="1203" t="s">
        <v>1034</v>
      </c>
      <c r="I19" s="346" t="s">
        <v>1431</v>
      </c>
      <c r="J19" s="23">
        <f ca="1">IF(K19="按租金收入计税",ROUND(J5*M19,2),ROUND(C29*M19*0.7,2))</f>
        <v>7.27</v>
      </c>
      <c r="K19" s="1829" t="s">
        <v>1432</v>
      </c>
      <c r="L19" s="346" t="s">
        <v>1416</v>
      </c>
      <c r="M19" s="366">
        <f>IF(K19="按租金收入计税",'数据-取费表'!B51,'数据-取费表'!B50)</f>
        <v>1.2E-2</v>
      </c>
    </row>
    <row r="20" spans="1:37" s="1859" customFormat="1" ht="18" customHeight="1">
      <c r="A20" s="1203" t="s">
        <v>1037</v>
      </c>
      <c r="B20" s="346" t="s">
        <v>1433</v>
      </c>
      <c r="C20" s="23">
        <f ca="1">ROUND(C19*F20,0)</f>
        <v>19</v>
      </c>
      <c r="D20" s="368" t="s">
        <v>1434</v>
      </c>
      <c r="E20" s="346" t="s">
        <v>1416</v>
      </c>
      <c r="F20" s="366">
        <f>'数据-取费表'!B37</f>
        <v>0.03</v>
      </c>
      <c r="G20" s="1855"/>
      <c r="H20" s="1203" t="s">
        <v>1384</v>
      </c>
      <c r="I20" s="163" t="s">
        <v>1435</v>
      </c>
      <c r="J20" s="24">
        <f ca="1">ROUND(M20*M21/10000,2)</f>
        <v>0.44</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1473.51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ROUND(J14*M22,1)</f>
        <v>13</v>
      </c>
      <c r="K22" s="1799" t="s">
        <v>1444</v>
      </c>
      <c r="L22" s="346" t="s">
        <v>1416</v>
      </c>
      <c r="M22" s="373">
        <f ca="1">INDIRECT("'数据-取费表'!Ak"&amp;$G$1)</f>
        <v>1.4999999999999999E-2</v>
      </c>
    </row>
    <row r="23" spans="1:37" s="1859" customFormat="1" ht="18" customHeight="1">
      <c r="A23" s="1203" t="s">
        <v>1032</v>
      </c>
      <c r="B23" s="346" t="s">
        <v>1445</v>
      </c>
      <c r="C23" s="23">
        <f ca="1">IF('数据-取费表'!B22&lt;=1,ROUND(C19*F24*F23/2,0)+ROUND(C20*F24*F23/2,0),ROUND(C19*(POWER((1+F24),F23/2)-1),0)+ROUND(C20*(POWER((1+F24),F23/2)-1),0))</f>
        <v>32</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1.1000000000000001</v>
      </c>
      <c r="K23" s="1799" t="s">
        <v>1448</v>
      </c>
      <c r="L23" s="346" t="s">
        <v>1449</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ROUND(J5*M24,1)</f>
        <v>1.9</v>
      </c>
      <c r="K24" s="1344" t="s">
        <v>1453</v>
      </c>
      <c r="L24" s="1342" t="s">
        <v>1449</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1819"/>
      <c r="F25" s="25"/>
      <c r="G25" s="1852"/>
      <c r="H25" s="1331" t="s">
        <v>1029</v>
      </c>
      <c r="I25" s="1346" t="s">
        <v>1457</v>
      </c>
      <c r="J25" s="354">
        <f ca="1">J5-J16</f>
        <v>154</v>
      </c>
      <c r="K25" s="1347" t="s">
        <v>1458</v>
      </c>
      <c r="L25" s="1348"/>
      <c r="M25" s="1349"/>
    </row>
    <row r="26" spans="1:37">
      <c r="A26" s="1203" t="s">
        <v>1032</v>
      </c>
      <c r="B26" s="346" t="s">
        <v>1459</v>
      </c>
      <c r="C26" s="23">
        <f ca="1">ROUND((C19+C20)*F26,0)</f>
        <v>100</v>
      </c>
      <c r="D26" s="368" t="s">
        <v>1460</v>
      </c>
      <c r="E26" s="357" t="s">
        <v>1461</v>
      </c>
      <c r="F26" s="356">
        <f ca="1">INDIRECT("'数据-取费表'!q"&amp;$G$1)</f>
        <v>0.15</v>
      </c>
      <c r="G26" s="1852"/>
      <c r="H26" s="343" t="s">
        <v>1030</v>
      </c>
      <c r="I26" s="344" t="s">
        <v>1462</v>
      </c>
      <c r="J26" s="345">
        <f ca="1">IF(J5&lt;&gt;0,ROUND(J25*(1-((1+M28)/(1+M26))^M27)/(M26-M28),0),0)</f>
        <v>2130</v>
      </c>
      <c r="K26" s="369" t="s">
        <v>1463</v>
      </c>
      <c r="L26" s="346" t="s">
        <v>1464</v>
      </c>
      <c r="M26" s="356">
        <f ca="1">INDIRECT("'数据-取费表'!I"&amp;$G$1)</f>
        <v>5.5E-2</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17.689999999999998</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865</v>
      </c>
      <c r="D29" s="1344"/>
      <c r="E29" s="1342"/>
      <c r="F29" s="1345"/>
      <c r="G29" s="1855"/>
      <c r="H29" s="379" t="s">
        <v>1031</v>
      </c>
      <c r="I29" s="380" t="s">
        <v>1473</v>
      </c>
      <c r="J29" s="381">
        <f ca="1">ROUND(J26/(1+F40)^F41,0)</f>
        <v>1307</v>
      </c>
      <c r="K29" s="382" t="s">
        <v>1474</v>
      </c>
      <c r="L29" s="383"/>
      <c r="M29" s="384">
        <f ca="1">INDIRECT("'数据-取费表'!k"&amp;$G$1)</f>
        <v>1905.53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30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ROUND(IF(项目基本情况!B11="自然人",C5*F31,C32+C33+C34),1)</f>
        <v>14.3</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6.55</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7.27</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0.44</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1473.51</v>
      </c>
      <c r="G35" s="1852"/>
      <c r="H35" s="744"/>
      <c r="I35" s="1861"/>
      <c r="J35" s="1862"/>
      <c r="K35" s="1863"/>
      <c r="L35" s="1860"/>
      <c r="M35" s="1860"/>
    </row>
    <row r="36" spans="1:18" ht="18" customHeight="1">
      <c r="A36" s="1354" t="s">
        <v>1037</v>
      </c>
      <c r="B36" s="346" t="s">
        <v>1443</v>
      </c>
      <c r="C36" s="23">
        <f ca="1">ROUND(C29*F36,1)</f>
        <v>13</v>
      </c>
      <c r="D36" s="1799" t="s">
        <v>1476</v>
      </c>
      <c r="E36" s="346" t="s">
        <v>1416</v>
      </c>
      <c r="F36" s="373">
        <f ca="1">INDIRECT("'数据-取费表'!Ak"&amp;$G$1)</f>
        <v>1.4999999999999999E-2</v>
      </c>
      <c r="G36" s="1852"/>
      <c r="H36" s="1860"/>
      <c r="I36" s="1861"/>
      <c r="J36" s="1862"/>
      <c r="K36" s="750"/>
      <c r="L36" s="1860"/>
      <c r="M36" s="1860"/>
    </row>
    <row r="37" spans="1:18" ht="18" customHeight="1">
      <c r="A37" s="1203" t="s">
        <v>1073</v>
      </c>
      <c r="B37" s="346" t="s">
        <v>1447</v>
      </c>
      <c r="C37" s="23">
        <f ca="1">ROUND(C13*F37,1)</f>
        <v>1.3</v>
      </c>
      <c r="D37" s="1799" t="s">
        <v>1448</v>
      </c>
      <c r="E37" s="346" t="s">
        <v>1449</v>
      </c>
      <c r="F37" s="375">
        <f ca="1">INDIRECT("'数据-取费表'!Al"&amp;$G$1)</f>
        <v>1.5E-3</v>
      </c>
      <c r="G37" s="1852"/>
      <c r="H37" s="1860"/>
      <c r="I37" s="1861"/>
      <c r="J37" s="1862"/>
      <c r="K37" s="750"/>
      <c r="L37" s="1860"/>
      <c r="M37" s="1860"/>
    </row>
    <row r="38" spans="1:18" ht="18" customHeight="1" thickBot="1">
      <c r="A38" s="1341" t="s">
        <v>1388</v>
      </c>
      <c r="B38" s="1342" t="s">
        <v>1433</v>
      </c>
      <c r="C38" s="1343">
        <f ca="1">ROUND(C5*F38,1)</f>
        <v>1.3</v>
      </c>
      <c r="D38" s="1344" t="s">
        <v>1453</v>
      </c>
      <c r="E38" s="1342" t="s">
        <v>1449</v>
      </c>
      <c r="F38" s="1338">
        <f ca="1">INDIRECT("'数据-取费表'!Am"&amp;$G$1)</f>
        <v>0.01</v>
      </c>
      <c r="G38" s="1852"/>
      <c r="H38" s="1860"/>
      <c r="I38" s="1861"/>
      <c r="J38" s="1862"/>
      <c r="K38" s="1866"/>
      <c r="L38" s="1860"/>
      <c r="M38" s="1860"/>
    </row>
    <row r="39" spans="1:18" ht="24.6" customHeight="1" thickTop="1">
      <c r="A39" s="1331" t="s">
        <v>1029</v>
      </c>
      <c r="B39" s="1346" t="s">
        <v>1477</v>
      </c>
      <c r="C39" s="354">
        <f ca="1">C5-C30</f>
        <v>95</v>
      </c>
      <c r="D39" s="1347" t="s">
        <v>1478</v>
      </c>
      <c r="E39" s="1348"/>
      <c r="F39" s="1349"/>
      <c r="G39" s="1852"/>
      <c r="H39" s="1860"/>
      <c r="I39" s="1861"/>
      <c r="J39" s="1862"/>
      <c r="K39" s="1866"/>
      <c r="L39" s="1860"/>
      <c r="M39" s="1860"/>
    </row>
    <row r="40" spans="1:18" ht="18" customHeight="1">
      <c r="A40" s="343" t="s">
        <v>1030</v>
      </c>
      <c r="B40" s="344" t="s">
        <v>1479</v>
      </c>
      <c r="C40" s="345">
        <f ca="1">ROUND(C39*(1-((1+F42)/(1+F40))^F41)/(F40-F42),0)</f>
        <v>667</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9.1199999999999992</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3500</v>
      </c>
      <c r="D43" s="382" t="s">
        <v>1482</v>
      </c>
      <c r="E43" s="383" t="s">
        <v>1483</v>
      </c>
      <c r="F43" s="384">
        <f ca="1">INDIRECT("'数据-取费表'!k"&amp;$G$1)</f>
        <v>1905.53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-822</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1974</v>
      </c>
      <c r="R47" s="1887" t="s">
        <v>1523</v>
      </c>
    </row>
    <row r="48" spans="1:18" s="1843" customFormat="1" ht="28.5" thickBot="1">
      <c r="A48" s="1362" t="s">
        <v>1133</v>
      </c>
      <c r="B48" s="344" t="s">
        <v>1396</v>
      </c>
      <c r="C48" s="181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2986</v>
      </c>
      <c r="E49" s="1831" t="s">
        <v>1485</v>
      </c>
      <c r="F49" s="1283"/>
      <c r="G49" s="1892"/>
      <c r="H49" s="792"/>
      <c r="I49" s="1888" t="s">
        <v>1528</v>
      </c>
      <c r="J49" s="1893">
        <v>2018</v>
      </c>
      <c r="K49" s="1890" t="s">
        <v>1529</v>
      </c>
      <c r="L49" s="1894"/>
      <c r="O49" s="1895" t="s">
        <v>1040</v>
      </c>
      <c r="P49" s="1886" t="s">
        <v>1530</v>
      </c>
      <c r="Q49" s="1887">
        <f ca="1">C29</f>
        <v>865</v>
      </c>
      <c r="R49" s="1887" t="s">
        <v>1523</v>
      </c>
    </row>
    <row r="50" spans="1:18" s="1843" customFormat="1" ht="13.5" thickBot="1">
      <c r="A50" s="1197"/>
      <c r="B50" s="1200"/>
      <c r="C50" s="1370"/>
      <c r="D50" s="1174"/>
      <c r="E50" s="1279" t="s">
        <v>1401</v>
      </c>
      <c r="F50" s="1280">
        <f ca="1">F7</f>
        <v>1905.53</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365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06" t="s">
        <v>1542</v>
      </c>
      <c r="L53" s="3207"/>
      <c r="O53" s="1885" t="s">
        <v>1044</v>
      </c>
      <c r="P53" s="1886" t="s">
        <v>1543</v>
      </c>
      <c r="Q53" s="1887">
        <f ca="1">Q47+Q48</f>
        <v>1974</v>
      </c>
      <c r="R53" s="1887" t="s">
        <v>1045</v>
      </c>
    </row>
    <row r="54" spans="1:18" s="1843" customFormat="1" ht="13.5" thickBot="1">
      <c r="A54" s="1408"/>
      <c r="B54" s="1826" t="s">
        <v>1383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839</v>
      </c>
      <c r="D56" s="1915"/>
      <c r="E56" s="1916"/>
      <c r="F56" s="1908"/>
      <c r="I56" s="1917" t="s">
        <v>1548</v>
      </c>
      <c r="J56" s="1918" t="s">
        <v>3024</v>
      </c>
      <c r="K56" s="1888" t="s">
        <v>1549</v>
      </c>
      <c r="L56" s="1891" t="str">
        <f ca="1">IF(L48&lt;J51,"——",L48-J53)</f>
        <v>——</v>
      </c>
      <c r="O56" s="1885" t="s">
        <v>1038</v>
      </c>
      <c r="P56" s="1886" t="s">
        <v>1522</v>
      </c>
      <c r="Q56" s="1887">
        <f ca="1">C40+J29</f>
        <v>1974</v>
      </c>
      <c r="R56" s="1887" t="s">
        <v>1523</v>
      </c>
    </row>
    <row r="57" spans="1:18" s="1843" customFormat="1" ht="24.75" thickBot="1">
      <c r="A57" s="1919"/>
      <c r="B57" s="1171" t="s">
        <v>1472</v>
      </c>
      <c r="C57" s="281">
        <f ca="1">C29</f>
        <v>865</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22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7.7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IF(项目基本情况!B11="自然人","——",IF(D61="按租金收入计税",ROUND(C48*F61,2),IF(D61="按房产原值计税",ROUND(C57*F61*0.7,2),INDIRECT("'数据-取费表'!Aj"&amp;$G$1))))</f>
        <v>7.27</v>
      </c>
      <c r="D61" s="1829" t="s">
        <v>1432</v>
      </c>
      <c r="E61" s="1171" t="s">
        <v>1488</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1490</v>
      </c>
      <c r="C62" s="24">
        <f ca="1">IF(项目基本情况!B11="自然人","——",ROUND(F62*F63/10000,2))</f>
        <v>0.44</v>
      </c>
      <c r="D62" s="1186" t="s">
        <v>1491</v>
      </c>
      <c r="E62" s="1171" t="s">
        <v>1492</v>
      </c>
      <c r="F62" s="370">
        <f t="shared" si="0"/>
        <v>3</v>
      </c>
      <c r="I62" s="1930" t="s">
        <v>1564</v>
      </c>
      <c r="J62" s="1931" t="s">
        <v>1565</v>
      </c>
      <c r="K62" s="1931" t="s">
        <v>1566</v>
      </c>
      <c r="L62" s="1931" t="s">
        <v>1567</v>
      </c>
      <c r="M62" s="1932" t="s">
        <v>1568</v>
      </c>
      <c r="O62" s="1885" t="s">
        <v>1044</v>
      </c>
      <c r="P62" s="1886" t="s">
        <v>1569</v>
      </c>
      <c r="Q62" s="1887">
        <f ca="1">Q56+Q57</f>
        <v>1974</v>
      </c>
      <c r="R62" s="1887" t="s">
        <v>1045</v>
      </c>
    </row>
    <row r="63" spans="1:18" s="1843" customFormat="1" ht="13.5" thickBot="1">
      <c r="A63" s="371"/>
      <c r="B63" s="1177"/>
      <c r="C63" s="28"/>
      <c r="D63" s="1187"/>
      <c r="E63" s="1171" t="s">
        <v>1493</v>
      </c>
      <c r="F63" s="347">
        <f t="shared" ca="1" si="0"/>
        <v>1473.51</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ROUND(C57*F64,1)</f>
        <v>13</v>
      </c>
      <c r="D64" s="1185" t="s">
        <v>1496</v>
      </c>
      <c r="E64" s="1171" t="s">
        <v>1488</v>
      </c>
      <c r="F64" s="373">
        <f t="shared" ca="1" si="0"/>
        <v>1.4999999999999999E-2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1.3</v>
      </c>
      <c r="D65" s="1185" t="s">
        <v>1448</v>
      </c>
      <c r="E65" s="1171" t="s">
        <v>1449</v>
      </c>
      <c r="F65" s="375">
        <f t="shared" ca="1" si="0"/>
        <v>1.5E-3</v>
      </c>
      <c r="I65" s="1930" t="s">
        <v>1573</v>
      </c>
      <c r="J65" s="1931">
        <v>40</v>
      </c>
      <c r="K65" s="1931">
        <v>30</v>
      </c>
      <c r="L65" s="1931">
        <v>50</v>
      </c>
      <c r="M65" s="1933">
        <v>0.02</v>
      </c>
      <c r="O65" s="1885" t="s">
        <v>1038</v>
      </c>
      <c r="P65" s="1886" t="s">
        <v>1574</v>
      </c>
      <c r="Q65" s="1887">
        <f ca="1">C40+J29</f>
        <v>1974</v>
      </c>
      <c r="R65" s="1887" t="s">
        <v>1523</v>
      </c>
    </row>
    <row r="66" spans="1:18" s="1843" customFormat="1" ht="16.5" thickBot="1">
      <c r="A66" s="1203" t="s">
        <v>1498</v>
      </c>
      <c r="B66" s="1171" t="s">
        <v>1433</v>
      </c>
      <c r="C66" s="23">
        <f ca="1">ROUND(C48*F66,1)</f>
        <v>0</v>
      </c>
      <c r="D66" s="1185" t="s">
        <v>1499</v>
      </c>
      <c r="E66" s="1171" t="s">
        <v>1416</v>
      </c>
      <c r="F66" s="356">
        <f t="shared" ca="1" si="0"/>
        <v>0.01</v>
      </c>
      <c r="O66" s="1885" t="s">
        <v>1039</v>
      </c>
      <c r="P66" s="1886" t="s">
        <v>1552</v>
      </c>
      <c r="Q66" s="1887">
        <f ca="1">L60</f>
        <v>0</v>
      </c>
      <c r="R66" s="1887" t="s">
        <v>1575</v>
      </c>
    </row>
    <row r="67" spans="1:18" s="1843" customFormat="1" ht="16.5" thickBot="1">
      <c r="A67" s="1178" t="s">
        <v>1029</v>
      </c>
      <c r="B67" s="1188" t="s">
        <v>1457</v>
      </c>
      <c r="C67" s="360">
        <f ca="1">C48-C58</f>
        <v>-22</v>
      </c>
      <c r="D67" s="1184" t="s">
        <v>1458</v>
      </c>
      <c r="E67" s="1189"/>
      <c r="F67" s="1190"/>
      <c r="O67" s="1895" t="s">
        <v>1040</v>
      </c>
      <c r="P67" s="1886" t="s">
        <v>1556</v>
      </c>
      <c r="Q67" s="1934">
        <f ca="1">L51</f>
        <v>365</v>
      </c>
      <c r="R67" s="1887" t="s">
        <v>1576</v>
      </c>
    </row>
    <row r="68" spans="1:18" s="1843" customFormat="1" ht="16.5" thickBot="1">
      <c r="A68" s="1168" t="s">
        <v>1030</v>
      </c>
      <c r="B68" s="1169" t="s">
        <v>1479</v>
      </c>
      <c r="C68" s="345">
        <f ca="1">ROUND(C67*(1-((1+F70)/(1+F68))^F69)/(F68-F70),0)</f>
        <v>-155</v>
      </c>
      <c r="D68" s="1186" t="s">
        <v>1463</v>
      </c>
      <c r="E68" s="1171" t="s">
        <v>1464</v>
      </c>
      <c r="F68" s="356">
        <f ca="1">F40</f>
        <v>5.5E-2</v>
      </c>
      <c r="O68" s="1895" t="s">
        <v>1041</v>
      </c>
      <c r="P68" s="1935" t="s">
        <v>1577</v>
      </c>
      <c r="Q68" s="1887">
        <f ca="1">ROUND(Q69-Q70*Q71,0)</f>
        <v>24</v>
      </c>
      <c r="R68" s="1887" t="s">
        <v>1049</v>
      </c>
    </row>
    <row r="69" spans="1:18" s="1843" customFormat="1" ht="13.5" thickBot="1">
      <c r="A69" s="1172"/>
      <c r="B69" s="1173"/>
      <c r="C69" s="350"/>
      <c r="D69" s="1191" t="s">
        <v>1467</v>
      </c>
      <c r="E69" s="1171" t="s">
        <v>1468</v>
      </c>
      <c r="F69" s="378">
        <f ca="1">F41</f>
        <v>9.1199999999999992</v>
      </c>
      <c r="O69" s="1895" t="s">
        <v>1046</v>
      </c>
      <c r="P69" s="1935" t="s">
        <v>1578</v>
      </c>
      <c r="Q69" s="1887">
        <f ca="1">C39</f>
        <v>95</v>
      </c>
      <c r="R69" s="1887" t="s">
        <v>1523</v>
      </c>
    </row>
    <row r="70" spans="1:18" s="1843" customFormat="1" ht="13.5" thickBot="1">
      <c r="A70" s="1175"/>
      <c r="B70" s="1176"/>
      <c r="C70" s="354"/>
      <c r="D70" s="1187"/>
      <c r="E70" s="1171" t="s">
        <v>1471</v>
      </c>
      <c r="F70" s="1277"/>
      <c r="O70" s="1895" t="s">
        <v>1047</v>
      </c>
      <c r="P70" s="1935" t="s">
        <v>1579</v>
      </c>
      <c r="Q70" s="1887">
        <f ca="1">C13</f>
        <v>839</v>
      </c>
      <c r="R70" s="1887" t="s">
        <v>1523</v>
      </c>
    </row>
    <row r="71" spans="1:18" s="1843" customFormat="1" ht="13.5" thickBot="1">
      <c r="A71" s="1192" t="s">
        <v>1031</v>
      </c>
      <c r="B71" s="1193" t="s">
        <v>1481</v>
      </c>
      <c r="C71" s="381">
        <f ca="1">ROUND(C68*10000/F71,0)</f>
        <v>-813</v>
      </c>
      <c r="D71" s="1194" t="s">
        <v>1482</v>
      </c>
      <c r="E71" s="1195" t="s">
        <v>1483</v>
      </c>
      <c r="F71" s="384">
        <f ca="1">F43</f>
        <v>1905.53</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71</v>
      </c>
      <c r="D75" s="1843"/>
      <c r="E75" s="1843"/>
      <c r="F75" s="1843"/>
      <c r="K75" s="1869"/>
      <c r="L75" s="1843"/>
      <c r="O75" s="1885" t="s">
        <v>1044</v>
      </c>
      <c r="P75" s="1886" t="s">
        <v>1543</v>
      </c>
      <c r="Q75" s="1887">
        <f ca="1">Q65+Q66</f>
        <v>1974</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0.253</v>
      </c>
    </row>
    <row r="80" spans="1:18">
      <c r="B80" s="385" t="s">
        <v>1505</v>
      </c>
      <c r="C80" s="317">
        <f ca="1">ROUND(C75/C39,3)</f>
        <v>0.747</v>
      </c>
    </row>
    <row r="81" spans="2:3">
      <c r="B81" s="313" t="s">
        <v>1506</v>
      </c>
      <c r="C81" s="281"/>
    </row>
    <row r="82" spans="2:3">
      <c r="B82" s="316" t="s">
        <v>1507</v>
      </c>
      <c r="C82" s="318">
        <f ca="1">1-C83</f>
        <v>-0.25800000000000001</v>
      </c>
    </row>
    <row r="83" spans="2:3">
      <c r="B83" s="316" t="s">
        <v>1508</v>
      </c>
      <c r="C83" s="317">
        <f ca="1">ROUND(C13/C40,3)</f>
        <v>1.258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c r="D1" s="1821"/>
      <c r="E1" s="1822" t="s">
        <v>1382</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3" t="s">
        <v>1582</v>
      </c>
      <c r="I3" s="1841"/>
      <c r="J3" s="1841"/>
      <c r="K3" s="1842"/>
      <c r="L3" s="1841"/>
      <c r="M3" s="1841"/>
    </row>
    <row r="4" spans="1:37" ht="18" customHeight="1">
      <c r="A4" s="339" t="s">
        <v>1589</v>
      </c>
      <c r="B4" s="340" t="s">
        <v>1590</v>
      </c>
      <c r="C4" s="340" t="s">
        <v>1591</v>
      </c>
      <c r="D4" s="340" t="s">
        <v>1592</v>
      </c>
      <c r="E4" s="341" t="s">
        <v>1593</v>
      </c>
      <c r="F4" s="342"/>
      <c r="G4" s="1852"/>
      <c r="H4" s="339" t="s">
        <v>1589</v>
      </c>
      <c r="I4" s="340" t="s">
        <v>1590</v>
      </c>
      <c r="J4" s="340" t="s">
        <v>1591</v>
      </c>
      <c r="K4" s="340" t="s">
        <v>1592</v>
      </c>
      <c r="L4" s="341" t="s">
        <v>1593</v>
      </c>
      <c r="M4" s="342"/>
    </row>
    <row r="5" spans="1:37" ht="18" customHeight="1">
      <c r="A5" s="343">
        <v>1</v>
      </c>
      <c r="B5" s="344" t="s">
        <v>1594</v>
      </c>
      <c r="C5" s="1294">
        <f ca="1">C6+C10+C12</f>
        <v>0</v>
      </c>
      <c r="D5" s="1823" t="s">
        <v>1595</v>
      </c>
      <c r="E5" s="1295"/>
      <c r="F5" s="1296"/>
      <c r="G5" s="1852"/>
      <c r="H5" s="343">
        <v>1</v>
      </c>
      <c r="I5" s="344" t="s">
        <v>1594</v>
      </c>
      <c r="J5" s="1294">
        <f ca="1">J6+J10+J12</f>
        <v>0</v>
      </c>
      <c r="K5" s="1823" t="s">
        <v>1595</v>
      </c>
      <c r="L5" s="1295"/>
      <c r="M5" s="1296"/>
    </row>
    <row r="6" spans="1:37" ht="18" customHeight="1">
      <c r="A6" s="1293" t="s">
        <v>1033</v>
      </c>
      <c r="B6" s="3208" t="s">
        <v>1398</v>
      </c>
      <c r="C6" s="1298">
        <f ca="1">ROUND(F6*F8*F7*(1-F9),0)</f>
        <v>0</v>
      </c>
      <c r="D6" s="163" t="s">
        <v>2982</v>
      </c>
      <c r="E6" s="346" t="s">
        <v>1400</v>
      </c>
      <c r="F6" s="347">
        <f ca="1">INDIRECT("'数据-取费表'!u"&amp;$G$1)</f>
        <v>0</v>
      </c>
      <c r="G6" s="1852"/>
      <c r="H6" s="1293" t="s">
        <v>1033</v>
      </c>
      <c r="I6" s="3208" t="s">
        <v>1398</v>
      </c>
      <c r="J6" s="345">
        <f ca="1">ROUND(M6*M8*M7*(1-M9),0)</f>
        <v>0</v>
      </c>
      <c r="K6" s="1835" t="s">
        <v>2983</v>
      </c>
      <c r="L6" s="346" t="s">
        <v>1400</v>
      </c>
      <c r="M6" s="347">
        <f ca="1">INDIRECT("'数据-取费表'!z"&amp;$G$1)</f>
        <v>0</v>
      </c>
    </row>
    <row r="7" spans="1:37" ht="18" customHeight="1">
      <c r="A7" s="1297"/>
      <c r="B7" s="3209"/>
      <c r="C7" s="1299"/>
      <c r="D7" s="351"/>
      <c r="E7" s="1300" t="s">
        <v>1401</v>
      </c>
      <c r="F7" s="347">
        <f ca="1">IF(INDIRECT("'数据-取费表'!ah"&amp;$G$1)="",INDIRECT("'数据-取费表'!k"&amp;$G$1),INDIRECT("'数据-取费表'!ah"&amp;$G$1))</f>
        <v>0</v>
      </c>
      <c r="G7" s="1852"/>
      <c r="H7" s="348"/>
      <c r="I7" s="3209"/>
      <c r="J7" s="350"/>
      <c r="K7" s="351"/>
      <c r="L7" s="346" t="s">
        <v>1401</v>
      </c>
      <c r="M7" s="347">
        <f ca="1">F7</f>
        <v>0</v>
      </c>
    </row>
    <row r="8" spans="1:37" ht="18" customHeight="1">
      <c r="A8" s="348"/>
      <c r="B8" s="3209"/>
      <c r="C8" s="350"/>
      <c r="D8" s="351"/>
      <c r="E8" s="346" t="s">
        <v>1402</v>
      </c>
      <c r="F8" s="347">
        <f ca="1">INDIRECT("'数据-取费表'!ai"&amp;$G$1)</f>
        <v>0</v>
      </c>
      <c r="G8" s="1852"/>
      <c r="H8" s="348"/>
      <c r="I8" s="3209"/>
      <c r="J8" s="350"/>
      <c r="K8" s="351"/>
      <c r="L8" s="346" t="s">
        <v>1402</v>
      </c>
      <c r="M8" s="347">
        <f ca="1">INDIRECT("'数据-取费表'!ai"&amp;$G$1)</f>
        <v>0</v>
      </c>
    </row>
    <row r="9" spans="1:37" ht="18" customHeight="1">
      <c r="A9" s="348"/>
      <c r="B9" s="3210"/>
      <c r="C9" s="350"/>
      <c r="D9" s="351"/>
      <c r="E9" s="346" t="s">
        <v>1403</v>
      </c>
      <c r="F9" s="356">
        <f ca="1">INDIRECT("'数据-取费表'!w"&amp;$G$1)</f>
        <v>0</v>
      </c>
      <c r="G9" s="1852"/>
      <c r="H9" s="348"/>
      <c r="I9" s="3210"/>
      <c r="J9" s="350"/>
      <c r="K9" s="351"/>
      <c r="L9" s="357" t="s">
        <v>1403</v>
      </c>
      <c r="M9" s="358">
        <f ca="1">INDIRECT("'数据-取费表'!ab"&amp;$G$1)</f>
        <v>0</v>
      </c>
    </row>
    <row r="10" spans="1:37" ht="18" customHeight="1">
      <c r="A10" s="1293" t="s">
        <v>1037</v>
      </c>
      <c r="B10" s="1824" t="s">
        <v>1404</v>
      </c>
      <c r="C10" s="360">
        <f ca="1">ROUND(IF(F10="押一",C6/12*F11,IF(F10="押二",C6/12*2*F11,IF(F10="押三",C6/12*3*F11,C11*F11))),0)</f>
        <v>0</v>
      </c>
      <c r="D10" s="1825" t="s">
        <v>2993</v>
      </c>
      <c r="E10" s="357" t="s">
        <v>1405</v>
      </c>
      <c r="F10" s="1368"/>
      <c r="G10" s="1852"/>
      <c r="H10" s="1293" t="s">
        <v>1037</v>
      </c>
      <c r="I10" s="1824" t="s">
        <v>1404</v>
      </c>
      <c r="J10" s="345">
        <f ca="1">ROUND(IF(M10="押一",J6/12*M11,IF(M10="押二",J6/12*2*M11,IF(M10="押三",J6/12*3*M11,J11*M11))),0)</f>
        <v>0</v>
      </c>
      <c r="K10" s="1836" t="s">
        <v>2995</v>
      </c>
      <c r="L10" s="357" t="s">
        <v>1405</v>
      </c>
      <c r="M10" s="1368"/>
    </row>
    <row r="11" spans="1:37" ht="18" customHeight="1">
      <c r="A11" s="352"/>
      <c r="B11" s="1826" t="s">
        <v>1596</v>
      </c>
      <c r="C11" s="1180"/>
      <c r="D11" s="351"/>
      <c r="E11" s="357" t="s">
        <v>1406</v>
      </c>
      <c r="F11" s="358">
        <f ca="1">'数据-取费表'!B39</f>
        <v>1.4999999999999999E-2</v>
      </c>
      <c r="G11" s="1852"/>
      <c r="H11" s="1301"/>
      <c r="I11" s="1826" t="s">
        <v>1597</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0</v>
      </c>
      <c r="D13" s="1333" t="s">
        <v>1409</v>
      </c>
      <c r="E13" s="1333" t="s">
        <v>1410</v>
      </c>
      <c r="F13" s="1334">
        <f ca="1">INDIRECT("'数据-取费表'!y"&amp;$G$1)</f>
        <v>0</v>
      </c>
      <c r="G13" s="1852"/>
      <c r="H13" s="1331">
        <v>2</v>
      </c>
      <c r="I13" s="1332" t="s">
        <v>1408</v>
      </c>
      <c r="J13" s="1292">
        <f ca="1">ROUND(J14*J15,0)</f>
        <v>0</v>
      </c>
      <c r="K13" s="1339" t="s">
        <v>1409</v>
      </c>
      <c r="L13" s="1853"/>
      <c r="M13" s="1854"/>
    </row>
    <row r="14" spans="1:37" ht="18" customHeight="1">
      <c r="A14" s="1203" t="s">
        <v>1032</v>
      </c>
      <c r="B14" s="346" t="s">
        <v>1411</v>
      </c>
      <c r="C14" s="362">
        <f ca="1">ROUND(INDIRECT("'数据-取费表'!l"&amp;$G$1)*F43+'数据-取费表'!L14*INDIRECT("'数据-取费表'!S"&amp;$G$1),0)</f>
        <v>0</v>
      </c>
      <c r="D14" s="1801" t="s">
        <v>1412</v>
      </c>
      <c r="E14" s="1795"/>
      <c r="F14" s="363"/>
      <c r="G14" s="1852"/>
      <c r="H14" s="1203" t="s">
        <v>1033</v>
      </c>
      <c r="I14" s="346" t="s">
        <v>1413</v>
      </c>
      <c r="J14" s="23">
        <f ca="1">C29</f>
        <v>0</v>
      </c>
      <c r="K14" s="14"/>
      <c r="L14" s="981"/>
      <c r="M14" s="982"/>
    </row>
    <row r="15" spans="1:37" s="1859" customFormat="1" ht="18" customHeight="1" thickBot="1">
      <c r="A15" s="1203" t="s">
        <v>1034</v>
      </c>
      <c r="B15" s="346" t="s">
        <v>1414</v>
      </c>
      <c r="C15" s="23">
        <f ca="1">ROUND(C14*F15,0)</f>
        <v>0</v>
      </c>
      <c r="D15" s="364" t="s">
        <v>1415</v>
      </c>
      <c r="E15" s="364" t="s">
        <v>1416</v>
      </c>
      <c r="F15" s="365">
        <f>'数据-取费表'!B33</f>
        <v>0.05</v>
      </c>
      <c r="G15" s="1855"/>
      <c r="H15" s="1341" t="s">
        <v>1037</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ROUND(INDIRECT("'数据-取费表'!l"&amp;$G$1)*F43*F16,0)</f>
        <v>0</v>
      </c>
      <c r="D16" s="346" t="s">
        <v>1415</v>
      </c>
      <c r="E16" s="346" t="s">
        <v>1416</v>
      </c>
      <c r="F16" s="366">
        <f ca="1">IF(INDIRECT("'数据-取费表'!c"&amp;$G$1)="住宅",'数据-取费表'!B34,0)</f>
        <v>0</v>
      </c>
      <c r="G16" s="1852"/>
      <c r="H16" s="1331" t="s">
        <v>1028</v>
      </c>
      <c r="I16" s="1332" t="s">
        <v>1418</v>
      </c>
      <c r="J16" s="354">
        <f ca="1">ROUND(J17+J22+J23+J24,0)</f>
        <v>0</v>
      </c>
      <c r="K16" s="1339" t="s">
        <v>1419</v>
      </c>
      <c r="L16" s="1340"/>
      <c r="M16" s="1296"/>
    </row>
    <row r="17" spans="1:37" s="1859" customFormat="1" ht="18" customHeight="1">
      <c r="A17" s="1203" t="s">
        <v>1385</v>
      </c>
      <c r="B17" s="346" t="s">
        <v>1420</v>
      </c>
      <c r="C17" s="23">
        <f ca="1">ROUND(F17*(F43+INDIRECT("'数据-取费表'!S"&amp;$G$1)),0)</f>
        <v>0</v>
      </c>
      <c r="D17" s="346" t="s">
        <v>1421</v>
      </c>
      <c r="E17" s="346" t="s">
        <v>1422</v>
      </c>
      <c r="F17" s="25">
        <f>'数据-取费表'!B35</f>
        <v>200</v>
      </c>
      <c r="G17" s="1855"/>
      <c r="H17" s="1203" t="s">
        <v>1033</v>
      </c>
      <c r="I17" s="346" t="s">
        <v>1423</v>
      </c>
      <c r="J17" s="23">
        <f ca="1">ROUND(IF(项目基本情况!B11="自然人",J5*M17,J18+J19+J20),0)</f>
        <v>0</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0</v>
      </c>
      <c r="D18" s="346" t="s">
        <v>1415</v>
      </c>
      <c r="E18" s="346" t="s">
        <v>1416</v>
      </c>
      <c r="F18" s="366">
        <f>'数据-取费表'!B36</f>
        <v>1.4999999999999999E-2</v>
      </c>
      <c r="G18" s="1855"/>
      <c r="H18" s="1203" t="s">
        <v>1032</v>
      </c>
      <c r="I18" s="346" t="s">
        <v>1427</v>
      </c>
      <c r="J18" s="23">
        <f ca="1">ROUND(J5*M18/(1+'数据-取费表'!C42),0)</f>
        <v>0</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0</v>
      </c>
      <c r="D19" s="139" t="s">
        <v>1430</v>
      </c>
      <c r="E19" s="1819"/>
      <c r="F19" s="25"/>
      <c r="G19" s="1852"/>
      <c r="H19" s="1203" t="s">
        <v>1034</v>
      </c>
      <c r="I19" s="346" t="s">
        <v>1431</v>
      </c>
      <c r="J19" s="23">
        <f ca="1">IF(K19="按租金收入计税",ROUND(J5*M19,0),ROUND(C29*M19*0.7,0))</f>
        <v>0</v>
      </c>
      <c r="K19" s="1829" t="s">
        <v>1432</v>
      </c>
      <c r="L19" s="346" t="s">
        <v>1416</v>
      </c>
      <c r="M19" s="366">
        <f>IF(K19="按租金收入计税",'数据-取费表'!B51,'数据-取费表'!B50)</f>
        <v>1.2E-2</v>
      </c>
    </row>
    <row r="20" spans="1:37" s="1859" customFormat="1" ht="18" customHeight="1">
      <c r="A20" s="1203" t="s">
        <v>1037</v>
      </c>
      <c r="B20" s="346" t="s">
        <v>1433</v>
      </c>
      <c r="C20" s="23">
        <f ca="1">ROUND(C19*F20,0)</f>
        <v>0</v>
      </c>
      <c r="D20" s="368" t="s">
        <v>1434</v>
      </c>
      <c r="E20" s="346" t="s">
        <v>1416</v>
      </c>
      <c r="F20" s="366">
        <f>'数据-取费表'!B37</f>
        <v>0.03</v>
      </c>
      <c r="G20" s="1855"/>
      <c r="H20" s="1203" t="s">
        <v>1384</v>
      </c>
      <c r="I20" s="163" t="s">
        <v>1435</v>
      </c>
      <c r="J20" s="24">
        <f ca="1">ROUND(M20*M21,0)</f>
        <v>0</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v>
      </c>
      <c r="D21" s="368" t="s">
        <v>1439</v>
      </c>
      <c r="E21" s="346" t="s">
        <v>1440</v>
      </c>
      <c r="F21" s="366">
        <f>'数据-取费表'!B38</f>
        <v>0.02</v>
      </c>
      <c r="G21" s="1855"/>
      <c r="H21" s="371"/>
      <c r="I21" s="355"/>
      <c r="J21" s="28"/>
      <c r="K21" s="372"/>
      <c r="L21" s="346" t="s">
        <v>1441</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ROUND(J14*M22,0)</f>
        <v>0</v>
      </c>
      <c r="K22" s="1799" t="s">
        <v>1444</v>
      </c>
      <c r="L22" s="346" t="s">
        <v>1416</v>
      </c>
      <c r="M22" s="373">
        <f ca="1">INDIRECT("'数据-取费表'!Ak"&amp;$G$1)</f>
        <v>0</v>
      </c>
    </row>
    <row r="23" spans="1:37" s="1859" customFormat="1" ht="18" customHeight="1">
      <c r="A23" s="1203" t="s">
        <v>1032</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ROUND(J13*M23,0)</f>
        <v>0</v>
      </c>
      <c r="K23" s="1799" t="s">
        <v>1448</v>
      </c>
      <c r="L23" s="346" t="s">
        <v>1449</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ROUND(J5*M24,0)</f>
        <v>0</v>
      </c>
      <c r="K24" s="1344" t="s">
        <v>1453</v>
      </c>
      <c r="L24" s="1342" t="s">
        <v>1449</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1454</v>
      </c>
      <c r="B25" s="346" t="s">
        <v>1455</v>
      </c>
      <c r="C25" s="23"/>
      <c r="D25" s="139" t="s">
        <v>1456</v>
      </c>
      <c r="E25" s="1819"/>
      <c r="F25" s="25"/>
      <c r="G25" s="1852"/>
      <c r="H25" s="1331" t="s">
        <v>1029</v>
      </c>
      <c r="I25" s="1346" t="s">
        <v>1457</v>
      </c>
      <c r="J25" s="354">
        <f ca="1">J5-J16</f>
        <v>0</v>
      </c>
      <c r="K25" s="1347" t="s">
        <v>1458</v>
      </c>
      <c r="L25" s="1348"/>
      <c r="M25" s="1349"/>
    </row>
    <row r="26" spans="1:37" ht="18" customHeight="1">
      <c r="A26" s="1203" t="s">
        <v>1032</v>
      </c>
      <c r="B26" s="346" t="s">
        <v>1459</v>
      </c>
      <c r="C26" s="23">
        <f ca="1">ROUND((C19+C20)*F26,0)</f>
        <v>0</v>
      </c>
      <c r="D26" s="368" t="s">
        <v>1460</v>
      </c>
      <c r="E26" s="357" t="s">
        <v>1461</v>
      </c>
      <c r="F26" s="356">
        <f ca="1">INDIRECT("'数据-取费表'!q"&amp;$G$1)</f>
        <v>0</v>
      </c>
      <c r="G26" s="1852"/>
      <c r="H26" s="343" t="s">
        <v>1030</v>
      </c>
      <c r="I26" s="344" t="s">
        <v>1462</v>
      </c>
      <c r="J26" s="345">
        <f ca="1">IF(J5&lt;&gt;0,ROUND(J25*(1-((1+M28)/(1+M26))^M27)/(M26-M28),0),0)</f>
        <v>0</v>
      </c>
      <c r="K26" s="369" t="s">
        <v>1463</v>
      </c>
      <c r="L26" s="346" t="s">
        <v>1464</v>
      </c>
      <c r="M26" s="356">
        <f ca="1">INDIRECT("'数据-取费表'!I"&amp;$G$1)</f>
        <v>0</v>
      </c>
    </row>
    <row r="27" spans="1:37" ht="18" customHeight="1">
      <c r="A27" s="1203" t="s">
        <v>1034</v>
      </c>
      <c r="B27" s="346" t="s">
        <v>1465</v>
      </c>
      <c r="C27" s="23">
        <f ca="1">ROUND(F21*F26,4)</f>
        <v>0</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0</v>
      </c>
      <c r="D29" s="1344"/>
      <c r="E29" s="1342"/>
      <c r="F29" s="1345"/>
      <c r="G29" s="1855"/>
      <c r="H29" s="379" t="s">
        <v>1031</v>
      </c>
      <c r="I29" s="380" t="s">
        <v>1473</v>
      </c>
      <c r="J29" s="381">
        <f ca="1">ROUND(J26/(1+F40)^F41,0)</f>
        <v>0</v>
      </c>
      <c r="K29" s="382" t="s">
        <v>1474</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ROUND(IF(项目基本情况!B11="自然人",C5*F31,C32+C33+C34),0)</f>
        <v>0</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IF(项目基本情况!B11="自然人","——",ROUND(C5*F32/(1+'数据-取费表'!C42),0))</f>
        <v>0</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IF(项目基本情况!B11="自然人","——",IF(D33="按租金收入计税",ROUND(C5*F33,0),IF(D33="按房产原值计税",ROUND(C29*F33*0.7,0),INDIRECT("'数据-取费表'!Aj"&amp;$G$1))))</f>
        <v>0</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f>
        <v>0</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0</v>
      </c>
      <c r="G35" s="1852"/>
      <c r="H35" s="744"/>
      <c r="I35" s="1861"/>
      <c r="J35" s="1862"/>
      <c r="K35" s="1863"/>
      <c r="L35" s="1860"/>
      <c r="M35" s="1860"/>
    </row>
    <row r="36" spans="1:18" ht="18" customHeight="1">
      <c r="A36" s="1354" t="s">
        <v>1037</v>
      </c>
      <c r="B36" s="346" t="s">
        <v>1443</v>
      </c>
      <c r="C36" s="23">
        <f ca="1">ROUND(C29*F36,0)</f>
        <v>0</v>
      </c>
      <c r="D36" s="1799" t="s">
        <v>1476</v>
      </c>
      <c r="E36" s="346" t="s">
        <v>1416</v>
      </c>
      <c r="F36" s="373">
        <f ca="1">INDIRECT("'数据-取费表'!Ak"&amp;$G$1)</f>
        <v>0</v>
      </c>
      <c r="G36" s="1852"/>
      <c r="H36" s="1860"/>
      <c r="I36" s="1861"/>
      <c r="J36" s="1862"/>
      <c r="K36" s="750"/>
      <c r="L36" s="1860"/>
      <c r="M36" s="1860"/>
    </row>
    <row r="37" spans="1:18" ht="18" customHeight="1">
      <c r="A37" s="1203" t="s">
        <v>1073</v>
      </c>
      <c r="B37" s="346" t="s">
        <v>1447</v>
      </c>
      <c r="C37" s="23">
        <f ca="1">ROUND(C13*F37,0)</f>
        <v>0</v>
      </c>
      <c r="D37" s="1799" t="s">
        <v>1448</v>
      </c>
      <c r="E37" s="346" t="s">
        <v>1449</v>
      </c>
      <c r="F37" s="375">
        <f ca="1">INDIRECT("'数据-取费表'!Al"&amp;$G$1)</f>
        <v>0</v>
      </c>
      <c r="G37" s="1852"/>
      <c r="H37" s="1860"/>
      <c r="I37" s="1861"/>
      <c r="J37" s="1862"/>
      <c r="K37" s="750"/>
      <c r="L37" s="1860"/>
      <c r="M37" s="1860"/>
    </row>
    <row r="38" spans="1:18" ht="18" customHeight="1" thickBot="1">
      <c r="A38" s="1341" t="s">
        <v>1388</v>
      </c>
      <c r="B38" s="1342" t="s">
        <v>1433</v>
      </c>
      <c r="C38" s="1343">
        <f ca="1">ROUND(C5*F38,1)</f>
        <v>0</v>
      </c>
      <c r="D38" s="1344" t="s">
        <v>1453</v>
      </c>
      <c r="E38" s="1342" t="s">
        <v>1449</v>
      </c>
      <c r="F38" s="1338">
        <f ca="1">INDIRECT("'数据-取费表'!Am"&amp;$G$1)</f>
        <v>0</v>
      </c>
      <c r="G38" s="1852"/>
      <c r="H38" s="1860"/>
      <c r="I38" s="1861"/>
      <c r="J38" s="1862"/>
      <c r="K38" s="1866"/>
      <c r="L38" s="1860"/>
      <c r="M38" s="1860"/>
    </row>
    <row r="39" spans="1:18" ht="24.6" customHeight="1" thickTop="1">
      <c r="A39" s="1331" t="s">
        <v>1029</v>
      </c>
      <c r="B39" s="1346" t="s">
        <v>1477</v>
      </c>
      <c r="C39" s="354">
        <f ca="1">C5-C30</f>
        <v>0</v>
      </c>
      <c r="D39" s="1347" t="s">
        <v>1478</v>
      </c>
      <c r="E39" s="1348"/>
      <c r="F39" s="1349"/>
      <c r="G39" s="1852"/>
      <c r="H39" s="1860"/>
      <c r="I39" s="1861"/>
      <c r="J39" s="1862"/>
      <c r="K39" s="1866"/>
      <c r="L39" s="1860"/>
      <c r="M39" s="1860"/>
    </row>
    <row r="40" spans="1:18" ht="18" customHeight="1">
      <c r="A40" s="343" t="s">
        <v>1030</v>
      </c>
      <c r="B40" s="344" t="s">
        <v>1479</v>
      </c>
      <c r="C40" s="345" t="e">
        <f ca="1">ROUND(C39*(1-((1+F42)/(1+F40))^F41)/(F40-F42),0)</f>
        <v>#DIV/0!</v>
      </c>
      <c r="D40" s="369" t="s">
        <v>1463</v>
      </c>
      <c r="E40" s="346" t="s">
        <v>1464</v>
      </c>
      <c r="F40" s="356">
        <f ca="1">INDIRECT("'数据-取费表'!I"&amp;$G$1)</f>
        <v>0</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t="e">
        <f ca="1">ROUND(C40/F43,0)</f>
        <v>#DIV/0!</v>
      </c>
      <c r="D43" s="382" t="s">
        <v>1482</v>
      </c>
      <c r="E43" s="383" t="s">
        <v>1483</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1513</v>
      </c>
      <c r="P45" s="1840"/>
      <c r="Q45" s="1840"/>
      <c r="R45" s="1840"/>
    </row>
    <row r="46" spans="1:18" s="1843" customFormat="1" ht="13.5" thickBot="1">
      <c r="A46" s="1871" t="s">
        <v>1514</v>
      </c>
      <c r="C46" s="1872" t="e">
        <f ca="1">ROUND(C45/10000,0)</f>
        <v>#DIV/0!</v>
      </c>
      <c r="D46" s="1873" t="str">
        <f>C2</f>
        <v>万元</v>
      </c>
      <c r="I46" s="1874" t="s">
        <v>1515</v>
      </c>
      <c r="J46" s="1875"/>
      <c r="K46" s="1876"/>
      <c r="L46" s="1877" t="e">
        <f ca="1">IF(M47="住宅",0,IF(L48&gt;J51,L60,J60))</f>
        <v>#DIV/0!</v>
      </c>
      <c r="O46" s="1878" t="s">
        <v>1516</v>
      </c>
      <c r="P46" s="1879" t="s">
        <v>1517</v>
      </c>
      <c r="Q46" s="1880" t="s">
        <v>1518</v>
      </c>
      <c r="R46" s="1880" t="s">
        <v>1519</v>
      </c>
    </row>
    <row r="47" spans="1:18" s="1843" customFormat="1" ht="13.5" thickBot="1">
      <c r="A47" s="1167" t="s">
        <v>1391</v>
      </c>
      <c r="B47" s="1199" t="s">
        <v>1392</v>
      </c>
      <c r="C47" s="1199" t="s">
        <v>1393</v>
      </c>
      <c r="D47" s="1199" t="s">
        <v>1394</v>
      </c>
      <c r="E47" s="1281" t="s">
        <v>1395</v>
      </c>
      <c r="F47" s="1282"/>
      <c r="G47" s="791"/>
      <c r="I47" s="1881" t="s">
        <v>1520</v>
      </c>
      <c r="J47" s="1882"/>
      <c r="K47" s="1883" t="s">
        <v>1521</v>
      </c>
      <c r="L47" s="1884">
        <f ca="1">INDIRECT("'数据-取费表'!d"&amp;$G$1)</f>
        <v>0</v>
      </c>
      <c r="M47" s="1839" t="str">
        <f>IF(ISNUMBER(FIND("住宅",C1)),"住宅","非住宅")</f>
        <v>非住宅</v>
      </c>
      <c r="O47" s="1885" t="s">
        <v>1038</v>
      </c>
      <c r="P47" s="1886" t="s">
        <v>1522</v>
      </c>
      <c r="Q47" s="1887" t="e">
        <f ca="1">C40+J29</f>
        <v>#DIV/0!</v>
      </c>
      <c r="R47" s="1887" t="s">
        <v>1523</v>
      </c>
    </row>
    <row r="48" spans="1:18" s="1843" customFormat="1" ht="28.5" thickBot="1">
      <c r="A48" s="1362" t="s">
        <v>1133</v>
      </c>
      <c r="B48" s="344" t="s">
        <v>1396</v>
      </c>
      <c r="C48" s="1818">
        <f ca="1">C49+C53+C55</f>
        <v>0</v>
      </c>
      <c r="D48" s="1364"/>
      <c r="E48" s="1365"/>
      <c r="F48" s="1183"/>
      <c r="G48" s="791"/>
      <c r="H48" s="792"/>
      <c r="I48" s="1888" t="s">
        <v>1524</v>
      </c>
      <c r="J48" s="1889"/>
      <c r="K48" s="1890" t="s">
        <v>1525</v>
      </c>
      <c r="L48" s="1891">
        <f ca="1">INDIRECT("'数据-取费表'!f"&amp;$G$1)</f>
        <v>0</v>
      </c>
      <c r="O48" s="1885" t="s">
        <v>1039</v>
      </c>
      <c r="P48" s="1886" t="s">
        <v>1526</v>
      </c>
      <c r="Q48" s="1887" t="e">
        <f ca="1">J60</f>
        <v>#DIV/0!</v>
      </c>
      <c r="R48" s="1887" t="s">
        <v>1527</v>
      </c>
    </row>
    <row r="49" spans="1:18" s="1843" customFormat="1" ht="13.5" thickBot="1">
      <c r="A49" s="1196" t="s">
        <v>1134</v>
      </c>
      <c r="B49" s="1830" t="s">
        <v>1484</v>
      </c>
      <c r="C49" s="1366">
        <f ca="1">ROUND(F49*F51*F50*(1-F52),0)</f>
        <v>0</v>
      </c>
      <c r="D49" s="1278" t="s">
        <v>1399</v>
      </c>
      <c r="E49" s="1831" t="s">
        <v>1485</v>
      </c>
      <c r="F49" s="1283"/>
      <c r="G49" s="1892"/>
      <c r="H49" s="792"/>
      <c r="I49" s="1888" t="s">
        <v>1528</v>
      </c>
      <c r="J49" s="1893"/>
      <c r="K49" s="1890" t="s">
        <v>1529</v>
      </c>
      <c r="L49" s="1894"/>
      <c r="O49" s="1895" t="s">
        <v>1040</v>
      </c>
      <c r="P49" s="1886" t="s">
        <v>1530</v>
      </c>
      <c r="Q49" s="1887">
        <f ca="1">C29</f>
        <v>0</v>
      </c>
      <c r="R49" s="1887" t="s">
        <v>1523</v>
      </c>
    </row>
    <row r="50" spans="1:18" s="1843" customFormat="1" ht="13.5" thickBot="1">
      <c r="A50" s="1197"/>
      <c r="B50" s="1200"/>
      <c r="C50" s="1201"/>
      <c r="D50" s="1174"/>
      <c r="E50" s="1279" t="s">
        <v>1401</v>
      </c>
      <c r="F50" s="1280">
        <f ca="1">F7</f>
        <v>0</v>
      </c>
      <c r="H50" s="792"/>
      <c r="I50" s="1888" t="s">
        <v>1531</v>
      </c>
      <c r="J50" s="1896">
        <f>SUMPRODUCT((I63:I65=J47)*(J62:L62=J48)*(J63:L65))</f>
        <v>0</v>
      </c>
      <c r="K50" s="1890" t="s">
        <v>1532</v>
      </c>
      <c r="L50" s="1894"/>
      <c r="M50" s="1897"/>
      <c r="O50" s="1895" t="s">
        <v>1041</v>
      </c>
      <c r="P50" s="1886" t="s">
        <v>1533</v>
      </c>
      <c r="Q50" s="1898" t="e">
        <f ca="1">J58</f>
        <v>#DIV/0!</v>
      </c>
      <c r="R50" s="1887"/>
    </row>
    <row r="51" spans="1:18" s="1843" customFormat="1" ht="13.5" thickBot="1">
      <c r="A51" s="1198"/>
      <c r="B51" s="1200"/>
      <c r="C51" s="1201"/>
      <c r="D51" s="1174"/>
      <c r="E51" s="1202" t="s">
        <v>1402</v>
      </c>
      <c r="F51" s="347">
        <f ca="1">F8</f>
        <v>0</v>
      </c>
      <c r="I51" s="1899" t="s">
        <v>1534</v>
      </c>
      <c r="J51" s="1900">
        <f>IF(J49="",J50,J49+J50-YEAR('数据-取费表'!B2))</f>
        <v>0</v>
      </c>
      <c r="K51" s="1901" t="s">
        <v>1535</v>
      </c>
      <c r="L51" s="1902">
        <f ca="1">ROUND(-PV(INDIRECT("'数据-取费表'!h"&amp;$G$1),L48,(C39-C13*C76),0),0)</f>
        <v>0</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t="b">
        <f>J53</f>
        <v>0</v>
      </c>
      <c r="R52" s="1887" t="s">
        <v>1540</v>
      </c>
    </row>
    <row r="53" spans="1:18" s="1843" customFormat="1" ht="30.75" customHeight="1" thickBot="1">
      <c r="A53" s="1363" t="s">
        <v>1135</v>
      </c>
      <c r="B53" s="368" t="s">
        <v>1404</v>
      </c>
      <c r="C53" s="360">
        <f ca="1">ROUND(IF(F53="押一",C49/12*F11,IF(F53="押二",C49/12*2*F11,IF(F53="押三",C49/12*3*F11,C54*F11))),0)</f>
        <v>0</v>
      </c>
      <c r="D53" s="1825" t="s">
        <v>2996</v>
      </c>
      <c r="E53" s="357" t="s">
        <v>1405</v>
      </c>
      <c r="F53" s="1368"/>
      <c r="I53" s="1906" t="s">
        <v>1541</v>
      </c>
      <c r="J53" s="1907" t="b">
        <f>IF(M47="住宅",J51,IF(D1="——",MIN(J51,L48),IF(D1="在建（套用方法）",MIN(J51,L48-'数据-取费表'!B24),IF(D1="土地（套用方法）",MIN(J51,L48-'数据-取费表'!B20)))))</f>
        <v>0</v>
      </c>
      <c r="K53" s="3206" t="s">
        <v>1542</v>
      </c>
      <c r="L53" s="3207"/>
      <c r="O53" s="1885" t="s">
        <v>1044</v>
      </c>
      <c r="P53" s="1886" t="s">
        <v>1543</v>
      </c>
      <c r="Q53" s="1887" t="e">
        <f ca="1">Q47+Q48</f>
        <v>#DIV/0!</v>
      </c>
      <c r="R53" s="1887" t="s">
        <v>1045</v>
      </c>
    </row>
    <row r="54" spans="1:18" s="1843" customFormat="1" ht="13.5" thickBot="1">
      <c r="A54" s="1196"/>
      <c r="B54" s="1942" t="s">
        <v>1597</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#DIV/0!</v>
      </c>
      <c r="K55" s="1913" t="s">
        <v>1546</v>
      </c>
      <c r="L55" s="1914"/>
      <c r="O55" s="1878" t="s">
        <v>1516</v>
      </c>
      <c r="P55" s="1879" t="s">
        <v>1517</v>
      </c>
      <c r="Q55" s="1880" t="s">
        <v>1518</v>
      </c>
      <c r="R55" s="1880" t="s">
        <v>1519</v>
      </c>
    </row>
    <row r="56" spans="1:18" s="1843" customFormat="1" ht="36" customHeight="1" thickTop="1" thickBot="1">
      <c r="A56" s="1178">
        <v>2</v>
      </c>
      <c r="B56" s="1179" t="s">
        <v>1408</v>
      </c>
      <c r="C56" s="275">
        <f ca="1">C13</f>
        <v>0</v>
      </c>
      <c r="D56" s="1915"/>
      <c r="E56" s="1916"/>
      <c r="F56" s="1908"/>
      <c r="I56" s="1917" t="s">
        <v>1548</v>
      </c>
      <c r="J56" s="1918"/>
      <c r="K56" s="1888" t="s">
        <v>1549</v>
      </c>
      <c r="L56" s="1891">
        <f ca="1">IF(L48&lt;J51,"——",L48-J51)</f>
        <v>0</v>
      </c>
      <c r="O56" s="1885" t="s">
        <v>1038</v>
      </c>
      <c r="P56" s="1886" t="s">
        <v>1522</v>
      </c>
      <c r="Q56" s="1887" t="e">
        <f ca="1">C40+J29</f>
        <v>#DIV/0!</v>
      </c>
      <c r="R56" s="1887" t="s">
        <v>1523</v>
      </c>
    </row>
    <row r="57" spans="1:18" s="1843" customFormat="1" ht="24.75" thickBot="1">
      <c r="A57" s="1919"/>
      <c r="B57" s="1171" t="s">
        <v>1472</v>
      </c>
      <c r="C57" s="281">
        <f ca="1">C29</f>
        <v>0</v>
      </c>
      <c r="D57" s="1920"/>
      <c r="E57" s="1921"/>
      <c r="F57" s="1922"/>
      <c r="I57" s="1923" t="s">
        <v>1550</v>
      </c>
      <c r="J57" s="1924">
        <f ca="1">IF(OR(M47="住宅",J51&lt;L48,J56="是"),"——",J51-L48)</f>
        <v>0</v>
      </c>
      <c r="K57" s="1888" t="s">
        <v>1599</v>
      </c>
      <c r="L57" s="1891">
        <f ca="1">IF(L48&lt;J51,"——",IF(L55="比较法",L49,IF(L55="基准地价",L50,L51)))</f>
        <v>0</v>
      </c>
      <c r="O57" s="1885" t="s">
        <v>1039</v>
      </c>
      <c r="P57" s="1886" t="s">
        <v>1600</v>
      </c>
      <c r="Q57" s="1887" t="e">
        <f ca="1">L60</f>
        <v>#DIV/0!</v>
      </c>
      <c r="R57" s="1887" t="s">
        <v>1601</v>
      </c>
    </row>
    <row r="58" spans="1:18" s="1843" customFormat="1" ht="24.75" thickBot="1">
      <c r="A58" s="359" t="s">
        <v>1028</v>
      </c>
      <c r="B58" s="1179" t="s">
        <v>1418</v>
      </c>
      <c r="C58" s="360">
        <f ca="1">ROUND(C59+C64+C65+C66,0)</f>
        <v>0</v>
      </c>
      <c r="D58" s="1181" t="s">
        <v>1419</v>
      </c>
      <c r="E58" s="1182"/>
      <c r="F58" s="1183"/>
      <c r="I58" s="1923" t="s">
        <v>1554</v>
      </c>
      <c r="J58" s="1925" t="e">
        <f ca="1">IF(J55&lt;0.4,0.4,J55)</f>
        <v>#DIV/0!</v>
      </c>
      <c r="K58" s="1901" t="s">
        <v>1602</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ROUND(IF(项目基本情况!B11="自然人",C48*F59,C60+C61+C62),0)</f>
        <v>0</v>
      </c>
      <c r="D59" s="1184" t="s">
        <v>1424</v>
      </c>
      <c r="E59" s="1185" t="s">
        <v>1425</v>
      </c>
      <c r="F59" s="367"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IF(项目基本情况!B11="自然人","——",ROUND(C48*F60/(1+'数据-取费表'!C42),0))</f>
        <v>0</v>
      </c>
      <c r="D60" s="1185" t="s">
        <v>1428</v>
      </c>
      <c r="E60" s="1171" t="s">
        <v>1416</v>
      </c>
      <c r="F60" s="376">
        <f t="shared" ref="F60:F66" si="0">F32</f>
        <v>5.5000000000000007E-2</v>
      </c>
      <c r="I60" s="1926" t="s">
        <v>1559</v>
      </c>
      <c r="J60" s="1927" t="e">
        <f ca="1">IF(OR(M47="住宅",J51&lt;L48,J56="是"),"0",ROUND(J59/(1+J52)^J53,0))</f>
        <v>#DIV/0!</v>
      </c>
      <c r="K60" s="1928" t="s">
        <v>1560</v>
      </c>
      <c r="L60" s="1927" t="e">
        <f ca="1">IF(OR(M47="住宅",L48&lt;J51),0,ROUND(L57*(L58/L59-1),0))</f>
        <v>#DIV/0!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IF(项目基本情况!B11="自然人","——",IF(D61="按租金收入计税",ROUND(C48*F61,0),IF(D61="按房产原值计税",ROUND(C57*F61*0.7,0),INDIRECT("'数据-取费表'!Aj"&amp;$G$1))))</f>
        <v>0</v>
      </c>
      <c r="D61" s="1829" t="s">
        <v>1432</v>
      </c>
      <c r="E61" s="1171" t="s">
        <v>1488</v>
      </c>
      <c r="F61" s="366">
        <f t="shared" si="0"/>
        <v>1.2E-2</v>
      </c>
      <c r="I61" s="1929"/>
      <c r="J61" s="1929"/>
      <c r="K61" s="1929"/>
      <c r="L61" s="1929"/>
      <c r="O61" s="1895" t="s">
        <v>1043</v>
      </c>
      <c r="P61" s="1886" t="str">
        <f>K59</f>
        <v>建设期及建筑物耐用年限下的土地年期修正系数Kn</v>
      </c>
      <c r="Q61" s="1887" t="e">
        <f ca="1">L59</f>
        <v>#DIV/0!</v>
      </c>
      <c r="R61" s="1887" t="s">
        <v>1563</v>
      </c>
    </row>
    <row r="62" spans="1:18" s="1843" customFormat="1" ht="13.5" thickBot="1">
      <c r="A62" s="1203" t="s">
        <v>1489</v>
      </c>
      <c r="B62" s="1170" t="s">
        <v>1490</v>
      </c>
      <c r="C62" s="24">
        <f ca="1">IF(项目基本情况!B11="自然人","——",ROUND(F62*F63,0))</f>
        <v>0</v>
      </c>
      <c r="D62" s="1186" t="s">
        <v>1491</v>
      </c>
      <c r="E62" s="1171" t="s">
        <v>1492</v>
      </c>
      <c r="F62" s="370">
        <f t="shared" si="0"/>
        <v>3</v>
      </c>
      <c r="I62" s="1930" t="s">
        <v>1564</v>
      </c>
      <c r="J62" s="1931" t="s">
        <v>1565</v>
      </c>
      <c r="K62" s="1931" t="s">
        <v>1566</v>
      </c>
      <c r="L62" s="1931" t="s">
        <v>1567</v>
      </c>
      <c r="M62" s="1932" t="s">
        <v>1568</v>
      </c>
      <c r="O62" s="1885" t="s">
        <v>1044</v>
      </c>
      <c r="P62" s="1886" t="s">
        <v>1569</v>
      </c>
      <c r="Q62" s="1887" t="e">
        <f ca="1">Q56+Q57</f>
        <v>#DIV/0!</v>
      </c>
      <c r="R62" s="1887" t="s">
        <v>1045</v>
      </c>
    </row>
    <row r="63" spans="1:18" s="1843" customFormat="1" ht="13.5" thickBot="1">
      <c r="A63" s="371"/>
      <c r="B63" s="1177"/>
      <c r="C63" s="28"/>
      <c r="D63" s="1187"/>
      <c r="E63" s="1171" t="s">
        <v>1493</v>
      </c>
      <c r="F63" s="347">
        <f t="shared" ca="1" si="0"/>
        <v>0</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ROUND(C57*F64,0)</f>
        <v>0</v>
      </c>
      <c r="D64" s="1185" t="s">
        <v>1496</v>
      </c>
      <c r="E64" s="1171" t="s">
        <v>1488</v>
      </c>
      <c r="F64" s="373">
        <f t="shared" ca="1" si="0"/>
        <v>0</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ROUND(C56*F65,0)</f>
        <v>0</v>
      </c>
      <c r="D65" s="1185" t="s">
        <v>1448</v>
      </c>
      <c r="E65" s="1171" t="s">
        <v>1449</v>
      </c>
      <c r="F65" s="375">
        <f t="shared" ca="1" si="0"/>
        <v>0</v>
      </c>
      <c r="I65" s="1930" t="s">
        <v>1573</v>
      </c>
      <c r="J65" s="1931">
        <v>40</v>
      </c>
      <c r="K65" s="1931">
        <v>30</v>
      </c>
      <c r="L65" s="1931">
        <v>50</v>
      </c>
      <c r="M65" s="1933">
        <v>0.02</v>
      </c>
      <c r="O65" s="1885" t="s">
        <v>1038</v>
      </c>
      <c r="P65" s="1886" t="s">
        <v>1574</v>
      </c>
      <c r="Q65" s="1887" t="e">
        <f ca="1">C40+J29</f>
        <v>#DIV/0!</v>
      </c>
      <c r="R65" s="1887" t="s">
        <v>1523</v>
      </c>
    </row>
    <row r="66" spans="1:18" s="1843" customFormat="1" ht="16.5" thickBot="1">
      <c r="A66" s="1203" t="s">
        <v>1498</v>
      </c>
      <c r="B66" s="1171" t="s">
        <v>1433</v>
      </c>
      <c r="C66" s="23">
        <f ca="1">ROUND(C48*F66,0)</f>
        <v>0</v>
      </c>
      <c r="D66" s="1185" t="s">
        <v>1499</v>
      </c>
      <c r="E66" s="1171" t="s">
        <v>1416</v>
      </c>
      <c r="F66" s="356">
        <f t="shared" ca="1" si="0"/>
        <v>0</v>
      </c>
      <c r="O66" s="1885" t="s">
        <v>1039</v>
      </c>
      <c r="P66" s="1886" t="s">
        <v>1552</v>
      </c>
      <c r="Q66" s="1887" t="e">
        <f ca="1">L60</f>
        <v>#DIV/0!</v>
      </c>
      <c r="R66" s="1887" t="s">
        <v>1575</v>
      </c>
    </row>
    <row r="67" spans="1:18" s="1843" customFormat="1" ht="16.5" thickBot="1">
      <c r="A67" s="1178" t="s">
        <v>1029</v>
      </c>
      <c r="B67" s="1188" t="s">
        <v>1457</v>
      </c>
      <c r="C67" s="360">
        <f ca="1">C48-C58</f>
        <v>0</v>
      </c>
      <c r="D67" s="1184" t="s">
        <v>1458</v>
      </c>
      <c r="E67" s="1189"/>
      <c r="F67" s="1190"/>
      <c r="O67" s="1895" t="s">
        <v>1040</v>
      </c>
      <c r="P67" s="1886" t="s">
        <v>1556</v>
      </c>
      <c r="Q67" s="1934">
        <f ca="1">L51</f>
        <v>0</v>
      </c>
      <c r="R67" s="1887" t="s">
        <v>1576</v>
      </c>
    </row>
    <row r="68" spans="1:18" s="1843" customFormat="1" ht="16.5" thickBot="1">
      <c r="A68" s="1168" t="s">
        <v>1030</v>
      </c>
      <c r="B68" s="1169" t="s">
        <v>1479</v>
      </c>
      <c r="C68" s="345" t="e">
        <f ca="1">ROUND(C67*(1-((1+F70)/(1+F68))^F69)/(F68-F70),0)</f>
        <v>#DIV/0!</v>
      </c>
      <c r="D68" s="1186" t="s">
        <v>1463</v>
      </c>
      <c r="E68" s="1171" t="s">
        <v>1464</v>
      </c>
      <c r="F68" s="356">
        <f ca="1">F40</f>
        <v>0</v>
      </c>
      <c r="O68" s="1895" t="s">
        <v>1041</v>
      </c>
      <c r="P68" s="1935" t="s">
        <v>1577</v>
      </c>
      <c r="Q68" s="1887">
        <f ca="1">ROUND(Q69-Q70*Q71,0)</f>
        <v>0</v>
      </c>
      <c r="R68" s="1887" t="s">
        <v>1049</v>
      </c>
    </row>
    <row r="69" spans="1:18" s="1843" customFormat="1" ht="13.5" thickBot="1">
      <c r="A69" s="1172"/>
      <c r="B69" s="1173"/>
      <c r="C69" s="350"/>
      <c r="D69" s="1191" t="s">
        <v>1467</v>
      </c>
      <c r="E69" s="1171" t="s">
        <v>1468</v>
      </c>
      <c r="F69" s="378">
        <f ca="1">F41</f>
        <v>0</v>
      </c>
      <c r="O69" s="1895" t="s">
        <v>1046</v>
      </c>
      <c r="P69" s="1935" t="s">
        <v>1578</v>
      </c>
      <c r="Q69" s="1887">
        <f ca="1">C39</f>
        <v>0</v>
      </c>
      <c r="R69" s="1887" t="s">
        <v>1523</v>
      </c>
    </row>
    <row r="70" spans="1:18" s="1843" customFormat="1" ht="13.5" thickBot="1">
      <c r="A70" s="1175"/>
      <c r="B70" s="1176"/>
      <c r="C70" s="354"/>
      <c r="D70" s="1187"/>
      <c r="E70" s="1171" t="s">
        <v>1471</v>
      </c>
      <c r="F70" s="1277">
        <f ca="1">F42</f>
        <v>0</v>
      </c>
      <c r="O70" s="1895" t="s">
        <v>1047</v>
      </c>
      <c r="P70" s="1935" t="s">
        <v>1579</v>
      </c>
      <c r="Q70" s="1887">
        <f ca="1">C13</f>
        <v>0</v>
      </c>
      <c r="R70" s="1887" t="s">
        <v>1523</v>
      </c>
    </row>
    <row r="71" spans="1:18" s="1843" customFormat="1" ht="13.5" thickBot="1">
      <c r="A71" s="1192" t="s">
        <v>1031</v>
      </c>
      <c r="B71" s="1193" t="s">
        <v>1481</v>
      </c>
      <c r="C71" s="381" t="e">
        <f ca="1">ROUND(C68/F71,0)</f>
        <v>#DIV/0!</v>
      </c>
      <c r="D71" s="1194" t="s">
        <v>1482</v>
      </c>
      <c r="E71" s="1195" t="s">
        <v>1483</v>
      </c>
      <c r="F71" s="384">
        <f ca="1">F43</f>
        <v>0</v>
      </c>
      <c r="O71" s="1895" t="s">
        <v>1048</v>
      </c>
      <c r="P71" s="1935" t="s">
        <v>1580</v>
      </c>
      <c r="Q71" s="1898">
        <f ca="1">C76</f>
        <v>0</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建设期及建筑物耐用年限下的土地年期修正系数Kn</v>
      </c>
      <c r="Q74" s="1887" t="e">
        <f ca="1">L59</f>
        <v>#DIV/0!</v>
      </c>
      <c r="R74" s="1887" t="s">
        <v>1563</v>
      </c>
    </row>
    <row r="75" spans="1:18" ht="13.5" thickBot="1">
      <c r="A75" s="1843"/>
      <c r="B75" s="385" t="s">
        <v>1500</v>
      </c>
      <c r="C75" s="386">
        <f ca="1">ROUND(C13*C76,0)</f>
        <v>0</v>
      </c>
      <c r="D75" s="1843"/>
      <c r="E75" s="1843"/>
      <c r="F75" s="1843"/>
      <c r="K75" s="1869"/>
      <c r="L75" s="1843"/>
      <c r="O75" s="1885" t="s">
        <v>1044</v>
      </c>
      <c r="P75" s="1886" t="s">
        <v>1543</v>
      </c>
      <c r="Q75" s="1887" t="e">
        <f ca="1">Q65+Q66</f>
        <v>#DIV/0!</v>
      </c>
      <c r="R75" s="1887" t="s">
        <v>1045</v>
      </c>
    </row>
    <row r="76" spans="1:18">
      <c r="B76" s="387" t="s">
        <v>1501</v>
      </c>
      <c r="C76" s="388">
        <f ca="1">INDIRECT("'数据-取费表'!j"&amp;$G$1)</f>
        <v>0</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N14" sqref="N1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3019</v>
      </c>
      <c r="D1" s="1821" t="s">
        <v>69</v>
      </c>
      <c r="E1" s="1822" t="s">
        <v>1382</v>
      </c>
      <c r="F1" s="1285">
        <f ca="1">J53</f>
        <v>26.81</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17607</v>
      </c>
      <c r="C2" s="1846" t="s">
        <v>1510</v>
      </c>
      <c r="D2" s="1846"/>
      <c r="E2" s="1847"/>
      <c r="F2" s="1848"/>
      <c r="G2" s="1849"/>
      <c r="H2" s="1841"/>
      <c r="I2" s="1841"/>
      <c r="J2" s="1841"/>
      <c r="K2" s="1842"/>
      <c r="L2" s="1841"/>
      <c r="M2" s="1841"/>
    </row>
    <row r="3" spans="1:37" ht="18" customHeight="1" thickBot="1">
      <c r="A3" s="1850" t="s">
        <v>1511</v>
      </c>
      <c r="B3" s="1851">
        <f ca="1">IF(ISERROR(B2*10000/F43),0,ROUND(B2*10000/F43,0))</f>
        <v>17251</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0</v>
      </c>
      <c r="D5" s="1823" t="s">
        <v>1397</v>
      </c>
      <c r="E5" s="1295"/>
      <c r="F5" s="1296"/>
      <c r="G5" s="1852"/>
      <c r="H5" s="343">
        <v>1</v>
      </c>
      <c r="I5" s="344" t="s">
        <v>1396</v>
      </c>
      <c r="J5" s="1294">
        <f ca="1">J6+J10+J12</f>
        <v>1173</v>
      </c>
      <c r="K5" s="1823" t="s">
        <v>1397</v>
      </c>
      <c r="L5" s="1295"/>
      <c r="M5" s="1296"/>
    </row>
    <row r="6" spans="1:37" ht="18" customHeight="1">
      <c r="A6" s="1293" t="s">
        <v>1033</v>
      </c>
      <c r="B6" s="3208" t="s">
        <v>1398</v>
      </c>
      <c r="C6" s="1298">
        <f ca="1">ROUND(F6*F8*F7*(1-F9)/10000,0)</f>
        <v>0</v>
      </c>
      <c r="D6" s="163" t="s">
        <v>2985</v>
      </c>
      <c r="E6" s="346" t="s">
        <v>1400</v>
      </c>
      <c r="F6" s="347">
        <f ca="1">INDIRECT("'数据-取费表'!u"&amp;$G$1)</f>
        <v>0</v>
      </c>
      <c r="G6" s="1852"/>
      <c r="H6" s="1293" t="s">
        <v>1033</v>
      </c>
      <c r="I6" s="3208" t="s">
        <v>1398</v>
      </c>
      <c r="J6" s="345">
        <f ca="1">ROUND(M6*M8*M7*(1-M9)/10000,0)</f>
        <v>1173</v>
      </c>
      <c r="K6" s="163" t="s">
        <v>2984</v>
      </c>
      <c r="L6" s="346" t="s">
        <v>1400</v>
      </c>
      <c r="M6" s="347">
        <f ca="1">INDIRECT("'数据-取费表'!z"&amp;$G$1)</f>
        <v>3.5</v>
      </c>
    </row>
    <row r="7" spans="1:37" ht="18" customHeight="1">
      <c r="A7" s="1297"/>
      <c r="B7" s="3209"/>
      <c r="C7" s="1299"/>
      <c r="D7" s="351"/>
      <c r="E7" s="2951" t="s">
        <v>1401</v>
      </c>
      <c r="F7" s="347">
        <f ca="1">IF(INDIRECT("'数据-取费表'!ah"&amp;$G$1)="",INDIRECT("'数据-取费表'!k"&amp;$G$1),INDIRECT("'数据-取费表'!ah"&amp;$G$1))</f>
        <v>10206.15</v>
      </c>
      <c r="G7" s="1852"/>
      <c r="H7" s="348"/>
      <c r="I7" s="3209"/>
      <c r="J7" s="350"/>
      <c r="K7" s="351"/>
      <c r="L7" s="346" t="s">
        <v>1401</v>
      </c>
      <c r="M7" s="347">
        <f ca="1">F7</f>
        <v>10206.15</v>
      </c>
    </row>
    <row r="8" spans="1:37" ht="18" customHeight="1">
      <c r="A8" s="348"/>
      <c r="B8" s="3209"/>
      <c r="C8" s="350"/>
      <c r="D8" s="351"/>
      <c r="E8" s="346" t="s">
        <v>1402</v>
      </c>
      <c r="F8" s="347">
        <f ca="1">INDIRECT("'数据-取费表'!ai"&amp;$G$1)</f>
        <v>365</v>
      </c>
      <c r="G8" s="1852"/>
      <c r="H8" s="348"/>
      <c r="I8" s="3209"/>
      <c r="J8" s="350"/>
      <c r="K8" s="351"/>
      <c r="L8" s="346" t="s">
        <v>1402</v>
      </c>
      <c r="M8" s="347">
        <f ca="1">INDIRECT("'数据-取费表'!ai"&amp;$G$1)</f>
        <v>365</v>
      </c>
    </row>
    <row r="9" spans="1:37" ht="18" customHeight="1">
      <c r="A9" s="348"/>
      <c r="B9" s="3210"/>
      <c r="C9" s="350"/>
      <c r="D9" s="351"/>
      <c r="E9" s="346" t="s">
        <v>1403</v>
      </c>
      <c r="F9" s="356">
        <f ca="1">INDIRECT("'数据-取费表'!w"&amp;$G$1)</f>
        <v>0</v>
      </c>
      <c r="G9" s="1852"/>
      <c r="H9" s="348"/>
      <c r="I9" s="3210"/>
      <c r="J9" s="350"/>
      <c r="K9" s="351"/>
      <c r="L9" s="357" t="s">
        <v>1403</v>
      </c>
      <c r="M9" s="358">
        <f ca="1">INDIRECT("'数据-取费表'!ab"&amp;$G$1)</f>
        <v>0.1</v>
      </c>
    </row>
    <row r="10" spans="1:37" ht="18" customHeight="1">
      <c r="A10" s="1293" t="s">
        <v>1037</v>
      </c>
      <c r="B10" s="1824" t="s">
        <v>1404</v>
      </c>
      <c r="C10" s="360">
        <f ca="1">ROUND(IF(F10="押一",C6/12*F11,IF(F10="押二",C6/12*2*F11,IF(F10="押三",C6/12*3*F11,C11*F11)))/10000,0)</f>
        <v>0</v>
      </c>
      <c r="D10" s="1825" t="s">
        <v>2993</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3142</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4207</v>
      </c>
      <c r="D13" s="1333" t="s">
        <v>1409</v>
      </c>
      <c r="E13" s="1333" t="s">
        <v>1410</v>
      </c>
      <c r="F13" s="1334">
        <f ca="1">INDIRECT("'数据-取费表'!y"&amp;$G$1)</f>
        <v>0.97</v>
      </c>
      <c r="G13" s="1852"/>
      <c r="H13" s="1331">
        <v>2</v>
      </c>
      <c r="I13" s="1332" t="s">
        <v>1408</v>
      </c>
      <c r="J13" s="1292">
        <f ca="1">ROUND(J14*J15,0)</f>
        <v>4120</v>
      </c>
      <c r="K13" s="1339" t="s">
        <v>1409</v>
      </c>
      <c r="L13" s="1853"/>
      <c r="M13" s="1854"/>
    </row>
    <row r="14" spans="1:37" ht="18" customHeight="1">
      <c r="A14" s="1203" t="s">
        <v>1032</v>
      </c>
      <c r="B14" s="346" t="s">
        <v>1411</v>
      </c>
      <c r="C14" s="362">
        <f ca="1">INDIRECT("'数据-取费表'!m"&amp;$G$1)+INDIRECT("'数据-取费表'!t"&amp;$G$1)</f>
        <v>2858</v>
      </c>
      <c r="D14" s="2945" t="s">
        <v>1412</v>
      </c>
      <c r="E14" s="2943"/>
      <c r="F14" s="363"/>
      <c r="G14" s="1852"/>
      <c r="H14" s="1203" t="s">
        <v>1033</v>
      </c>
      <c r="I14" s="346" t="s">
        <v>1413</v>
      </c>
      <c r="J14" s="23">
        <f ca="1">C29</f>
        <v>4337</v>
      </c>
      <c r="K14" s="2950"/>
      <c r="L14" s="981"/>
      <c r="M14" s="982"/>
    </row>
    <row r="15" spans="1:37" s="1859" customFormat="1" ht="18" customHeight="1" thickBot="1">
      <c r="A15" s="1203" t="s">
        <v>1034</v>
      </c>
      <c r="B15" s="346" t="s">
        <v>1414</v>
      </c>
      <c r="C15" s="23">
        <f ca="1">ROUND(C14*F15,0)</f>
        <v>143</v>
      </c>
      <c r="D15" s="364" t="s">
        <v>1415</v>
      </c>
      <c r="E15" s="364" t="s">
        <v>1416</v>
      </c>
      <c r="F15" s="365">
        <f>'数据-取费表'!B33</f>
        <v>0.05</v>
      </c>
      <c r="G15" s="1855"/>
      <c r="H15" s="1341" t="s">
        <v>1037</v>
      </c>
      <c r="I15" s="1342" t="s">
        <v>1410</v>
      </c>
      <c r="J15" s="1351">
        <f ca="1">INDIRECT("'数据-取费表'!ad"&amp;$G$1)</f>
        <v>0.95</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228</v>
      </c>
      <c r="K16" s="1339" t="s">
        <v>1419</v>
      </c>
      <c r="L16" s="2946"/>
      <c r="M16" s="1296"/>
    </row>
    <row r="17" spans="1:37" s="1859" customFormat="1" ht="18" customHeight="1">
      <c r="A17" s="1203" t="s">
        <v>1385</v>
      </c>
      <c r="B17" s="346" t="s">
        <v>1420</v>
      </c>
      <c r="C17" s="23">
        <f ca="1">ROUND(F17*(F43+INDIRECT("'数据-取费表'!S"&amp;$G$1))/10000,0)</f>
        <v>204</v>
      </c>
      <c r="D17" s="346" t="s">
        <v>1421</v>
      </c>
      <c r="E17" s="346" t="s">
        <v>1422</v>
      </c>
      <c r="F17" s="25">
        <f>'数据-取费表'!B35</f>
        <v>200</v>
      </c>
      <c r="G17" s="1855"/>
      <c r="H17" s="1203" t="s">
        <v>1033</v>
      </c>
      <c r="I17" s="346" t="s">
        <v>1423</v>
      </c>
      <c r="J17" s="23">
        <f ca="1">ROUND(IF(项目基本情况!B11="自然人",J5*M17,J18+J19+J20),1)</f>
        <v>100.2</v>
      </c>
      <c r="K17" s="2945" t="s">
        <v>1424</v>
      </c>
      <c r="L17" s="2944"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43</v>
      </c>
      <c r="D18" s="346" t="s">
        <v>1415</v>
      </c>
      <c r="E18" s="346" t="s">
        <v>1416</v>
      </c>
      <c r="F18" s="366">
        <f>'数据-取费表'!B36</f>
        <v>1.4999999999999999E-2</v>
      </c>
      <c r="G18" s="1855"/>
      <c r="H18" s="1203" t="s">
        <v>1032</v>
      </c>
      <c r="I18" s="346" t="s">
        <v>1427</v>
      </c>
      <c r="J18" s="23">
        <f ca="1">ROUND(J5*M18/(1+'数据-取费表'!C42),2)</f>
        <v>61.44</v>
      </c>
      <c r="K18" s="2944"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3248</v>
      </c>
      <c r="D19" s="139" t="s">
        <v>1430</v>
      </c>
      <c r="E19" s="2949"/>
      <c r="F19" s="25"/>
      <c r="G19" s="1852"/>
      <c r="H19" s="1203" t="s">
        <v>1034</v>
      </c>
      <c r="I19" s="346" t="s">
        <v>1431</v>
      </c>
      <c r="J19" s="23">
        <f ca="1">IF(K19="按租金收入计税",ROUND(J5*M19,2),ROUND(C29*M19*0.7,2))</f>
        <v>36.43</v>
      </c>
      <c r="K19" s="1829" t="s">
        <v>1432</v>
      </c>
      <c r="L19" s="346" t="s">
        <v>1416</v>
      </c>
      <c r="M19" s="366">
        <f>IF(K19="按租金收入计税",'数据-取费表'!B51,'数据-取费表'!B50)</f>
        <v>1.2E-2</v>
      </c>
    </row>
    <row r="20" spans="1:37" s="1859" customFormat="1" ht="18" customHeight="1">
      <c r="A20" s="1203" t="s">
        <v>1037</v>
      </c>
      <c r="B20" s="346" t="s">
        <v>1433</v>
      </c>
      <c r="C20" s="23">
        <f ca="1">ROUND(C19*F20,0)</f>
        <v>97</v>
      </c>
      <c r="D20" s="368" t="s">
        <v>1434</v>
      </c>
      <c r="E20" s="346" t="s">
        <v>1416</v>
      </c>
      <c r="F20" s="366">
        <f>'数据-取费表'!B37</f>
        <v>0.03</v>
      </c>
      <c r="G20" s="1855"/>
      <c r="H20" s="1203" t="s">
        <v>1384</v>
      </c>
      <c r="I20" s="163" t="s">
        <v>1435</v>
      </c>
      <c r="J20" s="24">
        <f ca="1">ROUND(M20*M21/10000,2)</f>
        <v>2.37</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7892.2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2949"/>
      <c r="F22" s="25"/>
      <c r="G22" s="1852"/>
      <c r="H22" s="1203" t="s">
        <v>1037</v>
      </c>
      <c r="I22" s="346" t="s">
        <v>1443</v>
      </c>
      <c r="J22" s="23">
        <f ca="1">ROUND(J14*M22,1)</f>
        <v>86.7</v>
      </c>
      <c r="K22" s="2944" t="s">
        <v>1444</v>
      </c>
      <c r="L22" s="346" t="s">
        <v>1416</v>
      </c>
      <c r="M22" s="373">
        <f ca="1">INDIRECT("'数据-取费表'!Ak"&amp;$G$1)</f>
        <v>0.02</v>
      </c>
    </row>
    <row r="23" spans="1:37" s="1859" customFormat="1" ht="18" customHeight="1">
      <c r="A23" s="1203" t="s">
        <v>1032</v>
      </c>
      <c r="B23" s="346" t="s">
        <v>1445</v>
      </c>
      <c r="C23" s="23">
        <f ca="1">IF('数据-取费表'!B22&lt;=1,ROUND(C19*F24*F23/2,0)+ROUND(C20*F24*F23/2,0),ROUND(C19*(POWER((1+F24),F23/2)-1),0)+ROUND(C20*(POWER((1+F24),F23/2)-1),0))</f>
        <v>159</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6.2</v>
      </c>
      <c r="K23" s="2944" t="s">
        <v>1448</v>
      </c>
      <c r="L23" s="346" t="s">
        <v>1416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1034</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1387</v>
      </c>
      <c r="I24" s="1342" t="s">
        <v>1433</v>
      </c>
      <c r="J24" s="1343">
        <f ca="1">ROUND(J5*M24,1)</f>
        <v>35.200000000000003</v>
      </c>
      <c r="K24" s="1344" t="s">
        <v>1453</v>
      </c>
      <c r="L24" s="1342" t="s">
        <v>1416</v>
      </c>
      <c r="M24" s="1338">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2949"/>
      <c r="F25" s="25"/>
      <c r="G25" s="1852"/>
      <c r="H25" s="1331" t="s">
        <v>1029</v>
      </c>
      <c r="I25" s="1346" t="s">
        <v>1457</v>
      </c>
      <c r="J25" s="354">
        <f ca="1">J5-J16</f>
        <v>945</v>
      </c>
      <c r="K25" s="1347" t="s">
        <v>1458</v>
      </c>
      <c r="L25" s="1348"/>
      <c r="M25" s="1349"/>
    </row>
    <row r="26" spans="1:37">
      <c r="A26" s="1203" t="s">
        <v>1032</v>
      </c>
      <c r="B26" s="346" t="s">
        <v>1459</v>
      </c>
      <c r="C26" s="23">
        <f ca="1">ROUND((C19+C20)*F26,0)</f>
        <v>502</v>
      </c>
      <c r="D26" s="368" t="s">
        <v>1460</v>
      </c>
      <c r="E26" s="357" t="s">
        <v>1461</v>
      </c>
      <c r="F26" s="356">
        <f ca="1">INDIRECT("'数据-取费表'!q"&amp;$G$1)</f>
        <v>0.15</v>
      </c>
      <c r="G26" s="1852"/>
      <c r="H26" s="343" t="s">
        <v>1030</v>
      </c>
      <c r="I26" s="344" t="s">
        <v>1462</v>
      </c>
      <c r="J26" s="345">
        <f ca="1">IF(J5&lt;&gt;0,ROUND(J25*(1-((1+M28)/(1+M26))^M27)/(M26-M28),0),0)</f>
        <v>18487</v>
      </c>
      <c r="K26" s="369" t="s">
        <v>1463</v>
      </c>
      <c r="L26" s="346" t="s">
        <v>1464</v>
      </c>
      <c r="M26" s="356">
        <f ca="1">INDIRECT("'数据-取费表'!I"&amp;$G$1)</f>
        <v>0.05</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25.81</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4337</v>
      </c>
      <c r="D29" s="1344"/>
      <c r="E29" s="1342"/>
      <c r="F29" s="1345"/>
      <c r="G29" s="1855"/>
      <c r="H29" s="379" t="s">
        <v>1031</v>
      </c>
      <c r="I29" s="380" t="s">
        <v>1473</v>
      </c>
      <c r="J29" s="381">
        <f ca="1">ROUND(J26/(1+F40)^F41,0)</f>
        <v>17607</v>
      </c>
      <c r="K29" s="382" t="s">
        <v>1474</v>
      </c>
      <c r="L29" s="383"/>
      <c r="M29" s="384">
        <f ca="1">INDIRECT("'数据-取费表'!k"&amp;$G$1)</f>
        <v>10206.15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132</v>
      </c>
      <c r="D30" s="1339" t="s">
        <v>1419</v>
      </c>
      <c r="E30" s="2946"/>
      <c r="F30" s="1296"/>
      <c r="G30" s="1852"/>
      <c r="H30" s="744"/>
      <c r="I30" s="745"/>
      <c r="J30" s="746"/>
      <c r="K30" s="747"/>
      <c r="L30" s="748"/>
      <c r="M30" s="749"/>
    </row>
    <row r="31" spans="1:37" ht="18" customHeight="1">
      <c r="A31" s="1203" t="s">
        <v>1033</v>
      </c>
      <c r="B31" s="346" t="s">
        <v>1423</v>
      </c>
      <c r="C31" s="23">
        <f ca="1">ROUND(IF(项目基本情况!B11="自然人",C5*F31,C32+C33+C34),1)</f>
        <v>38.799999999999997</v>
      </c>
      <c r="D31" s="2945" t="s">
        <v>1424</v>
      </c>
      <c r="E31" s="2944"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0</v>
      </c>
      <c r="D32" s="2944"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36.43</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2.37</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7892.2</v>
      </c>
      <c r="G35" s="1852"/>
      <c r="H35" s="744"/>
      <c r="I35" s="1861"/>
      <c r="J35" s="1862"/>
      <c r="K35" s="1863"/>
      <c r="L35" s="1860"/>
      <c r="M35" s="1860"/>
    </row>
    <row r="36" spans="1:18" ht="18" customHeight="1">
      <c r="A36" s="1354" t="s">
        <v>1037</v>
      </c>
      <c r="B36" s="346" t="s">
        <v>1443</v>
      </c>
      <c r="C36" s="23">
        <f ca="1">ROUND(C29*F36,1)</f>
        <v>86.7</v>
      </c>
      <c r="D36" s="2944" t="s">
        <v>1476</v>
      </c>
      <c r="E36" s="346" t="s">
        <v>1416</v>
      </c>
      <c r="F36" s="373">
        <f ca="1">INDIRECT("'数据-取费表'!Ak"&amp;$G$1)</f>
        <v>0.02</v>
      </c>
      <c r="G36" s="1852"/>
      <c r="H36" s="1860"/>
      <c r="I36" s="1861"/>
      <c r="J36" s="1862"/>
      <c r="K36" s="750"/>
      <c r="L36" s="1860"/>
      <c r="M36" s="1860"/>
    </row>
    <row r="37" spans="1:18" ht="18" customHeight="1">
      <c r="A37" s="1203" t="s">
        <v>1073</v>
      </c>
      <c r="B37" s="346" t="s">
        <v>1447</v>
      </c>
      <c r="C37" s="23">
        <f ca="1">ROUND(C13*F37,1)</f>
        <v>6.3</v>
      </c>
      <c r="D37" s="2944" t="s">
        <v>1448</v>
      </c>
      <c r="E37" s="346" t="s">
        <v>1416</v>
      </c>
      <c r="F37" s="375">
        <f ca="1">INDIRECT("'数据-取费表'!Al"&amp;$G$1)</f>
        <v>1.5E-3</v>
      </c>
      <c r="G37" s="1852"/>
      <c r="H37" s="1860"/>
      <c r="I37" s="1861"/>
      <c r="J37" s="1862"/>
      <c r="K37" s="750"/>
      <c r="L37" s="1860"/>
      <c r="M37" s="1860"/>
    </row>
    <row r="38" spans="1:18" ht="18" customHeight="1" thickBot="1">
      <c r="A38" s="1341" t="s">
        <v>1387</v>
      </c>
      <c r="B38" s="1342" t="s">
        <v>1433</v>
      </c>
      <c r="C38" s="1343">
        <f ca="1">ROUND(C5*F38,1)</f>
        <v>0</v>
      </c>
      <c r="D38" s="1344" t="s">
        <v>1453</v>
      </c>
      <c r="E38" s="1342" t="s">
        <v>1416</v>
      </c>
      <c r="F38" s="1338">
        <f ca="1">INDIRECT("'数据-取费表'!Am"&amp;$G$1)</f>
        <v>0.03</v>
      </c>
      <c r="G38" s="1852"/>
      <c r="H38" s="1860"/>
      <c r="I38" s="1861"/>
      <c r="J38" s="1862"/>
      <c r="K38" s="1866"/>
      <c r="L38" s="1860"/>
      <c r="M38" s="1860"/>
    </row>
    <row r="39" spans="1:18" ht="24.6" customHeight="1" thickTop="1">
      <c r="A39" s="1331" t="s">
        <v>1029</v>
      </c>
      <c r="B39" s="1346" t="s">
        <v>1457</v>
      </c>
      <c r="C39" s="354">
        <v>0</v>
      </c>
      <c r="D39" s="1347" t="s">
        <v>1458</v>
      </c>
      <c r="E39" s="1348"/>
      <c r="F39" s="1349"/>
      <c r="G39" s="1852"/>
      <c r="H39" s="1860"/>
      <c r="I39" s="1861"/>
      <c r="J39" s="1862"/>
      <c r="K39" s="1866"/>
      <c r="L39" s="1860"/>
      <c r="M39" s="1860"/>
    </row>
    <row r="40" spans="1:18" ht="18" customHeight="1">
      <c r="A40" s="343" t="s">
        <v>1030</v>
      </c>
      <c r="B40" s="344" t="s">
        <v>1479</v>
      </c>
      <c r="C40" s="345">
        <f ca="1">ROUND(C39*(1-((1+F42)/(1+F40))^F41)/(F40-F42),0)</f>
        <v>0</v>
      </c>
      <c r="D40" s="369" t="s">
        <v>1463</v>
      </c>
      <c r="E40" s="346" t="s">
        <v>1464</v>
      </c>
      <c r="F40" s="356">
        <f ca="1">INDIRECT("'数据-取费表'!I"&amp;$G$1)</f>
        <v>0.05</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1</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0</v>
      </c>
      <c r="D43" s="382" t="s">
        <v>1482</v>
      </c>
      <c r="E43" s="383" t="s">
        <v>1483</v>
      </c>
      <c r="F43" s="384">
        <f ca="1">INDIRECT("'数据-取费表'!k"&amp;$G$1)</f>
        <v>10206.15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-126</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17607</v>
      </c>
      <c r="R47" s="1887" t="s">
        <v>1523</v>
      </c>
    </row>
    <row r="48" spans="1:18" s="1843" customFormat="1" ht="28.5" thickBot="1">
      <c r="A48" s="1362" t="s">
        <v>1133</v>
      </c>
      <c r="B48" s="344" t="s">
        <v>1396</v>
      </c>
      <c r="C48" s="294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2984</v>
      </c>
      <c r="E49" s="1831" t="s">
        <v>1485</v>
      </c>
      <c r="F49" s="1283"/>
      <c r="G49" s="1892"/>
      <c r="H49" s="792"/>
      <c r="I49" s="1888" t="s">
        <v>1528</v>
      </c>
      <c r="J49" s="1893">
        <v>2018</v>
      </c>
      <c r="K49" s="1890" t="s">
        <v>1529</v>
      </c>
      <c r="L49" s="1894"/>
      <c r="O49" s="1895" t="s">
        <v>1040</v>
      </c>
      <c r="P49" s="1886" t="s">
        <v>1530</v>
      </c>
      <c r="Q49" s="1887">
        <f ca="1">C29</f>
        <v>4337</v>
      </c>
      <c r="R49" s="1887" t="s">
        <v>1523</v>
      </c>
    </row>
    <row r="50" spans="1:18" s="1843" customFormat="1" ht="13.5" thickBot="1">
      <c r="A50" s="1197"/>
      <c r="B50" s="1200"/>
      <c r="C50" s="1370"/>
      <c r="D50" s="1174"/>
      <c r="E50" s="1279" t="s">
        <v>1401</v>
      </c>
      <c r="F50" s="1280">
        <f ca="1">F7</f>
        <v>10206.15</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-5505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06" t="s">
        <v>1542</v>
      </c>
      <c r="L53" s="3207"/>
      <c r="O53" s="1885" t="s">
        <v>1044</v>
      </c>
      <c r="P53" s="1886" t="s">
        <v>1543</v>
      </c>
      <c r="Q53" s="1887">
        <f ca="1">Q47+Q48</f>
        <v>17607</v>
      </c>
      <c r="R53" s="1887" t="s">
        <v>1045</v>
      </c>
    </row>
    <row r="54" spans="1:18" s="1843" customFormat="1" ht="13.5" thickBot="1">
      <c r="A54" s="1408"/>
      <c r="B54" s="1826" t="s">
        <v>1383</v>
      </c>
      <c r="C54" s="1180"/>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2947"/>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4207</v>
      </c>
      <c r="D56" s="1915"/>
      <c r="E56" s="1916"/>
      <c r="F56" s="1908"/>
      <c r="I56" s="1917" t="s">
        <v>1548</v>
      </c>
      <c r="J56" s="1918" t="s">
        <v>3024</v>
      </c>
      <c r="K56" s="1888" t="s">
        <v>1549</v>
      </c>
      <c r="L56" s="1891" t="str">
        <f ca="1">IF(L48&lt;J51,"——",L48-J53)</f>
        <v>——</v>
      </c>
      <c r="O56" s="1885" t="s">
        <v>1038</v>
      </c>
      <c r="P56" s="1886" t="s">
        <v>1522</v>
      </c>
      <c r="Q56" s="1887">
        <f ca="1">C40+J29</f>
        <v>17607</v>
      </c>
      <c r="R56" s="1887" t="s">
        <v>1523</v>
      </c>
    </row>
    <row r="57" spans="1:18" s="1843" customFormat="1" ht="24.75" thickBot="1">
      <c r="A57" s="1919"/>
      <c r="B57" s="1171" t="s">
        <v>1472</v>
      </c>
      <c r="C57" s="281">
        <f ca="1">C29</f>
        <v>4337</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132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38.799999999999997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1431</v>
      </c>
      <c r="C61" s="23">
        <f ca="1">IF(项目基本情况!B11="自然人","——",IF(D61="按租金收入计税",ROUND(C48*F61,2),IF(D61="按房产原值计税",ROUND(C57*F61*0.7,2),INDIRECT("'数据-取费表'!Aj"&amp;$G$1))))</f>
        <v>36.43</v>
      </c>
      <c r="D61" s="1829" t="s">
        <v>1432</v>
      </c>
      <c r="E61" s="1171" t="s">
        <v>1416</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1435</v>
      </c>
      <c r="C62" s="24">
        <f ca="1">IF(项目基本情况!B11="自然人","——",ROUND(F62*F63/10000,2))</f>
        <v>2.37</v>
      </c>
      <c r="D62" s="1186" t="s">
        <v>1436</v>
      </c>
      <c r="E62" s="1171" t="s">
        <v>1437</v>
      </c>
      <c r="F62" s="370">
        <f t="shared" si="0"/>
        <v>3</v>
      </c>
      <c r="I62" s="1930" t="s">
        <v>1564</v>
      </c>
      <c r="J62" s="1931" t="s">
        <v>1565</v>
      </c>
      <c r="K62" s="1931" t="s">
        <v>1566</v>
      </c>
      <c r="L62" s="1931" t="s">
        <v>1567</v>
      </c>
      <c r="M62" s="1932" t="s">
        <v>1568</v>
      </c>
      <c r="O62" s="1885" t="s">
        <v>1044</v>
      </c>
      <c r="P62" s="1886" t="s">
        <v>1543</v>
      </c>
      <c r="Q62" s="1887">
        <f ca="1">Q56+Q57</f>
        <v>17607</v>
      </c>
      <c r="R62" s="1887" t="s">
        <v>1045</v>
      </c>
    </row>
    <row r="63" spans="1:18" s="1843" customFormat="1" ht="13.5" thickBot="1">
      <c r="A63" s="371"/>
      <c r="B63" s="1177"/>
      <c r="C63" s="28"/>
      <c r="D63" s="1187"/>
      <c r="E63" s="1171" t="s">
        <v>1441</v>
      </c>
      <c r="F63" s="347">
        <f t="shared" ca="1" si="0"/>
        <v>7892.2</v>
      </c>
      <c r="I63" s="1930" t="s">
        <v>1570</v>
      </c>
      <c r="J63" s="1931">
        <v>70</v>
      </c>
      <c r="K63" s="1931">
        <v>50</v>
      </c>
      <c r="L63" s="1931">
        <v>80</v>
      </c>
      <c r="M63" s="1933">
        <v>0.02</v>
      </c>
      <c r="O63" s="1870" t="s">
        <v>1571</v>
      </c>
      <c r="P63" s="1840"/>
      <c r="Q63" s="1840"/>
      <c r="R63" s="1840"/>
    </row>
    <row r="64" spans="1:18" s="1843" customFormat="1" ht="13.5" thickBot="1">
      <c r="A64" s="1203" t="s">
        <v>1037</v>
      </c>
      <c r="B64" s="1171" t="s">
        <v>1443</v>
      </c>
      <c r="C64" s="23">
        <f ca="1">ROUND(C57*F64,1)</f>
        <v>86.7</v>
      </c>
      <c r="D64" s="1185" t="s">
        <v>1476</v>
      </c>
      <c r="E64" s="1171" t="s">
        <v>1416</v>
      </c>
      <c r="F64" s="373">
        <f t="shared" ca="1" si="0"/>
        <v>0.02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6.3</v>
      </c>
      <c r="D65" s="1185" t="s">
        <v>1448</v>
      </c>
      <c r="E65" s="1171" t="s">
        <v>1416</v>
      </c>
      <c r="F65" s="375">
        <f t="shared" ca="1" si="0"/>
        <v>1.5E-3</v>
      </c>
      <c r="I65" s="1930" t="s">
        <v>1573</v>
      </c>
      <c r="J65" s="1931">
        <v>40</v>
      </c>
      <c r="K65" s="1931">
        <v>30</v>
      </c>
      <c r="L65" s="1931">
        <v>50</v>
      </c>
      <c r="M65" s="1933">
        <v>0.02</v>
      </c>
      <c r="O65" s="1885" t="s">
        <v>1038</v>
      </c>
      <c r="P65" s="1886" t="s">
        <v>1522</v>
      </c>
      <c r="Q65" s="1887">
        <f ca="1">C40+J29</f>
        <v>17607</v>
      </c>
      <c r="R65" s="1887" t="s">
        <v>1523</v>
      </c>
    </row>
    <row r="66" spans="1:18" s="1843" customFormat="1" ht="16.5" thickBot="1">
      <c r="A66" s="1203" t="s">
        <v>1498</v>
      </c>
      <c r="B66" s="1171" t="s">
        <v>1433</v>
      </c>
      <c r="C66" s="23">
        <f ca="1">ROUND(C48*F66,1)</f>
        <v>0</v>
      </c>
      <c r="D66" s="1185" t="s">
        <v>1453</v>
      </c>
      <c r="E66" s="1171" t="s">
        <v>1416</v>
      </c>
      <c r="F66" s="356">
        <f t="shared" ca="1" si="0"/>
        <v>0.03</v>
      </c>
      <c r="O66" s="1885" t="s">
        <v>1039</v>
      </c>
      <c r="P66" s="1886" t="s">
        <v>1552</v>
      </c>
      <c r="Q66" s="1887">
        <f ca="1">L60</f>
        <v>0</v>
      </c>
      <c r="R66" s="1887" t="s">
        <v>1575</v>
      </c>
    </row>
    <row r="67" spans="1:18" s="1843" customFormat="1" ht="16.5" thickBot="1">
      <c r="A67" s="1178" t="s">
        <v>1029</v>
      </c>
      <c r="B67" s="1188" t="s">
        <v>1457</v>
      </c>
      <c r="C67" s="360">
        <f ca="1">C48-C58</f>
        <v>-132</v>
      </c>
      <c r="D67" s="1184" t="s">
        <v>1458</v>
      </c>
      <c r="E67" s="1189"/>
      <c r="F67" s="1190"/>
      <c r="O67" s="1895" t="s">
        <v>1040</v>
      </c>
      <c r="P67" s="1886" t="s">
        <v>1556</v>
      </c>
      <c r="Q67" s="1934">
        <f ca="1">L51</f>
        <v>-5505</v>
      </c>
      <c r="R67" s="1887" t="s">
        <v>1576</v>
      </c>
    </row>
    <row r="68" spans="1:18" s="1843" customFormat="1" ht="16.5" thickBot="1">
      <c r="A68" s="1168" t="s">
        <v>1030</v>
      </c>
      <c r="B68" s="1169" t="s">
        <v>1479</v>
      </c>
      <c r="C68" s="345">
        <f ca="1">ROUND(C67*(1-((1+F70)/(1+F68))^F69)/(F68-F70),0)</f>
        <v>-126</v>
      </c>
      <c r="D68" s="1186" t="s">
        <v>1463</v>
      </c>
      <c r="E68" s="1171" t="s">
        <v>1464</v>
      </c>
      <c r="F68" s="356">
        <f ca="1">F40</f>
        <v>0.05</v>
      </c>
      <c r="O68" s="1895" t="s">
        <v>1041</v>
      </c>
      <c r="P68" s="1935" t="s">
        <v>1577</v>
      </c>
      <c r="Q68" s="1887">
        <f ca="1">ROUND(Q69-Q70*Q71,0)</f>
        <v>-358</v>
      </c>
      <c r="R68" s="1887" t="s">
        <v>1049</v>
      </c>
    </row>
    <row r="69" spans="1:18" s="1843" customFormat="1" ht="13.5" thickBot="1">
      <c r="A69" s="1172"/>
      <c r="B69" s="1173"/>
      <c r="C69" s="350"/>
      <c r="D69" s="1191" t="s">
        <v>1467</v>
      </c>
      <c r="E69" s="1171" t="s">
        <v>1468</v>
      </c>
      <c r="F69" s="378">
        <f ca="1">F41</f>
        <v>1</v>
      </c>
      <c r="O69" s="1895" t="s">
        <v>1046</v>
      </c>
      <c r="P69" s="1935" t="s">
        <v>1578</v>
      </c>
      <c r="Q69" s="1887">
        <f>C39</f>
        <v>0</v>
      </c>
      <c r="R69" s="1887" t="s">
        <v>1523</v>
      </c>
    </row>
    <row r="70" spans="1:18" s="1843" customFormat="1" ht="13.5" thickBot="1">
      <c r="A70" s="1175"/>
      <c r="B70" s="1176"/>
      <c r="C70" s="354"/>
      <c r="D70" s="1187"/>
      <c r="E70" s="1171" t="s">
        <v>1471</v>
      </c>
      <c r="F70" s="1277"/>
      <c r="O70" s="1895" t="s">
        <v>1047</v>
      </c>
      <c r="P70" s="1935" t="s">
        <v>1579</v>
      </c>
      <c r="Q70" s="1887">
        <f ca="1">C13</f>
        <v>4207</v>
      </c>
      <c r="R70" s="1887" t="s">
        <v>1523</v>
      </c>
    </row>
    <row r="71" spans="1:18" s="1843" customFormat="1" ht="13.5" thickBot="1">
      <c r="A71" s="1192" t="s">
        <v>1031</v>
      </c>
      <c r="B71" s="1193" t="s">
        <v>1481</v>
      </c>
      <c r="C71" s="381">
        <f ca="1">ROUND(C68*10000/F71,0)</f>
        <v>-123</v>
      </c>
      <c r="D71" s="1194" t="s">
        <v>1482</v>
      </c>
      <c r="E71" s="1195" t="s">
        <v>1483</v>
      </c>
      <c r="F71" s="384">
        <f ca="1">F43</f>
        <v>10206.15</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358</v>
      </c>
      <c r="D75" s="1843"/>
      <c r="E75" s="1843"/>
      <c r="F75" s="1843"/>
      <c r="K75" s="1869"/>
      <c r="L75" s="1843"/>
      <c r="O75" s="1885" t="s">
        <v>1044</v>
      </c>
      <c r="P75" s="1886" t="s">
        <v>1543</v>
      </c>
      <c r="Q75" s="1887">
        <f ca="1">Q65+Q66</f>
        <v>17607</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5" sqref="M15"/>
    </sheetView>
  </sheetViews>
  <sheetFormatPr defaultRowHeight="13.5"/>
  <cols>
    <col min="1" max="1" width="10.5" customWidth="1"/>
    <col min="2" max="2" width="12.875" customWidth="1"/>
    <col min="3" max="3" width="8.75" customWidth="1"/>
  </cols>
  <sheetData>
    <row r="1" spans="1:9" ht="14.25">
      <c r="A1" s="3211" t="s">
        <v>1074</v>
      </c>
      <c r="B1" s="3212"/>
      <c r="C1" s="3213"/>
      <c r="D1" s="3214">
        <f>SUM(I10,I15,I20,I21,I23)</f>
        <v>3073</v>
      </c>
      <c r="E1" s="3214"/>
      <c r="F1" s="3214"/>
      <c r="G1" s="3214"/>
      <c r="H1" s="3214"/>
      <c r="I1" s="3215"/>
    </row>
    <row r="2" spans="1:9">
      <c r="A2" s="3216" t="s">
        <v>1075</v>
      </c>
      <c r="B2" s="3217" t="s">
        <v>1076</v>
      </c>
      <c r="C2" s="3217"/>
      <c r="D2" s="1303" t="s">
        <v>1077</v>
      </c>
      <c r="E2" s="1303" t="s">
        <v>1078</v>
      </c>
      <c r="F2" s="1303" t="s">
        <v>1079</v>
      </c>
      <c r="G2" s="1303" t="s">
        <v>1080</v>
      </c>
      <c r="H2" s="1303" t="s">
        <v>1081</v>
      </c>
      <c r="I2" s="1304" t="s">
        <v>1082</v>
      </c>
    </row>
    <row r="3" spans="1:9">
      <c r="A3" s="3216"/>
      <c r="B3" s="3217" t="s">
        <v>1083</v>
      </c>
      <c r="C3" s="3217"/>
      <c r="D3" s="1305"/>
      <c r="E3" s="1303"/>
      <c r="F3" s="1306"/>
      <c r="G3" s="1306"/>
      <c r="H3" s="1307"/>
      <c r="I3" s="1308">
        <f>ROUND(D3*E3*F3*G3*H3/10000,0)</f>
        <v>0</v>
      </c>
    </row>
    <row r="4" spans="1:9">
      <c r="A4" s="3216"/>
      <c r="B4" s="3217" t="s">
        <v>1084</v>
      </c>
      <c r="C4" s="3217"/>
      <c r="D4" s="1305"/>
      <c r="E4" s="1303"/>
      <c r="F4" s="1306"/>
      <c r="G4" s="1306"/>
      <c r="H4" s="1307"/>
      <c r="I4" s="1308">
        <f t="shared" ref="I4:I9" si="0">ROUND(D4*E4*F4*G4*H4/10000,0)</f>
        <v>0</v>
      </c>
    </row>
    <row r="5" spans="1:9">
      <c r="A5" s="3216"/>
      <c r="B5" s="3217" t="s">
        <v>1085</v>
      </c>
      <c r="C5" s="3217"/>
      <c r="D5" s="1305"/>
      <c r="E5" s="1303"/>
      <c r="F5" s="1306"/>
      <c r="G5" s="1306"/>
      <c r="H5" s="1307"/>
      <c r="I5" s="1308">
        <f t="shared" si="0"/>
        <v>0</v>
      </c>
    </row>
    <row r="6" spans="1:9">
      <c r="A6" s="3216"/>
      <c r="B6" s="3217" t="s">
        <v>1086</v>
      </c>
      <c r="C6" s="3217"/>
      <c r="D6" s="1305">
        <f>'数据-汇总表'!F19/20</f>
        <v>510.3075</v>
      </c>
      <c r="E6" s="1303">
        <v>250</v>
      </c>
      <c r="F6" s="1306">
        <v>1</v>
      </c>
      <c r="G6" s="1306">
        <v>0.6</v>
      </c>
      <c r="H6" s="1307">
        <v>365</v>
      </c>
      <c r="I6" s="1308">
        <f>ROUND(D6*E6*F6*G6*H6/10000,0)</f>
        <v>2794</v>
      </c>
    </row>
    <row r="7" spans="1:9">
      <c r="A7" s="3216"/>
      <c r="B7" s="3217" t="s">
        <v>1087</v>
      </c>
      <c r="C7" s="3217"/>
      <c r="D7" s="1305"/>
      <c r="E7" s="1303"/>
      <c r="F7" s="1306"/>
      <c r="G7" s="1306"/>
      <c r="H7" s="1307"/>
      <c r="I7" s="1308">
        <f t="shared" si="0"/>
        <v>0</v>
      </c>
    </row>
    <row r="8" spans="1:9">
      <c r="A8" s="3216"/>
      <c r="B8" s="3217" t="s">
        <v>1088</v>
      </c>
      <c r="C8" s="3217"/>
      <c r="D8" s="1305"/>
      <c r="E8" s="1303"/>
      <c r="F8" s="1306"/>
      <c r="G8" s="1306"/>
      <c r="H8" s="1307"/>
      <c r="I8" s="1308">
        <f t="shared" si="0"/>
        <v>0</v>
      </c>
    </row>
    <row r="9" spans="1:9">
      <c r="A9" s="3216"/>
      <c r="B9" s="3217" t="s">
        <v>1089</v>
      </c>
      <c r="C9" s="3217"/>
      <c r="D9" s="1305"/>
      <c r="E9" s="1303"/>
      <c r="F9" s="1306"/>
      <c r="G9" s="1306"/>
      <c r="H9" s="1307"/>
      <c r="I9" s="1308">
        <f t="shared" si="0"/>
        <v>0</v>
      </c>
    </row>
    <row r="10" spans="1:9">
      <c r="A10" s="3216"/>
      <c r="B10" s="3218" t="s">
        <v>1090</v>
      </c>
      <c r="C10" s="3218"/>
      <c r="D10" s="1309"/>
      <c r="E10" s="1309" t="e">
        <f>ROUND(D1*10000/D10/H9,0)</f>
        <v>#DIV/0!</v>
      </c>
      <c r="F10" s="1310"/>
      <c r="G10" s="1310"/>
      <c r="H10" s="1311"/>
      <c r="I10" s="1312">
        <f>SUM(I3:I9)</f>
        <v>2794</v>
      </c>
    </row>
    <row r="11" spans="1:9" ht="14.25">
      <c r="A11" s="3216" t="s">
        <v>1091</v>
      </c>
      <c r="B11" s="3217" t="s">
        <v>1092</v>
      </c>
      <c r="C11" s="3217"/>
      <c r="D11" s="1305" t="s">
        <v>1093</v>
      </c>
      <c r="E11" s="1305" t="s">
        <v>1094</v>
      </c>
      <c r="F11" s="1306" t="s">
        <v>1095</v>
      </c>
      <c r="G11" s="1306" t="s">
        <v>1081</v>
      </c>
      <c r="H11" s="1313" t="s">
        <v>1096</v>
      </c>
      <c r="I11" s="1304" t="s">
        <v>1082</v>
      </c>
    </row>
    <row r="12" spans="1:9">
      <c r="A12" s="3216"/>
      <c r="B12" s="3217" t="s">
        <v>1097</v>
      </c>
      <c r="C12" s="3217"/>
      <c r="D12" s="1305"/>
      <c r="E12" s="1305"/>
      <c r="F12" s="1306"/>
      <c r="G12" s="1307"/>
      <c r="H12" s="1314"/>
      <c r="I12" s="1304">
        <f>ROUND(D12*E12*F12*G12/10000,0)</f>
        <v>0</v>
      </c>
    </row>
    <row r="13" spans="1:9">
      <c r="A13" s="3216"/>
      <c r="B13" s="3217" t="s">
        <v>1098</v>
      </c>
      <c r="C13" s="3217"/>
      <c r="D13" s="1305"/>
      <c r="E13" s="1305"/>
      <c r="F13" s="1306"/>
      <c r="G13" s="1307"/>
      <c r="H13" s="1314"/>
      <c r="I13" s="1304">
        <f>ROUND(D13*E13*F13*G13/10000,0)</f>
        <v>0</v>
      </c>
    </row>
    <row r="14" spans="1:9">
      <c r="A14" s="3216"/>
      <c r="B14" s="3217" t="s">
        <v>1099</v>
      </c>
      <c r="C14" s="3217"/>
      <c r="D14" s="1305"/>
      <c r="E14" s="1305"/>
      <c r="F14" s="1306"/>
      <c r="G14" s="1307"/>
      <c r="H14" s="1314"/>
      <c r="I14" s="1304">
        <f>ROUND(D14*E14*F14*G14/10000,0)</f>
        <v>0</v>
      </c>
    </row>
    <row r="15" spans="1:9">
      <c r="A15" s="3216"/>
      <c r="B15" s="3218" t="s">
        <v>1090</v>
      </c>
      <c r="C15" s="3218"/>
      <c r="D15" s="1309"/>
      <c r="E15" s="1309">
        <f>SUM(E12:E14)</f>
        <v>0</v>
      </c>
      <c r="F15" s="1310"/>
      <c r="G15" s="1307"/>
      <c r="H15" s="1314"/>
      <c r="I15" s="1315">
        <f>SUM(I12:I14)</f>
        <v>0</v>
      </c>
    </row>
    <row r="16" spans="1:9" ht="24">
      <c r="A16" s="3216" t="s">
        <v>1100</v>
      </c>
      <c r="B16" s="3217" t="s">
        <v>1101</v>
      </c>
      <c r="C16" s="3217"/>
      <c r="D16" s="1305" t="s">
        <v>1077</v>
      </c>
      <c r="E16" s="1316" t="s">
        <v>1102</v>
      </c>
      <c r="F16" s="1306" t="s">
        <v>1103</v>
      </c>
      <c r="G16" s="1307" t="s">
        <v>1081</v>
      </c>
      <c r="H16" s="1313" t="s">
        <v>1096</v>
      </c>
      <c r="I16" s="1304" t="s">
        <v>1082</v>
      </c>
    </row>
    <row r="17" spans="1:9" ht="14.25">
      <c r="A17" s="3216"/>
      <c r="B17" s="3217" t="s">
        <v>1104</v>
      </c>
      <c r="C17" s="3217"/>
      <c r="D17" s="1305"/>
      <c r="E17" s="1305"/>
      <c r="F17" s="1306"/>
      <c r="G17" s="1307"/>
      <c r="H17" s="1317"/>
      <c r="I17" s="1318">
        <f>ROUND(D17*E17*F17*G17/10000,0)</f>
        <v>0</v>
      </c>
    </row>
    <row r="18" spans="1:9" ht="14.25">
      <c r="A18" s="3216"/>
      <c r="B18" s="3217" t="s">
        <v>1105</v>
      </c>
      <c r="C18" s="3217"/>
      <c r="D18" s="1305"/>
      <c r="E18" s="1305"/>
      <c r="F18" s="1306"/>
      <c r="G18" s="1307"/>
      <c r="H18" s="1317"/>
      <c r="I18" s="1318">
        <f>ROUND(D18*E18*F18*G18/10000,0)</f>
        <v>0</v>
      </c>
    </row>
    <row r="19" spans="1:9" ht="14.25">
      <c r="A19" s="3216"/>
      <c r="B19" s="3217" t="s">
        <v>1106</v>
      </c>
      <c r="C19" s="3217"/>
      <c r="D19" s="1305"/>
      <c r="E19" s="1305"/>
      <c r="F19" s="1306"/>
      <c r="G19" s="1307"/>
      <c r="H19" s="1317"/>
      <c r="I19" s="1318">
        <f>ROUND(D19*E19*F19*G19/10000,0)</f>
        <v>0</v>
      </c>
    </row>
    <row r="20" spans="1:9">
      <c r="A20" s="3216"/>
      <c r="B20" s="3218" t="s">
        <v>1090</v>
      </c>
      <c r="C20" s="3218"/>
      <c r="D20" s="1309">
        <f>SUM(D17:D19)</f>
        <v>0</v>
      </c>
      <c r="E20" s="1309"/>
      <c r="F20" s="1310"/>
      <c r="G20" s="1307"/>
      <c r="H20" s="1314"/>
      <c r="I20" s="1315">
        <f>SUM(I17:I19)</f>
        <v>0</v>
      </c>
    </row>
    <row r="21" spans="1:9">
      <c r="A21" s="3216" t="s">
        <v>1107</v>
      </c>
      <c r="B21" s="3220"/>
      <c r="C21" s="3220"/>
      <c r="D21" s="3220"/>
      <c r="E21" s="3220"/>
      <c r="F21" s="3220"/>
      <c r="G21" s="3220"/>
      <c r="H21" s="1766">
        <v>0.1</v>
      </c>
      <c r="I21" s="1312">
        <f>ROUND(I10*H21,0)</f>
        <v>279</v>
      </c>
    </row>
    <row r="22" spans="1:9" ht="14.25">
      <c r="A22" s="3221" t="s">
        <v>1108</v>
      </c>
      <c r="B22" s="3222"/>
      <c r="C22" s="3223"/>
      <c r="D22" s="1319" t="s">
        <v>1109</v>
      </c>
      <c r="E22" s="1319" t="s">
        <v>1110</v>
      </c>
      <c r="F22" s="1320" t="s">
        <v>1111</v>
      </c>
      <c r="G22" s="1320" t="s">
        <v>1112</v>
      </c>
      <c r="H22" s="1313" t="s">
        <v>1113</v>
      </c>
      <c r="I22" s="1304" t="s">
        <v>1114</v>
      </c>
    </row>
    <row r="23" spans="1:9" ht="14.25" thickBot="1">
      <c r="A23" s="3224"/>
      <c r="B23" s="3225"/>
      <c r="C23" s="3226"/>
      <c r="D23" s="1321"/>
      <c r="E23" s="1321"/>
      <c r="F23" s="1321"/>
      <c r="G23" s="1322"/>
      <c r="H23" s="1323"/>
      <c r="I23" s="1324">
        <f>ROUND(E23*D23*F23*(1-G23)/10000,0)</f>
        <v>0</v>
      </c>
    </row>
    <row r="26" spans="1:9">
      <c r="A26" s="1325" t="s">
        <v>1115</v>
      </c>
      <c r="B26" s="1325"/>
      <c r="C26" s="1325"/>
      <c r="D26" s="1325"/>
      <c r="E26" s="3227">
        <f>C27-C30-C31-C32</f>
        <v>1117.5999999999997</v>
      </c>
      <c r="F26" s="3227"/>
      <c r="G26" s="3227"/>
      <c r="H26" s="1738" t="s">
        <v>1335</v>
      </c>
    </row>
    <row r="27" spans="1:9">
      <c r="A27" s="1326">
        <v>1</v>
      </c>
      <c r="B27" s="1327" t="s">
        <v>1116</v>
      </c>
      <c r="C27" s="1327">
        <f>C28+C29</f>
        <v>2794</v>
      </c>
      <c r="D27" s="1327"/>
      <c r="E27" s="3228"/>
      <c r="F27" s="3228"/>
      <c r="G27" s="3228"/>
    </row>
    <row r="28" spans="1:9">
      <c r="A28" s="1328" t="s">
        <v>1117</v>
      </c>
      <c r="B28" s="1327" t="s">
        <v>1118</v>
      </c>
      <c r="C28" s="1327">
        <f>I6</f>
        <v>2794</v>
      </c>
      <c r="D28" s="1327"/>
      <c r="E28" s="3228"/>
      <c r="F28" s="3228"/>
      <c r="G28" s="3228"/>
    </row>
    <row r="29" spans="1:9">
      <c r="A29" s="1328" t="s">
        <v>1119</v>
      </c>
      <c r="B29" s="1327" t="s">
        <v>1120</v>
      </c>
      <c r="C29" s="1327"/>
      <c r="D29" s="1327"/>
      <c r="E29" s="1327" t="s">
        <v>1121</v>
      </c>
      <c r="F29" s="1327"/>
      <c r="G29" s="1327"/>
    </row>
    <row r="30" spans="1:9">
      <c r="A30" s="1326">
        <v>2</v>
      </c>
      <c r="B30" s="1327" t="s">
        <v>1122</v>
      </c>
      <c r="C30" s="1327">
        <f>C27*D30</f>
        <v>558.80000000000007</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1117.6000000000001</v>
      </c>
      <c r="D32" s="1329">
        <v>0.4</v>
      </c>
      <c r="E32" s="3219"/>
      <c r="F32" s="3219"/>
      <c r="G32" s="3219"/>
    </row>
    <row r="33" spans="1:7" hidden="1">
      <c r="A33" s="3229" t="s">
        <v>1127</v>
      </c>
      <c r="B33" s="3230"/>
      <c r="C33" s="3230"/>
      <c r="D33" s="3231"/>
      <c r="E33" s="3227"/>
      <c r="F33" s="3227"/>
      <c r="G33" s="3227"/>
    </row>
    <row r="34" spans="1:7" hidden="1">
      <c r="A34" s="1330">
        <v>1</v>
      </c>
      <c r="B34" s="1327" t="s">
        <v>1128</v>
      </c>
      <c r="C34" s="1327"/>
      <c r="D34" s="1327"/>
      <c r="E34" s="3228"/>
      <c r="F34" s="3228"/>
      <c r="G34" s="3228"/>
    </row>
    <row r="35" spans="1:7" hidden="1">
      <c r="A35" s="1330">
        <v>2</v>
      </c>
      <c r="B35" s="1327" t="s">
        <v>1129</v>
      </c>
      <c r="C35" s="1327"/>
      <c r="D35" s="1327"/>
      <c r="E35" s="3228"/>
      <c r="F35" s="3228"/>
      <c r="G35" s="3228"/>
    </row>
    <row r="36" spans="1:7" hidden="1">
      <c r="A36" s="1330">
        <v>3</v>
      </c>
      <c r="B36" s="1327" t="s">
        <v>1130</v>
      </c>
      <c r="C36" s="1327"/>
      <c r="D36" s="1327"/>
      <c r="E36" s="3228"/>
      <c r="F36" s="3228"/>
      <c r="G36" s="3228"/>
    </row>
    <row r="37" spans="1:7" hidden="1">
      <c r="A37" s="1330">
        <v>4</v>
      </c>
      <c r="B37" s="1327" t="s">
        <v>1131</v>
      </c>
      <c r="C37" s="1327"/>
      <c r="D37" s="1327"/>
      <c r="E37" s="3228"/>
      <c r="F37" s="3228"/>
      <c r="G37" s="3228"/>
    </row>
    <row r="38" spans="1:7" hidden="1">
      <c r="A38" s="3229" t="s">
        <v>1132</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2482</v>
      </c>
      <c r="C1" s="1635" t="s">
        <v>2483</v>
      </c>
      <c r="D1" s="1622"/>
      <c r="E1" s="2584"/>
      <c r="F1" s="2585" t="s">
        <v>2484</v>
      </c>
      <c r="G1" s="1632" t="s">
        <v>2485</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1389</v>
      </c>
      <c r="B2" s="1420" t="e">
        <f ca="1">IF(C2="——",ROUND(C49*D3/10000,0),ROUND(C49*D3/10000,0)-D2)</f>
        <v>#DIV/0!</v>
      </c>
      <c r="C2" s="2587"/>
      <c r="D2" s="1367" t="e">
        <f ca="1">SUMIF(INDIRECT("'"&amp;F2&amp;"'"&amp;"!A:A"),"承租人权益价值",INDIRECT("'"&amp;F2&amp;"'"&amp;"!c:c"))</f>
        <v>#REF!</v>
      </c>
      <c r="E2" s="2588" t="s">
        <v>2486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t="e">
        <f ca="1">IF(C2="——",C49,ROUND(B2*10000/D3,0))</f>
        <v>#DIV/0!</v>
      </c>
      <c r="C3" s="399" t="s">
        <v>2487</v>
      </c>
      <c r="D3" s="398">
        <f>IF(D1="",'数据-汇总表'!E3,SUMIF('数据-汇总表'!$C19:$C33,D1,'数据-汇总表'!$E19:$E33))</f>
        <v>12111.68</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2488</v>
      </c>
      <c r="B4" s="401"/>
      <c r="C4" s="3177" t="s">
        <v>2489</v>
      </c>
      <c r="D4" s="3178"/>
      <c r="E4" s="3179" t="s">
        <v>2490</v>
      </c>
      <c r="F4" s="3180"/>
      <c r="G4" s="3177" t="s">
        <v>2491</v>
      </c>
      <c r="H4" s="3178"/>
      <c r="I4" s="3177" t="s">
        <v>2492</v>
      </c>
      <c r="J4" s="3178"/>
      <c r="K4" s="2597" t="s">
        <v>2493</v>
      </c>
      <c r="L4" s="1132"/>
      <c r="M4" s="1133"/>
      <c r="N4" s="1133"/>
      <c r="O4" s="1133"/>
      <c r="P4" s="3181" t="s">
        <v>2494</v>
      </c>
      <c r="Q4" s="3182"/>
      <c r="R4" s="3164" t="s">
        <v>2490</v>
      </c>
      <c r="S4" s="3165"/>
      <c r="T4" s="3164" t="s">
        <v>2491</v>
      </c>
      <c r="U4" s="3165"/>
      <c r="V4" s="3189" t="s">
        <v>2492</v>
      </c>
      <c r="W4" s="3189"/>
      <c r="X4" s="1814"/>
      <c r="Y4" s="3164" t="s">
        <v>2494</v>
      </c>
      <c r="Z4" s="3165"/>
      <c r="AA4" s="3159" t="s">
        <v>2490</v>
      </c>
      <c r="AB4" s="3159" t="s">
        <v>2491</v>
      </c>
      <c r="AC4" s="3159" t="s">
        <v>2492</v>
      </c>
    </row>
    <row r="5" spans="1:29" ht="15">
      <c r="A5" s="403"/>
      <c r="B5" s="404"/>
      <c r="C5" s="3173" t="s">
        <v>2495</v>
      </c>
      <c r="D5" s="3170"/>
      <c r="E5" s="3168" t="s">
        <v>2496</v>
      </c>
      <c r="F5" s="3169"/>
      <c r="G5" s="3173" t="s">
        <v>2497</v>
      </c>
      <c r="H5" s="3170"/>
      <c r="I5" s="3173" t="s">
        <v>2498</v>
      </c>
      <c r="J5" s="3170"/>
      <c r="K5" s="2598"/>
      <c r="L5" s="1132"/>
      <c r="M5" s="1133"/>
      <c r="N5" s="1133"/>
      <c r="O5" s="1133"/>
      <c r="P5" s="3183"/>
      <c r="Q5" s="3184"/>
      <c r="R5" s="3166"/>
      <c r="S5" s="3167"/>
      <c r="T5" s="3166"/>
      <c r="U5" s="3167"/>
      <c r="V5" s="3189"/>
      <c r="W5" s="3189"/>
      <c r="X5" s="1814"/>
      <c r="Y5" s="3166"/>
      <c r="Z5" s="3167"/>
      <c r="AA5" s="3160"/>
      <c r="AB5" s="3160"/>
      <c r="AC5" s="3160"/>
    </row>
    <row r="6" spans="1:29" ht="15.75" thickBot="1">
      <c r="A6" s="405"/>
      <c r="B6" s="406"/>
      <c r="C6" s="3171" t="s">
        <v>2499</v>
      </c>
      <c r="D6" s="3172"/>
      <c r="E6" s="3174" t="s">
        <v>2499</v>
      </c>
      <c r="F6" s="3175"/>
      <c r="G6" s="3171" t="s">
        <v>2499</v>
      </c>
      <c r="H6" s="3172"/>
      <c r="I6" s="3171" t="s">
        <v>2499</v>
      </c>
      <c r="J6" s="3172"/>
      <c r="K6" s="2598" t="s">
        <v>2500</v>
      </c>
      <c r="L6" s="1132"/>
      <c r="M6" s="1133"/>
      <c r="N6" s="1133"/>
      <c r="O6" s="1133"/>
      <c r="P6" s="3185"/>
      <c r="Q6" s="3186"/>
      <c r="R6" s="3166"/>
      <c r="S6" s="3167"/>
      <c r="T6" s="3187"/>
      <c r="U6" s="3188"/>
      <c r="V6" s="3189"/>
      <c r="W6" s="3189"/>
      <c r="X6" s="1814"/>
      <c r="Y6" s="3187"/>
      <c r="Z6" s="3188"/>
      <c r="AA6" s="3161"/>
      <c r="AB6" s="3161"/>
      <c r="AC6" s="3161"/>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62" t="s">
        <v>2502</v>
      </c>
      <c r="Q7" s="3190"/>
      <c r="R7" s="769" t="s">
        <v>22</v>
      </c>
      <c r="S7" s="770">
        <f t="shared" ref="S7:S15" si="0">F7</f>
        <v>0</v>
      </c>
      <c r="T7" s="769" t="s">
        <v>22</v>
      </c>
      <c r="U7" s="770">
        <f t="shared" ref="U7:U15" si="1">H7</f>
        <v>0</v>
      </c>
      <c r="V7" s="769" t="s">
        <v>22</v>
      </c>
      <c r="W7" s="770">
        <f t="shared" ref="W7:W15" si="2">J7</f>
        <v>0</v>
      </c>
      <c r="X7" s="771"/>
      <c r="Y7" s="3162" t="s">
        <v>2502</v>
      </c>
      <c r="Z7" s="3163"/>
      <c r="AA7" s="772" t="e">
        <f>D7/F7</f>
        <v>#DIV/0!</v>
      </c>
      <c r="AB7" s="772" t="e">
        <f>D7/H7</f>
        <v>#DIV/0!</v>
      </c>
      <c r="AC7" s="772" t="e">
        <f>D7/J7</f>
        <v>#DIV/0!</v>
      </c>
    </row>
    <row r="8" spans="1:29" s="116" customFormat="1" ht="15.75" thickBot="1">
      <c r="A8" s="407" t="s">
        <v>2503</v>
      </c>
      <c r="B8" s="408"/>
      <c r="C8" s="413" t="s">
        <v>2504</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62" t="s">
        <v>2505</v>
      </c>
      <c r="Q8" s="3163"/>
      <c r="R8" s="769" t="s">
        <v>22</v>
      </c>
      <c r="S8" s="770">
        <f t="shared" si="0"/>
        <v>0</v>
      </c>
      <c r="T8" s="769" t="s">
        <v>22</v>
      </c>
      <c r="U8" s="770">
        <f t="shared" si="1"/>
        <v>0</v>
      </c>
      <c r="V8" s="769" t="s">
        <v>22</v>
      </c>
      <c r="W8" s="770">
        <f t="shared" si="2"/>
        <v>0</v>
      </c>
      <c r="X8" s="771"/>
      <c r="Y8" s="3162" t="s">
        <v>2505</v>
      </c>
      <c r="Z8" s="3163"/>
      <c r="AA8" s="772" t="e">
        <f t="shared" ref="AA8:AA19" si="3">D8/F8</f>
        <v>#DIV/0!</v>
      </c>
      <c r="AB8" s="772" t="e">
        <f t="shared" ref="AB8:AB19" si="4">D8/H8</f>
        <v>#DIV/0!</v>
      </c>
      <c r="AC8" s="772" t="e">
        <f t="shared" ref="AC8:AC19" si="5">D8/J8</f>
        <v>#DIV/0!</v>
      </c>
    </row>
    <row r="9" spans="1:29" s="116" customFormat="1">
      <c r="A9" s="414" t="s">
        <v>2506</v>
      </c>
      <c r="B9" s="70" t="s">
        <v>2507</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200"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0"/>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0"/>
      <c r="Q11" s="1796" t="str">
        <f t="shared" si="6"/>
        <v>容积率</v>
      </c>
      <c r="R11" s="769" t="s">
        <v>21</v>
      </c>
      <c r="S11" s="770" t="e">
        <f t="shared" si="0"/>
        <v>#N/A</v>
      </c>
      <c r="T11" s="769" t="s">
        <v>21</v>
      </c>
      <c r="U11" s="770" t="e">
        <f t="shared" si="1"/>
        <v>#N/A</v>
      </c>
      <c r="V11" s="769" t="s">
        <v>21</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00"/>
      <c r="Q12" s="1796">
        <f t="shared" si="6"/>
        <v>111</v>
      </c>
      <c r="R12" s="769" t="s">
        <v>21</v>
      </c>
      <c r="S12" s="770">
        <f t="shared" si="0"/>
        <v>100</v>
      </c>
      <c r="T12" s="769" t="s">
        <v>21</v>
      </c>
      <c r="U12" s="770">
        <f t="shared" si="1"/>
        <v>100</v>
      </c>
      <c r="V12" s="769" t="s">
        <v>21</v>
      </c>
      <c r="W12" s="770">
        <f t="shared" si="2"/>
        <v>100</v>
      </c>
      <c r="X12" s="771"/>
      <c r="Y12" s="3039"/>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00"/>
      <c r="Q13" s="1796">
        <f t="shared" si="6"/>
        <v>111</v>
      </c>
      <c r="R13" s="769" t="s">
        <v>21</v>
      </c>
      <c r="S13" s="770">
        <f t="shared" si="0"/>
        <v>100</v>
      </c>
      <c r="T13" s="769" t="s">
        <v>21</v>
      </c>
      <c r="U13" s="770">
        <f t="shared" si="1"/>
        <v>100</v>
      </c>
      <c r="V13" s="769" t="s">
        <v>21</v>
      </c>
      <c r="W13" s="770">
        <f t="shared" si="2"/>
        <v>100</v>
      </c>
      <c r="X13" s="771"/>
      <c r="Y13" s="3039"/>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00"/>
      <c r="Q14" s="1796">
        <f t="shared" si="6"/>
        <v>111</v>
      </c>
      <c r="R14" s="769" t="s">
        <v>21</v>
      </c>
      <c r="S14" s="770">
        <f t="shared" si="0"/>
        <v>100</v>
      </c>
      <c r="T14" s="769" t="s">
        <v>21</v>
      </c>
      <c r="U14" s="770">
        <f t="shared" si="1"/>
        <v>100</v>
      </c>
      <c r="V14" s="769" t="s">
        <v>21</v>
      </c>
      <c r="W14" s="770">
        <f t="shared" si="2"/>
        <v>100</v>
      </c>
      <c r="X14" s="771"/>
      <c r="Y14" s="3039"/>
      <c r="Z14" s="54">
        <f t="shared" si="7"/>
        <v>111</v>
      </c>
      <c r="AA14" s="772">
        <f t="shared" si="3"/>
        <v>1</v>
      </c>
      <c r="AB14" s="772">
        <f t="shared" si="4"/>
        <v>1</v>
      </c>
      <c r="AC14" s="772">
        <f t="shared" si="5"/>
        <v>1</v>
      </c>
    </row>
    <row r="15" spans="1:29" ht="15">
      <c r="A15" s="439" t="s">
        <v>2512</v>
      </c>
      <c r="B15" s="68" t="s">
        <v>2046</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8" t="s">
        <v>2513</v>
      </c>
      <c r="Q15" s="1811" t="str">
        <f t="shared" si="6"/>
        <v>居住社区成熟度</v>
      </c>
      <c r="R15" s="773" t="s">
        <v>21</v>
      </c>
      <c r="S15" s="774">
        <f t="shared" si="0"/>
        <v>100</v>
      </c>
      <c r="T15" s="773" t="s">
        <v>21</v>
      </c>
      <c r="U15" s="774">
        <f t="shared" si="1"/>
        <v>100</v>
      </c>
      <c r="V15" s="773" t="s">
        <v>21</v>
      </c>
      <c r="W15" s="774">
        <f t="shared" si="2"/>
        <v>100</v>
      </c>
      <c r="X15" s="1814"/>
      <c r="Y15" s="3191" t="s">
        <v>2513</v>
      </c>
      <c r="Z15" s="1815" t="str">
        <f t="shared" si="7"/>
        <v>居住社区成熟度</v>
      </c>
      <c r="AA15" s="1812">
        <f t="shared" si="3"/>
        <v>1</v>
      </c>
      <c r="AB15" s="1812">
        <f t="shared" si="4"/>
        <v>1</v>
      </c>
      <c r="AC15" s="1812">
        <f t="shared" si="5"/>
        <v>1</v>
      </c>
    </row>
    <row r="16" spans="1:29" ht="15">
      <c r="A16" s="427"/>
      <c r="B16" s="445"/>
      <c r="C16" s="446"/>
      <c r="D16" s="447"/>
      <c r="E16" s="2605"/>
      <c r="F16" s="447"/>
      <c r="G16" s="2606"/>
      <c r="H16" s="449"/>
      <c r="I16" s="2606"/>
      <c r="J16" s="447"/>
      <c r="K16" s="2607"/>
      <c r="L16" s="1142"/>
      <c r="M16" s="1133"/>
      <c r="N16" s="1133"/>
      <c r="O16" s="1133"/>
      <c r="P16" s="3239"/>
      <c r="Q16" s="1811"/>
      <c r="R16" s="773"/>
      <c r="S16" s="774"/>
      <c r="T16" s="773"/>
      <c r="U16" s="774"/>
      <c r="V16" s="773"/>
      <c r="W16" s="774"/>
      <c r="X16" s="1814"/>
      <c r="Y16" s="3192"/>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9"/>
      <c r="Q17" s="1811" t="str">
        <f>B17</f>
        <v>交通便捷度</v>
      </c>
      <c r="R17" s="773" t="s">
        <v>21</v>
      </c>
      <c r="S17" s="774">
        <f>F17</f>
        <v>100</v>
      </c>
      <c r="T17" s="773" t="s">
        <v>21</v>
      </c>
      <c r="U17" s="774">
        <f>H17</f>
        <v>100</v>
      </c>
      <c r="V17" s="773" t="s">
        <v>21</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0"/>
      <c r="F18" s="449"/>
      <c r="G18" s="2611"/>
      <c r="H18" s="447"/>
      <c r="I18" s="2611"/>
      <c r="J18" s="447"/>
      <c r="K18" s="2607"/>
      <c r="L18" s="1142"/>
      <c r="M18" s="1133"/>
      <c r="N18" s="1133"/>
      <c r="O18" s="1133"/>
      <c r="P18" s="3239"/>
      <c r="Q18" s="1811"/>
      <c r="R18" s="773"/>
      <c r="S18" s="774"/>
      <c r="T18" s="773"/>
      <c r="U18" s="774"/>
      <c r="V18" s="773"/>
      <c r="W18" s="774"/>
      <c r="X18" s="1814"/>
      <c r="Y18" s="3192"/>
      <c r="Z18" s="1815"/>
      <c r="AA18" s="1812">
        <v>1</v>
      </c>
      <c r="AB18" s="1812">
        <v>1</v>
      </c>
      <c r="AC18" s="1812">
        <v>1</v>
      </c>
    </row>
    <row r="19" spans="1:29" ht="42.75">
      <c r="A19" s="427"/>
      <c r="B19" s="450" t="s">
        <v>2051</v>
      </c>
      <c r="C19" s="2608"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9"/>
      <c r="Q19" s="1811" t="str">
        <f>B19</f>
        <v>公共配套设施</v>
      </c>
      <c r="R19" s="773" t="s">
        <v>21</v>
      </c>
      <c r="S19" s="774">
        <f>F19</f>
        <v>100</v>
      </c>
      <c r="T19" s="773" t="s">
        <v>21</v>
      </c>
      <c r="U19" s="774">
        <f>H19</f>
        <v>100</v>
      </c>
      <c r="V19" s="773" t="s">
        <v>21</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5"/>
      <c r="F20" s="447"/>
      <c r="G20" s="2606"/>
      <c r="H20" s="447"/>
      <c r="I20" s="2606"/>
      <c r="J20" s="447"/>
      <c r="K20" s="2607"/>
      <c r="L20" s="1142"/>
      <c r="M20" s="1133"/>
      <c r="N20" s="1133"/>
      <c r="O20" s="1133"/>
      <c r="P20" s="3239"/>
      <c r="Q20" s="1811"/>
      <c r="R20" s="773"/>
      <c r="S20" s="774"/>
      <c r="T20" s="773"/>
      <c r="U20" s="774"/>
      <c r="V20" s="773"/>
      <c r="W20" s="774"/>
      <c r="X20" s="1814"/>
      <c r="Y20" s="3192"/>
      <c r="Z20" s="1815"/>
      <c r="AA20" s="1812">
        <v>1</v>
      </c>
      <c r="AB20" s="1812">
        <v>1</v>
      </c>
      <c r="AC20" s="1812">
        <v>1</v>
      </c>
    </row>
    <row r="21" spans="1:29" ht="42.75">
      <c r="A21" s="427"/>
      <c r="B21" s="1386" t="s">
        <v>2053</v>
      </c>
      <c r="C21" s="2608" t="str">
        <f>估价对象房地状况!C8</f>
        <v>估价对象所在区域基础设施水平较好</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7"/>
      <c r="G22" s="2612"/>
      <c r="H22" s="447"/>
      <c r="I22" s="446"/>
      <c r="J22" s="447"/>
      <c r="K22" s="2613"/>
      <c r="L22" s="1142"/>
      <c r="M22" s="1133"/>
      <c r="N22" s="1133"/>
      <c r="O22" s="1133"/>
      <c r="P22" s="3239"/>
      <c r="Q22" s="1811"/>
      <c r="R22" s="773"/>
      <c r="S22" s="774"/>
      <c r="T22" s="773"/>
      <c r="U22" s="774"/>
      <c r="V22" s="773"/>
      <c r="W22" s="774"/>
      <c r="X22" s="1814"/>
      <c r="Y22" s="3192"/>
      <c r="Z22" s="1815"/>
      <c r="AA22" s="1812">
        <v>1</v>
      </c>
      <c r="AB22" s="1812">
        <v>1</v>
      </c>
      <c r="AC22" s="1812">
        <v>1</v>
      </c>
    </row>
    <row r="23" spans="1:29" ht="57">
      <c r="A23" s="427"/>
      <c r="B23" s="450" t="s">
        <v>2055</v>
      </c>
      <c r="C23" s="2608" t="str">
        <f>估价对象房地状况!C9</f>
        <v>区域自然环境：；人文环境；综合评价环境状况较好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9"/>
      <c r="Q23" s="1811" t="str">
        <f>B23</f>
        <v>自然及人文环境</v>
      </c>
      <c r="R23" s="773" t="s">
        <v>21</v>
      </c>
      <c r="S23" s="774">
        <f>F23</f>
        <v>100</v>
      </c>
      <c r="T23" s="773" t="s">
        <v>21</v>
      </c>
      <c r="U23" s="774">
        <f>H23</f>
        <v>100</v>
      </c>
      <c r="V23" s="773" t="s">
        <v>21</v>
      </c>
      <c r="W23" s="774">
        <f>J23</f>
        <v>100</v>
      </c>
      <c r="X23" s="1814"/>
      <c r="Y23" s="3192"/>
      <c r="Z23" s="1815" t="str">
        <f>Q23</f>
        <v>自然及人文环境</v>
      </c>
      <c r="AA23" s="1812">
        <f>D23/F23</f>
        <v>1</v>
      </c>
      <c r="AB23" s="1812">
        <f>D23/H23</f>
        <v>1</v>
      </c>
      <c r="AC23" s="1812">
        <f>D23/J23</f>
        <v>1</v>
      </c>
    </row>
    <row r="24" spans="1:29" ht="15">
      <c r="A24" s="427"/>
      <c r="B24" s="455"/>
      <c r="C24" s="446"/>
      <c r="D24" s="447"/>
      <c r="E24" s="2605"/>
      <c r="F24" s="447"/>
      <c r="G24" s="2606"/>
      <c r="H24" s="447"/>
      <c r="I24" s="2606"/>
      <c r="J24" s="447"/>
      <c r="K24" s="2607"/>
      <c r="L24" s="1142"/>
      <c r="M24" s="1133"/>
      <c r="N24" s="1133"/>
      <c r="O24" s="1133"/>
      <c r="P24" s="3239"/>
      <c r="Q24" s="1811"/>
      <c r="R24" s="773"/>
      <c r="S24" s="774"/>
      <c r="T24" s="773"/>
      <c r="U24" s="774"/>
      <c r="V24" s="773"/>
      <c r="W24" s="774"/>
      <c r="X24" s="1814"/>
      <c r="Y24" s="3192"/>
      <c r="Z24" s="1815"/>
      <c r="AA24" s="1812">
        <v>1</v>
      </c>
      <c r="AB24" s="1812">
        <v>1</v>
      </c>
      <c r="AC24" s="1812">
        <v>1</v>
      </c>
    </row>
    <row r="25" spans="1:29" ht="15">
      <c r="A25" s="427"/>
      <c r="B25" s="421" t="s">
        <v>2514</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39"/>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2"/>
      <c r="Z25" s="1815" t="str">
        <f>Q25</f>
        <v>楼层-1</v>
      </c>
      <c r="AA25" s="1812">
        <f t="shared" ref="AA25:AA46" si="15">D25/F25</f>
        <v>1</v>
      </c>
      <c r="AB25" s="1812">
        <f t="shared" ref="AB25:AB46" si="16">D25/H25</f>
        <v>1</v>
      </c>
      <c r="AC25" s="1812">
        <f t="shared" ref="AC25:AC46" si="17">D25/J25</f>
        <v>1</v>
      </c>
    </row>
    <row r="26" spans="1:29" ht="15">
      <c r="A26" s="427"/>
      <c r="B26" s="421" t="s">
        <v>2515</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39"/>
      <c r="Q26" s="1811" t="str">
        <f t="shared" si="11"/>
        <v>朝向</v>
      </c>
      <c r="R26" s="773" t="s">
        <v>21</v>
      </c>
      <c r="S26" s="774">
        <f t="shared" si="12"/>
        <v>100</v>
      </c>
      <c r="T26" s="773" t="s">
        <v>21</v>
      </c>
      <c r="U26" s="774">
        <f t="shared" si="13"/>
        <v>100</v>
      </c>
      <c r="V26" s="773" t="s">
        <v>21</v>
      </c>
      <c r="W26" s="774">
        <f t="shared" si="14"/>
        <v>100</v>
      </c>
      <c r="X26" s="1814"/>
      <c r="Y26" s="3192"/>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39"/>
      <c r="Q27" s="1796">
        <f t="shared" si="11"/>
        <v>111</v>
      </c>
      <c r="R27" s="769" t="s">
        <v>21</v>
      </c>
      <c r="S27" s="770">
        <f t="shared" si="12"/>
        <v>100</v>
      </c>
      <c r="T27" s="769" t="s">
        <v>21</v>
      </c>
      <c r="U27" s="770">
        <f t="shared" si="13"/>
        <v>100</v>
      </c>
      <c r="V27" s="769" t="s">
        <v>21</v>
      </c>
      <c r="W27" s="770">
        <f t="shared" si="14"/>
        <v>100</v>
      </c>
      <c r="X27" s="771"/>
      <c r="Y27" s="3192"/>
      <c r="Z27" s="54">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39"/>
      <c r="Q28" s="1811">
        <f t="shared" si="11"/>
        <v>111</v>
      </c>
      <c r="R28" s="773" t="s">
        <v>21</v>
      </c>
      <c r="S28" s="774">
        <f t="shared" si="12"/>
        <v>100</v>
      </c>
      <c r="T28" s="773" t="s">
        <v>21</v>
      </c>
      <c r="U28" s="774">
        <f t="shared" si="13"/>
        <v>100</v>
      </c>
      <c r="V28" s="773" t="s">
        <v>21</v>
      </c>
      <c r="W28" s="774">
        <f t="shared" si="14"/>
        <v>100</v>
      </c>
      <c r="X28" s="1814"/>
      <c r="Y28" s="3192"/>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39"/>
      <c r="Q29" s="1811">
        <f t="shared" si="11"/>
        <v>111</v>
      </c>
      <c r="R29" s="773" t="s">
        <v>21</v>
      </c>
      <c r="S29" s="774">
        <f t="shared" si="12"/>
        <v>100</v>
      </c>
      <c r="T29" s="773" t="s">
        <v>21</v>
      </c>
      <c r="U29" s="774">
        <f t="shared" si="13"/>
        <v>100</v>
      </c>
      <c r="V29" s="773" t="s">
        <v>21</v>
      </c>
      <c r="W29" s="774">
        <f t="shared" si="14"/>
        <v>100</v>
      </c>
      <c r="X29" s="1814"/>
      <c r="Y29" s="3192"/>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39"/>
      <c r="Q30" s="1811">
        <f t="shared" si="11"/>
        <v>111</v>
      </c>
      <c r="R30" s="773" t="s">
        <v>21</v>
      </c>
      <c r="S30" s="774">
        <f t="shared" si="12"/>
        <v>100</v>
      </c>
      <c r="T30" s="773" t="s">
        <v>21</v>
      </c>
      <c r="U30" s="774">
        <f t="shared" si="13"/>
        <v>100</v>
      </c>
      <c r="V30" s="773" t="s">
        <v>21</v>
      </c>
      <c r="W30" s="774">
        <f t="shared" si="14"/>
        <v>100</v>
      </c>
      <c r="X30" s="1814"/>
      <c r="Y30" s="3192"/>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39"/>
      <c r="Q31" s="1811">
        <f t="shared" si="11"/>
        <v>111</v>
      </c>
      <c r="R31" s="773" t="s">
        <v>21</v>
      </c>
      <c r="S31" s="774">
        <f t="shared" si="12"/>
        <v>100</v>
      </c>
      <c r="T31" s="773" t="s">
        <v>21</v>
      </c>
      <c r="U31" s="774">
        <f t="shared" si="13"/>
        <v>100</v>
      </c>
      <c r="V31" s="773" t="s">
        <v>21</v>
      </c>
      <c r="W31" s="774">
        <f t="shared" si="14"/>
        <v>100</v>
      </c>
      <c r="X31" s="1814"/>
      <c r="Y31" s="3192"/>
      <c r="Z31" s="1815">
        <f t="shared" si="18"/>
        <v>111</v>
      </c>
      <c r="AA31" s="1812">
        <f t="shared" si="15"/>
        <v>1</v>
      </c>
      <c r="AB31" s="1812">
        <f t="shared" si="16"/>
        <v>1</v>
      </c>
      <c r="AC31" s="1812">
        <f t="shared" si="17"/>
        <v>1</v>
      </c>
    </row>
    <row r="32" spans="1:29" ht="15">
      <c r="A32" s="439" t="s">
        <v>2516</v>
      </c>
      <c r="B32" s="70" t="s">
        <v>2517</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34" t="s">
        <v>2518</v>
      </c>
      <c r="Q32" s="1811" t="str">
        <f t="shared" si="11"/>
        <v>建筑类型</v>
      </c>
      <c r="R32" s="773" t="s">
        <v>21</v>
      </c>
      <c r="S32" s="774">
        <f t="shared" si="12"/>
        <v>100</v>
      </c>
      <c r="T32" s="773" t="s">
        <v>21</v>
      </c>
      <c r="U32" s="774">
        <f t="shared" si="13"/>
        <v>100</v>
      </c>
      <c r="V32" s="773" t="s">
        <v>21</v>
      </c>
      <c r="W32" s="774">
        <f t="shared" si="14"/>
        <v>100</v>
      </c>
      <c r="X32" s="1814"/>
      <c r="Y32" s="3194" t="s">
        <v>2518</v>
      </c>
      <c r="Z32" s="1815" t="str">
        <f t="shared" si="18"/>
        <v>建筑类型</v>
      </c>
      <c r="AA32" s="1812">
        <f t="shared" si="15"/>
        <v>1</v>
      </c>
      <c r="AB32" s="1812">
        <f t="shared" si="16"/>
        <v>1</v>
      </c>
      <c r="AC32" s="1812">
        <f t="shared" si="17"/>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35"/>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2" t="e">
        <f t="shared" si="15"/>
        <v>#N/A</v>
      </c>
      <c r="AB33" s="1812" t="e">
        <f t="shared" si="16"/>
        <v>#N/A</v>
      </c>
      <c r="AC33" s="1812" t="e">
        <f t="shared" si="17"/>
        <v>#N/A</v>
      </c>
    </row>
    <row r="34" spans="1:29" ht="15">
      <c r="A34" s="471"/>
      <c r="B34" s="421" t="s">
        <v>2520</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35"/>
      <c r="Q34" s="1811" t="str">
        <f t="shared" si="11"/>
        <v>建筑结构</v>
      </c>
      <c r="R34" s="773" t="s">
        <v>21</v>
      </c>
      <c r="S34" s="774">
        <f t="shared" si="12"/>
        <v>100</v>
      </c>
      <c r="T34" s="773" t="s">
        <v>21</v>
      </c>
      <c r="U34" s="774">
        <f t="shared" si="13"/>
        <v>100</v>
      </c>
      <c r="V34" s="773" t="s">
        <v>21</v>
      </c>
      <c r="W34" s="774">
        <f t="shared" si="14"/>
        <v>100</v>
      </c>
      <c r="X34" s="1814"/>
      <c r="Y34" s="3194"/>
      <c r="Z34" s="1815" t="str">
        <f t="shared" si="18"/>
        <v>建筑结构</v>
      </c>
      <c r="AA34" s="1812">
        <f t="shared" si="15"/>
        <v>1</v>
      </c>
      <c r="AB34" s="1812">
        <f t="shared" si="16"/>
        <v>1</v>
      </c>
      <c r="AC34" s="1812">
        <f t="shared" si="17"/>
        <v>1</v>
      </c>
    </row>
    <row r="35" spans="1:29" ht="15">
      <c r="A35" s="471"/>
      <c r="B35" s="421" t="s">
        <v>2521</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35"/>
      <c r="Q35" s="1811" t="str">
        <f t="shared" si="11"/>
        <v>建筑品质</v>
      </c>
      <c r="R35" s="773" t="s">
        <v>21</v>
      </c>
      <c r="S35" s="774">
        <f t="shared" si="12"/>
        <v>100</v>
      </c>
      <c r="T35" s="773" t="s">
        <v>21</v>
      </c>
      <c r="U35" s="774">
        <f t="shared" si="13"/>
        <v>100</v>
      </c>
      <c r="V35" s="773" t="s">
        <v>21</v>
      </c>
      <c r="W35" s="774">
        <f t="shared" si="14"/>
        <v>100</v>
      </c>
      <c r="X35" s="1814"/>
      <c r="Y35" s="3194"/>
      <c r="Z35" s="1815" t="str">
        <f t="shared" si="18"/>
        <v>建筑品质</v>
      </c>
      <c r="AA35" s="1812">
        <f t="shared" si="15"/>
        <v>1</v>
      </c>
      <c r="AB35" s="1812">
        <f t="shared" si="16"/>
        <v>1</v>
      </c>
      <c r="AC35" s="1812">
        <f t="shared" si="17"/>
        <v>1</v>
      </c>
    </row>
    <row r="36" spans="1:29" ht="15">
      <c r="A36" s="471"/>
      <c r="B36" s="421" t="s">
        <v>2522</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35"/>
      <c r="Q36" s="1811" t="str">
        <f t="shared" si="11"/>
        <v>公共部分装修</v>
      </c>
      <c r="R36" s="773" t="s">
        <v>21</v>
      </c>
      <c r="S36" s="774">
        <f t="shared" si="12"/>
        <v>100</v>
      </c>
      <c r="T36" s="773" t="s">
        <v>21</v>
      </c>
      <c r="U36" s="774">
        <f t="shared" si="13"/>
        <v>100</v>
      </c>
      <c r="V36" s="773" t="s">
        <v>21</v>
      </c>
      <c r="W36" s="774">
        <f t="shared" si="14"/>
        <v>100</v>
      </c>
      <c r="X36" s="1814"/>
      <c r="Y36" s="3194"/>
      <c r="Z36" s="1815" t="str">
        <f t="shared" si="18"/>
        <v>公共部分装修</v>
      </c>
      <c r="AA36" s="1812">
        <f t="shared" si="15"/>
        <v>1</v>
      </c>
      <c r="AB36" s="1812">
        <f t="shared" si="16"/>
        <v>1</v>
      </c>
      <c r="AC36" s="1812">
        <f t="shared" si="17"/>
        <v>1</v>
      </c>
    </row>
    <row r="37" spans="1:29" s="116" customFormat="1" ht="15">
      <c r="A37" s="472"/>
      <c r="B37" s="421" t="s">
        <v>2523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5"/>
      <c r="Q37" s="1796" t="str">
        <f t="shared" si="11"/>
        <v>成新度</v>
      </c>
      <c r="R37" s="769" t="s">
        <v>21</v>
      </c>
      <c r="S37" s="770" t="e">
        <f t="shared" si="12"/>
        <v>#N/A</v>
      </c>
      <c r="T37" s="769" t="s">
        <v>21</v>
      </c>
      <c r="U37" s="770" t="e">
        <f t="shared" si="13"/>
        <v>#N/A</v>
      </c>
      <c r="V37" s="769" t="s">
        <v>21</v>
      </c>
      <c r="W37" s="770" t="e">
        <f t="shared" si="14"/>
        <v>#N/A</v>
      </c>
      <c r="X37" s="771"/>
      <c r="Y37" s="3194"/>
      <c r="Z37" s="54" t="str">
        <f t="shared" si="18"/>
        <v>成新度</v>
      </c>
      <c r="AA37" s="772" t="e">
        <f t="shared" si="15"/>
        <v>#N/A</v>
      </c>
      <c r="AB37" s="772" t="e">
        <f t="shared" si="16"/>
        <v>#N/A</v>
      </c>
      <c r="AC37" s="772" t="e">
        <f t="shared" si="17"/>
        <v>#N/A</v>
      </c>
    </row>
    <row r="38" spans="1:29" ht="15">
      <c r="A38" s="471"/>
      <c r="B38" s="421" t="s">
        <v>2524</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35" t="s">
        <v>2518</v>
      </c>
      <c r="Q38" s="1811" t="str">
        <f t="shared" si="11"/>
        <v>物业管理</v>
      </c>
      <c r="R38" s="773" t="s">
        <v>21</v>
      </c>
      <c r="S38" s="774">
        <f t="shared" si="12"/>
        <v>100</v>
      </c>
      <c r="T38" s="773" t="s">
        <v>21</v>
      </c>
      <c r="U38" s="774">
        <f t="shared" si="13"/>
        <v>100</v>
      </c>
      <c r="V38" s="773" t="s">
        <v>21</v>
      </c>
      <c r="W38" s="774">
        <f t="shared" si="14"/>
        <v>100</v>
      </c>
      <c r="X38" s="1814"/>
      <c r="Y38" s="3194" t="s">
        <v>2518</v>
      </c>
      <c r="Z38" s="1815" t="str">
        <f t="shared" si="18"/>
        <v>物业管理</v>
      </c>
      <c r="AA38" s="1812">
        <f t="shared" si="15"/>
        <v>1</v>
      </c>
      <c r="AB38" s="1812">
        <f t="shared" si="16"/>
        <v>1</v>
      </c>
      <c r="AC38" s="1812">
        <f t="shared" si="17"/>
        <v>1</v>
      </c>
    </row>
    <row r="39" spans="1:29" ht="15">
      <c r="A39" s="471"/>
      <c r="B39" s="421" t="s">
        <v>2525</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35"/>
      <c r="Q39" s="1811" t="str">
        <f t="shared" si="11"/>
        <v>市政基础设施</v>
      </c>
      <c r="R39" s="773" t="s">
        <v>21</v>
      </c>
      <c r="S39" s="774">
        <f t="shared" si="12"/>
        <v>100</v>
      </c>
      <c r="T39" s="773" t="s">
        <v>21</v>
      </c>
      <c r="U39" s="774">
        <f t="shared" si="13"/>
        <v>100</v>
      </c>
      <c r="V39" s="773" t="s">
        <v>21</v>
      </c>
      <c r="W39" s="774">
        <f t="shared" si="14"/>
        <v>100</v>
      </c>
      <c r="X39" s="1814"/>
      <c r="Y39" s="3194"/>
      <c r="Z39" s="1815" t="str">
        <f t="shared" si="18"/>
        <v>市政基础设施</v>
      </c>
      <c r="AA39" s="1812">
        <f t="shared" si="15"/>
        <v>1</v>
      </c>
      <c r="AB39" s="1812">
        <f t="shared" si="16"/>
        <v>1</v>
      </c>
      <c r="AC39" s="1812">
        <f t="shared" si="17"/>
        <v>1</v>
      </c>
    </row>
    <row r="40" spans="1:29" ht="15">
      <c r="A40" s="471"/>
      <c r="B40" s="421" t="s">
        <v>2526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35"/>
      <c r="Q40" s="1811" t="str">
        <f t="shared" si="11"/>
        <v>房型</v>
      </c>
      <c r="R40" s="773" t="s">
        <v>21</v>
      </c>
      <c r="S40" s="774">
        <f t="shared" si="12"/>
        <v>100</v>
      </c>
      <c r="T40" s="773" t="s">
        <v>21</v>
      </c>
      <c r="U40" s="774">
        <f t="shared" si="13"/>
        <v>100</v>
      </c>
      <c r="V40" s="773" t="s">
        <v>21</v>
      </c>
      <c r="W40" s="774">
        <f t="shared" si="14"/>
        <v>100</v>
      </c>
      <c r="X40" s="1814"/>
      <c r="Y40" s="3194"/>
      <c r="Z40" s="1815" t="str">
        <f t="shared" si="18"/>
        <v>房型</v>
      </c>
      <c r="AA40" s="1812">
        <f t="shared" si="15"/>
        <v>1</v>
      </c>
      <c r="AB40" s="1812">
        <f t="shared" si="16"/>
        <v>1</v>
      </c>
      <c r="AC40" s="1812">
        <f t="shared" si="17"/>
        <v>1</v>
      </c>
    </row>
    <row r="41" spans="1:29" s="470" customFormat="1" ht="28.5">
      <c r="A41" s="467"/>
      <c r="B41" s="421" t="s">
        <v>2527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35"/>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2">
        <f t="shared" si="15"/>
        <v>1</v>
      </c>
      <c r="AB41" s="1812">
        <f t="shared" si="16"/>
        <v>1</v>
      </c>
      <c r="AC41" s="1812">
        <f t="shared" si="17"/>
        <v>1</v>
      </c>
    </row>
    <row r="42" spans="1:29" ht="15">
      <c r="A42" s="471"/>
      <c r="B42" s="421" t="s">
        <v>2528</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35"/>
      <c r="Q42" s="1811" t="str">
        <f t="shared" si="11"/>
        <v>内部装修</v>
      </c>
      <c r="R42" s="773" t="s">
        <v>21</v>
      </c>
      <c r="S42" s="774">
        <f t="shared" si="12"/>
        <v>100</v>
      </c>
      <c r="T42" s="773" t="s">
        <v>21</v>
      </c>
      <c r="U42" s="774">
        <f t="shared" si="13"/>
        <v>100</v>
      </c>
      <c r="V42" s="773" t="s">
        <v>21</v>
      </c>
      <c r="W42" s="774">
        <f t="shared" si="14"/>
        <v>100</v>
      </c>
      <c r="X42" s="1814"/>
      <c r="Y42" s="3194"/>
      <c r="Z42" s="1815" t="str">
        <f t="shared" si="18"/>
        <v>内部装修</v>
      </c>
      <c r="AA42" s="1812">
        <f t="shared" si="15"/>
        <v>1</v>
      </c>
      <c r="AB42" s="1812">
        <f t="shared" si="16"/>
        <v>1</v>
      </c>
      <c r="AC42" s="1812">
        <f t="shared" si="17"/>
        <v>1</v>
      </c>
    </row>
    <row r="43" spans="1:29" ht="15">
      <c r="A43" s="471"/>
      <c r="B43" s="421" t="s">
        <v>2529</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35"/>
      <c r="Q43" s="1811" t="str">
        <f t="shared" si="11"/>
        <v>内部装修维护情况</v>
      </c>
      <c r="R43" s="773" t="s">
        <v>21</v>
      </c>
      <c r="S43" s="774">
        <f t="shared" si="12"/>
        <v>100</v>
      </c>
      <c r="T43" s="773" t="s">
        <v>21</v>
      </c>
      <c r="U43" s="774">
        <f t="shared" si="13"/>
        <v>100</v>
      </c>
      <c r="V43" s="773" t="s">
        <v>21</v>
      </c>
      <c r="W43" s="774">
        <f t="shared" si="14"/>
        <v>100</v>
      </c>
      <c r="X43" s="1814"/>
      <c r="Y43" s="3194"/>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35"/>
      <c r="Q44" s="1796">
        <f t="shared" si="11"/>
        <v>111</v>
      </c>
      <c r="R44" s="769" t="s">
        <v>21</v>
      </c>
      <c r="S44" s="770">
        <f t="shared" si="12"/>
        <v>100</v>
      </c>
      <c r="T44" s="769" t="s">
        <v>21</v>
      </c>
      <c r="U44" s="770">
        <f t="shared" si="13"/>
        <v>100</v>
      </c>
      <c r="V44" s="769" t="s">
        <v>21</v>
      </c>
      <c r="W44" s="770">
        <f t="shared" si="14"/>
        <v>100</v>
      </c>
      <c r="X44" s="771"/>
      <c r="Y44" s="3194"/>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35"/>
      <c r="Q45" s="1811">
        <f t="shared" si="11"/>
        <v>111</v>
      </c>
      <c r="R45" s="773" t="s">
        <v>21</v>
      </c>
      <c r="S45" s="774">
        <f t="shared" si="12"/>
        <v>100</v>
      </c>
      <c r="T45" s="773" t="s">
        <v>21</v>
      </c>
      <c r="U45" s="774">
        <f t="shared" si="13"/>
        <v>100</v>
      </c>
      <c r="V45" s="773" t="s">
        <v>21</v>
      </c>
      <c r="W45" s="774">
        <f t="shared" si="14"/>
        <v>100</v>
      </c>
      <c r="X45" s="1814"/>
      <c r="Y45" s="3194"/>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36"/>
      <c r="Q46" s="1811">
        <f t="shared" si="11"/>
        <v>111</v>
      </c>
      <c r="R46" s="773" t="s">
        <v>20</v>
      </c>
      <c r="S46" s="774">
        <f t="shared" si="12"/>
        <v>100</v>
      </c>
      <c r="T46" s="773" t="s">
        <v>20</v>
      </c>
      <c r="U46" s="774">
        <f t="shared" si="13"/>
        <v>100</v>
      </c>
      <c r="V46" s="773" t="s">
        <v>20</v>
      </c>
      <c r="W46" s="774">
        <f t="shared" si="14"/>
        <v>100</v>
      </c>
      <c r="X46" s="1814"/>
      <c r="Y46" s="3237"/>
      <c r="Z46" s="1815">
        <f t="shared" si="18"/>
        <v>111</v>
      </c>
      <c r="AA46" s="1812">
        <f t="shared" si="15"/>
        <v>1</v>
      </c>
      <c r="AB46" s="1812">
        <f t="shared" si="16"/>
        <v>1</v>
      </c>
      <c r="AC46" s="1812">
        <f t="shared" si="17"/>
        <v>1</v>
      </c>
    </row>
    <row r="47" spans="1:29" ht="15">
      <c r="A47" s="478" t="s">
        <v>2530</v>
      </c>
      <c r="B47" s="479"/>
      <c r="C47" s="1409" t="s">
        <v>19</v>
      </c>
      <c r="D47" s="1410"/>
      <c r="E47" s="1411"/>
      <c r="F47" s="1412"/>
      <c r="G47" s="1413"/>
      <c r="H47" s="1414"/>
      <c r="I47" s="1411"/>
      <c r="J47" s="1414"/>
      <c r="K47" s="2622"/>
      <c r="L47" s="1145"/>
      <c r="M47" s="1146"/>
      <c r="N47" s="1133"/>
      <c r="O47" s="1146"/>
      <c r="P47" s="3176" t="str">
        <f>A47</f>
        <v>成交单价（元/平方米）</v>
      </c>
      <c r="Q47" s="3176"/>
      <c r="R47" s="3233">
        <f>E47</f>
        <v>0</v>
      </c>
      <c r="S47" s="3233"/>
      <c r="T47" s="3233">
        <f>G47</f>
        <v>0</v>
      </c>
      <c r="U47" s="3233"/>
      <c r="V47" s="3233">
        <f>I47</f>
        <v>0</v>
      </c>
      <c r="W47" s="3233"/>
      <c r="X47" s="758"/>
      <c r="Y47" s="780"/>
      <c r="Z47" s="758"/>
      <c r="AA47" s="758"/>
      <c r="AB47" s="758"/>
      <c r="AC47" s="758"/>
    </row>
    <row r="48" spans="1:29" ht="15.75" thickBot="1">
      <c r="A48" s="485" t="s">
        <v>2531</v>
      </c>
      <c r="B48" s="486"/>
      <c r="C48" s="1415" t="e">
        <f>R49</f>
        <v>#DIV/0!</v>
      </c>
      <c r="D48" s="1416"/>
      <c r="E48" s="1417" t="e">
        <f>R48</f>
        <v>#DIV/0!</v>
      </c>
      <c r="F48" s="1417"/>
      <c r="G48" s="1415" t="e">
        <f>T48</f>
        <v>#DIV/0!</v>
      </c>
      <c r="H48" s="1416"/>
      <c r="I48" s="1417" t="e">
        <f>V48</f>
        <v>#DIV/0!</v>
      </c>
      <c r="J48" s="1416"/>
      <c r="K48" s="2623"/>
      <c r="L48" s="1145"/>
      <c r="M48" s="1146"/>
      <c r="N48" s="1146"/>
      <c r="O48" s="1146"/>
      <c r="P48" s="3176" t="str">
        <f>A48</f>
        <v>比较价值（元/平方米）</v>
      </c>
      <c r="Q48" s="317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2532</v>
      </c>
      <c r="B49" s="492"/>
      <c r="C49" s="1418" t="e">
        <f>R49</f>
        <v>#DIV/0!</v>
      </c>
      <c r="D49" s="1419"/>
      <c r="E49" s="1419"/>
      <c r="F49" s="1419"/>
      <c r="G49" s="1419"/>
      <c r="H49" s="1419"/>
      <c r="I49" s="1419"/>
      <c r="J49" s="1419"/>
      <c r="K49" s="2624"/>
      <c r="L49" s="1145"/>
      <c r="M49" s="1146"/>
      <c r="N49" s="1146"/>
      <c r="O49" s="1146"/>
      <c r="P49" s="3196" t="str">
        <f>A49</f>
        <v>估价对象XX用房的比较价值（楼面单价，元/平方米）</v>
      </c>
      <c r="Q49" s="3197"/>
      <c r="R49" s="3232" t="e">
        <f>IF(F1="售价",ROUND(AVERAGE(R48:V48),0),ROUND(AVERAGE(R48:V48),1))</f>
        <v>#DIV/0!</v>
      </c>
      <c r="S49" s="3232"/>
      <c r="T49" s="3232"/>
      <c r="U49" s="3232"/>
      <c r="V49" s="3232"/>
      <c r="W49" s="323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2533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2534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2535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2536</v>
      </c>
      <c r="B57" s="758"/>
      <c r="C57" s="763"/>
      <c r="D57" s="763"/>
      <c r="E57" s="763"/>
      <c r="F57" s="764"/>
      <c r="G57" s="764"/>
      <c r="H57" s="763"/>
      <c r="I57" s="763"/>
      <c r="J57" s="763"/>
      <c r="K57" s="1162"/>
      <c r="L57" s="1163"/>
      <c r="M57" s="1161"/>
      <c r="N57" s="1161"/>
      <c r="O57" s="1161"/>
      <c r="P57" s="2627"/>
      <c r="Q57" s="503"/>
    </row>
    <row r="58" spans="1:29" s="507" customFormat="1" ht="15">
      <c r="A58" s="504" t="s">
        <v>2537</v>
      </c>
      <c r="B58" s="505"/>
      <c r="C58" s="1577" t="str">
        <f>YEAR(C7)&amp;"-"&amp;MONTH(C7)</f>
        <v>2018-4</v>
      </c>
      <c r="D58" s="1576">
        <f>EDATE(C58,-1)</f>
        <v>43160</v>
      </c>
      <c r="E58" s="1576">
        <f>EDATE(D58,-1)</f>
        <v>43132</v>
      </c>
      <c r="F58" s="1576">
        <f t="shared" ref="F58:O58" si="19">EDATE(E58,-1)</f>
        <v>43101</v>
      </c>
      <c r="G58" s="1576">
        <f t="shared" si="19"/>
        <v>43070</v>
      </c>
      <c r="H58" s="1576">
        <f t="shared" si="19"/>
        <v>43040</v>
      </c>
      <c r="I58" s="1576">
        <f t="shared" si="19"/>
        <v>43009</v>
      </c>
      <c r="J58" s="1576">
        <f t="shared" si="19"/>
        <v>42979</v>
      </c>
      <c r="K58" s="1576">
        <f t="shared" si="19"/>
        <v>42948</v>
      </c>
      <c r="L58" s="1576">
        <f t="shared" si="19"/>
        <v>42917</v>
      </c>
      <c r="M58" s="1576">
        <f t="shared" si="19"/>
        <v>42887</v>
      </c>
      <c r="N58" s="1576">
        <f t="shared" si="19"/>
        <v>42856</v>
      </c>
      <c r="O58" s="1576">
        <f t="shared" si="19"/>
        <v>42826</v>
      </c>
      <c r="P58" s="1571"/>
    </row>
    <row r="59" spans="1:29" s="116" customFormat="1" ht="15">
      <c r="A59" s="508"/>
      <c r="B59" s="2628"/>
      <c r="C59" s="1574">
        <v>100</v>
      </c>
      <c r="D59" s="510"/>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2539</v>
      </c>
      <c r="B61" s="509"/>
      <c r="C61" s="521" t="s">
        <v>2540</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2511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2053</v>
      </c>
      <c r="C82" s="538" t="s">
        <v>2557</v>
      </c>
      <c r="D82" s="538" t="s">
        <v>2558</v>
      </c>
      <c r="E82" s="538" t="s">
        <v>2559</v>
      </c>
      <c r="F82" s="538" t="s">
        <v>2560</v>
      </c>
      <c r="G82" s="538" t="s">
        <v>2561</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2563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2564</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2516</v>
      </c>
      <c r="B100" s="527" t="s">
        <v>2565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2566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2568</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2569</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1956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2570</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2571</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2572</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2527</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2575</v>
      </c>
    </row>
    <row r="137" spans="1:17" ht="15">
      <c r="B137" s="2639" t="s">
        <v>2576</v>
      </c>
      <c r="C137" s="2640"/>
      <c r="D137" s="2640"/>
      <c r="E137" s="2640"/>
      <c r="F137" s="2640"/>
      <c r="G137" s="2641"/>
      <c r="H137" s="2642"/>
      <c r="I137" s="2643" t="s">
        <v>2577</v>
      </c>
      <c r="J137" s="2640"/>
      <c r="K137" s="2644"/>
    </row>
    <row r="138" spans="1:17" ht="15">
      <c r="B138" s="2645"/>
      <c r="C138" s="145" t="s">
        <v>2578</v>
      </c>
      <c r="D138" s="145" t="s">
        <v>2579</v>
      </c>
      <c r="E138" s="2646" t="s">
        <v>2580</v>
      </c>
      <c r="F138" s="2647" t="s">
        <v>2581</v>
      </c>
      <c r="G138" s="145" t="s">
        <v>2579</v>
      </c>
      <c r="H138" s="146" t="s">
        <v>2580</v>
      </c>
      <c r="I138" s="2648"/>
      <c r="J138" s="145" t="s">
        <v>2582</v>
      </c>
      <c r="K138" s="146" t="s">
        <v>2583</v>
      </c>
    </row>
    <row r="139" spans="1:17" ht="15">
      <c r="B139" s="1086">
        <v>6</v>
      </c>
      <c r="C139" s="1087">
        <v>96</v>
      </c>
      <c r="D139" s="2649" t="s">
        <v>2584</v>
      </c>
      <c r="E139" s="1088">
        <v>100</v>
      </c>
      <c r="F139" s="1089">
        <v>102.5</v>
      </c>
      <c r="G139" s="2649" t="s">
        <v>2584</v>
      </c>
      <c r="H139" s="1090">
        <v>105</v>
      </c>
      <c r="I139" s="2650" t="s">
        <v>2585</v>
      </c>
      <c r="J139" s="1087">
        <v>20</v>
      </c>
      <c r="K139" s="1091">
        <f>C145/(J139-2)</f>
        <v>4.0555555555555553E-3</v>
      </c>
    </row>
    <row r="140" spans="1:17" ht="15">
      <c r="B140" s="1092">
        <v>5</v>
      </c>
      <c r="C140" s="1093">
        <v>100</v>
      </c>
      <c r="D140" s="1093"/>
      <c r="E140" s="1094"/>
      <c r="F140" s="1095">
        <v>102</v>
      </c>
      <c r="G140" s="1093"/>
      <c r="H140" s="1096"/>
      <c r="I140" s="2651" t="s">
        <v>2586</v>
      </c>
      <c r="J140" s="314">
        <f>ROUNDUP((J139-1)/2,0)</f>
        <v>10</v>
      </c>
      <c r="K140" s="1097">
        <v>100</v>
      </c>
    </row>
    <row r="141" spans="1:17" ht="15">
      <c r="B141" s="1092">
        <v>4</v>
      </c>
      <c r="C141" s="1093">
        <v>102</v>
      </c>
      <c r="D141" s="1093"/>
      <c r="E141" s="1094"/>
      <c r="F141" s="1095">
        <v>101.5</v>
      </c>
      <c r="G141" s="1093"/>
      <c r="H141" s="1096"/>
      <c r="I141" s="2651" t="s">
        <v>2587</v>
      </c>
      <c r="J141" s="314">
        <v>1</v>
      </c>
      <c r="K141" s="1098">
        <f>ROUND(100+(J141-J140)*K139*100,1)</f>
        <v>96.4</v>
      </c>
    </row>
    <row r="142" spans="1:17" ht="15">
      <c r="B142" s="1092">
        <v>3</v>
      </c>
      <c r="C142" s="1093">
        <v>103</v>
      </c>
      <c r="D142" s="1093"/>
      <c r="E142" s="1094"/>
      <c r="F142" s="1095">
        <v>101</v>
      </c>
      <c r="G142" s="1093"/>
      <c r="H142" s="1096"/>
      <c r="I142" s="2651" t="s">
        <v>2588</v>
      </c>
      <c r="J142" s="314">
        <f>J139</f>
        <v>20</v>
      </c>
      <c r="K142" s="1099">
        <v>95</v>
      </c>
    </row>
    <row r="143" spans="1:17" ht="15">
      <c r="B143" s="1092">
        <v>2</v>
      </c>
      <c r="C143" s="1093">
        <v>100</v>
      </c>
      <c r="D143" s="1093"/>
      <c r="E143" s="1094"/>
      <c r="F143" s="1095">
        <v>100.5</v>
      </c>
      <c r="G143" s="1093"/>
      <c r="H143" s="1096"/>
      <c r="I143" s="2651" t="s">
        <v>2589</v>
      </c>
      <c r="J143" s="1093">
        <v>15</v>
      </c>
      <c r="K143" s="1098">
        <f>ROUND(100+(J143-J140)*K139*100,1)</f>
        <v>102</v>
      </c>
    </row>
    <row r="144" spans="1:17" ht="15">
      <c r="B144" s="1092">
        <v>1</v>
      </c>
      <c r="C144" s="1093">
        <v>98</v>
      </c>
      <c r="D144" s="2652" t="s">
        <v>2590</v>
      </c>
      <c r="E144" s="1094">
        <v>102</v>
      </c>
      <c r="F144" s="1100">
        <v>100</v>
      </c>
      <c r="G144" s="2652" t="s">
        <v>2590</v>
      </c>
      <c r="H144" s="1096">
        <v>105</v>
      </c>
      <c r="I144" s="2651" t="s">
        <v>2589</v>
      </c>
      <c r="J144" s="1093">
        <v>18</v>
      </c>
      <c r="K144" s="1098">
        <f>ROUND(100+(J144-J140)*K139*100,1)</f>
        <v>103.2</v>
      </c>
    </row>
    <row r="145" spans="2:11" ht="15.75" thickBot="1">
      <c r="B145" s="2653" t="s">
        <v>2591</v>
      </c>
      <c r="C145" s="1101">
        <f>ROUND(MAX(C139:C144)/MIN(C139:C144)-1,3)</f>
        <v>7.2999999999999995E-2</v>
      </c>
      <c r="D145" s="1102"/>
      <c r="E145" s="1102"/>
      <c r="F145" s="2654" t="s">
        <v>2592</v>
      </c>
      <c r="G145" s="2655"/>
      <c r="H145" s="2656"/>
      <c r="I145" s="2657" t="s">
        <v>2589</v>
      </c>
      <c r="J145" s="1103">
        <v>8</v>
      </c>
      <c r="K145" s="1104">
        <f>ROUND(100+(J145-J140)*K139*100,1)</f>
        <v>99.2</v>
      </c>
    </row>
    <row r="147" spans="2:11">
      <c r="B147" s="2638" t="s">
        <v>2593</v>
      </c>
    </row>
    <row r="148" spans="2:11">
      <c r="B148" s="2638"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2595</v>
      </c>
      <c r="C1" s="1635" t="s">
        <v>2483</v>
      </c>
      <c r="D1" s="1622"/>
      <c r="E1" s="2658"/>
      <c r="F1" s="2585"/>
      <c r="G1" s="1632" t="s">
        <v>2596</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7" customFormat="1" ht="28.5" customHeight="1" thickTop="1">
      <c r="A2" s="1618" t="s">
        <v>2280</v>
      </c>
      <c r="B2" s="1420" t="e">
        <f ca="1">IF(C2="——",ROUND(C49*D3/10000,0),ROUND(C49*D3/10000,0)-D2)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2282</v>
      </c>
      <c r="B3" s="608" t="e">
        <f ca="1">IF(C2="——",C49,ROUND(B2*10000/D3,0))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89" t="s">
        <v>2601</v>
      </c>
      <c r="AC4" s="3159" t="s">
        <v>2602</v>
      </c>
    </row>
    <row r="5" spans="1:29" ht="15">
      <c r="A5" s="403"/>
      <c r="B5" s="404"/>
      <c r="C5" s="3173" t="s">
        <v>2495</v>
      </c>
      <c r="D5" s="3170"/>
      <c r="E5" s="3168" t="s">
        <v>2496</v>
      </c>
      <c r="F5" s="3169"/>
      <c r="G5" s="3173" t="s">
        <v>2497</v>
      </c>
      <c r="H5" s="3170"/>
      <c r="I5" s="3173" t="s">
        <v>2498</v>
      </c>
      <c r="J5" s="3170"/>
      <c r="K5" s="609"/>
      <c r="L5" s="1132"/>
      <c r="M5" s="1133"/>
      <c r="N5" s="1133"/>
      <c r="O5" s="1133"/>
      <c r="P5" s="3183"/>
      <c r="Q5" s="3184"/>
      <c r="R5" s="3166"/>
      <c r="S5" s="3167"/>
      <c r="T5" s="3166"/>
      <c r="U5" s="3167"/>
      <c r="V5" s="3189"/>
      <c r="W5" s="3189"/>
      <c r="X5" s="1814"/>
      <c r="Y5" s="3166"/>
      <c r="Z5" s="3167"/>
      <c r="AA5" s="3160"/>
      <c r="AB5" s="3189"/>
      <c r="AC5" s="3160"/>
    </row>
    <row r="6" spans="1:29" ht="15.75" thickBot="1">
      <c r="A6" s="405"/>
      <c r="B6" s="406"/>
      <c r="C6" s="3171" t="s">
        <v>2499</v>
      </c>
      <c r="D6" s="3172"/>
      <c r="E6" s="3174" t="s">
        <v>2499</v>
      </c>
      <c r="F6" s="3175"/>
      <c r="G6" s="3171" t="s">
        <v>2499</v>
      </c>
      <c r="H6" s="3172"/>
      <c r="I6" s="3171" t="s">
        <v>2499</v>
      </c>
      <c r="J6" s="3172"/>
      <c r="K6" s="609" t="s">
        <v>2500</v>
      </c>
      <c r="L6" s="1132"/>
      <c r="M6" s="1133"/>
      <c r="N6" s="1133"/>
      <c r="O6" s="1133"/>
      <c r="P6" s="3185"/>
      <c r="Q6" s="3186"/>
      <c r="R6" s="3166"/>
      <c r="S6" s="3167"/>
      <c r="T6" s="3187"/>
      <c r="U6" s="3188"/>
      <c r="V6" s="3189"/>
      <c r="W6" s="3189"/>
      <c r="X6" s="1814"/>
      <c r="Y6" s="3187"/>
      <c r="Z6" s="3188"/>
      <c r="AA6" s="3161"/>
      <c r="AB6" s="3189"/>
      <c r="AC6" s="3161"/>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2" t="s">
        <v>2502</v>
      </c>
      <c r="Q7" s="3190"/>
      <c r="R7" s="769" t="s">
        <v>17</v>
      </c>
      <c r="S7" s="770">
        <f t="shared" ref="S7:S15" si="0">F7</f>
        <v>0</v>
      </c>
      <c r="T7" s="769" t="s">
        <v>17</v>
      </c>
      <c r="U7" s="770">
        <f t="shared" ref="U7:U15" si="1">H7</f>
        <v>0</v>
      </c>
      <c r="V7" s="769" t="s">
        <v>17</v>
      </c>
      <c r="W7" s="770">
        <f t="shared" ref="W7:W15" si="2">J7</f>
        <v>0</v>
      </c>
      <c r="X7" s="771"/>
      <c r="Y7" s="3162" t="s">
        <v>2502</v>
      </c>
      <c r="Z7" s="3163"/>
      <c r="AA7" s="772" t="e">
        <f>D7/F7</f>
        <v>#DIV/0!</v>
      </c>
      <c r="AB7" s="772" t="e">
        <f>D7/H7</f>
        <v>#DIV/0!</v>
      </c>
      <c r="AC7" s="772" t="e">
        <f>D7/J7</f>
        <v>#DIV/0!</v>
      </c>
    </row>
    <row r="8" spans="1:29" s="116" customFormat="1" ht="15.75" thickBot="1">
      <c r="A8" s="407" t="s">
        <v>2503</v>
      </c>
      <c r="B8" s="408"/>
      <c r="C8" s="413" t="s">
        <v>2605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2" t="s">
        <v>2505</v>
      </c>
      <c r="Q8" s="3163"/>
      <c r="R8" s="769" t="s">
        <v>17</v>
      </c>
      <c r="S8" s="770">
        <f t="shared" si="0"/>
        <v>0</v>
      </c>
      <c r="T8" s="769" t="s">
        <v>17</v>
      </c>
      <c r="U8" s="770">
        <f t="shared" si="1"/>
        <v>0</v>
      </c>
      <c r="V8" s="769" t="s">
        <v>17</v>
      </c>
      <c r="W8" s="770">
        <f t="shared" si="2"/>
        <v>0</v>
      </c>
      <c r="X8" s="771"/>
      <c r="Y8" s="3162" t="s">
        <v>2505</v>
      </c>
      <c r="Z8" s="3163"/>
      <c r="AA8" s="772" t="e">
        <f t="shared" ref="AA8:AA46" si="3">D8/F8</f>
        <v>#DIV/0!</v>
      </c>
      <c r="AB8" s="772" t="e">
        <f t="shared" ref="AB8:AB46" si="4">D8/H8</f>
        <v>#DIV/0!</v>
      </c>
      <c r="AC8" s="772" t="e">
        <f t="shared" ref="AC8:AC46" si="5">D8/J8</f>
        <v>#DIV/0!</v>
      </c>
    </row>
    <row r="9" spans="1:29" s="116" customFormat="1">
      <c r="A9" s="414" t="s">
        <v>2506</v>
      </c>
      <c r="B9" s="70" t="s">
        <v>2507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0"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0"/>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0"/>
      <c r="Q11" s="179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0"/>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0"/>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0"/>
      <c r="Q14" s="179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85.5">
      <c r="A15" s="439" t="s">
        <v>2512</v>
      </c>
      <c r="B15" s="68" t="s">
        <v>2606</v>
      </c>
      <c r="C15" s="2604" t="str">
        <f>估价对象房地状况!C4</f>
        <v>估价对象位于美林君渡小区，周边商业氛围成熟，人流量较大，商业繁华度较好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8" t="s">
        <v>2513</v>
      </c>
      <c r="Q15" s="1811" t="str">
        <f t="shared" si="6"/>
        <v>商业繁华度</v>
      </c>
      <c r="R15" s="773" t="s">
        <v>17</v>
      </c>
      <c r="S15" s="774">
        <f t="shared" si="0"/>
        <v>100</v>
      </c>
      <c r="T15" s="773" t="s">
        <v>17</v>
      </c>
      <c r="U15" s="774">
        <f t="shared" si="1"/>
        <v>100</v>
      </c>
      <c r="V15" s="773" t="s">
        <v>17</v>
      </c>
      <c r="W15" s="774">
        <f t="shared" si="2"/>
        <v>100</v>
      </c>
      <c r="X15" s="1814"/>
      <c r="Y15" s="3191" t="s">
        <v>2513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9"/>
      <c r="Q16" s="1811"/>
      <c r="R16" s="773"/>
      <c r="S16" s="774"/>
      <c r="T16" s="773"/>
      <c r="U16" s="774"/>
      <c r="V16" s="773"/>
      <c r="W16" s="774"/>
      <c r="X16" s="1814"/>
      <c r="Y16" s="3192"/>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9"/>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33"/>
      <c r="P18" s="3239"/>
      <c r="Q18" s="1811"/>
      <c r="R18" s="773"/>
      <c r="S18" s="774"/>
      <c r="T18" s="773"/>
      <c r="U18" s="774"/>
      <c r="V18" s="773"/>
      <c r="W18" s="774"/>
      <c r="X18" s="1814"/>
      <c r="Y18" s="3192"/>
      <c r="Z18" s="1815"/>
      <c r="AA18" s="1812">
        <v>1</v>
      </c>
      <c r="AB18" s="1812">
        <v>1</v>
      </c>
      <c r="AC18" s="1812">
        <v>1</v>
      </c>
    </row>
    <row r="19" spans="1:29" ht="42.75">
      <c r="A19" s="427"/>
      <c r="B19" s="450" t="s">
        <v>2607</v>
      </c>
      <c r="C19" s="2608"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9"/>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33"/>
      <c r="P20" s="3239"/>
      <c r="Q20" s="1811"/>
      <c r="R20" s="773"/>
      <c r="S20" s="774"/>
      <c r="T20" s="773"/>
      <c r="U20" s="774"/>
      <c r="V20" s="773"/>
      <c r="W20" s="774"/>
      <c r="X20" s="1814"/>
      <c r="Y20" s="3192"/>
      <c r="Z20" s="1815"/>
      <c r="AA20" s="1812">
        <v>1</v>
      </c>
      <c r="AB20" s="1812">
        <v>1</v>
      </c>
      <c r="AC20" s="1812">
        <v>1</v>
      </c>
    </row>
    <row r="21" spans="1:29" ht="42.75">
      <c r="A21" s="427"/>
      <c r="B21" s="1386" t="s">
        <v>2608</v>
      </c>
      <c r="C21" s="2608"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33"/>
      <c r="P22" s="3239"/>
      <c r="Q22" s="1811"/>
      <c r="R22" s="773"/>
      <c r="S22" s="774"/>
      <c r="T22" s="773"/>
      <c r="U22" s="774"/>
      <c r="V22" s="773"/>
      <c r="W22" s="774"/>
      <c r="X22" s="1814"/>
      <c r="Y22" s="3192"/>
      <c r="Z22" s="1815"/>
      <c r="AA22" s="1812">
        <v>1</v>
      </c>
      <c r="AB22" s="1812">
        <v>1</v>
      </c>
      <c r="AC22" s="1812">
        <v>1</v>
      </c>
    </row>
    <row r="23" spans="1:29" ht="57">
      <c r="A23" s="427"/>
      <c r="B23" s="450" t="s">
        <v>2055</v>
      </c>
      <c r="C23" s="2665" t="str">
        <f>估价对象房地状况!C9</f>
        <v>区域自然环境：；人文环境；综合评价环境状况较好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9"/>
      <c r="Q23" s="1811" t="str">
        <f>B23</f>
        <v>自然及人文环境</v>
      </c>
      <c r="R23" s="773" t="s">
        <v>17</v>
      </c>
      <c r="S23" s="774">
        <f>F23</f>
        <v>100</v>
      </c>
      <c r="T23" s="773" t="s">
        <v>17</v>
      </c>
      <c r="U23" s="774">
        <f>H23</f>
        <v>100</v>
      </c>
      <c r="V23" s="773" t="s">
        <v>17</v>
      </c>
      <c r="W23" s="774">
        <f>J23</f>
        <v>100</v>
      </c>
      <c r="X23" s="1814"/>
      <c r="Y23" s="3192"/>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2"/>
      <c r="M24" s="1133"/>
      <c r="N24" s="1133"/>
      <c r="O24" s="1133"/>
      <c r="P24" s="3239"/>
      <c r="Q24" s="1811"/>
      <c r="R24" s="773"/>
      <c r="S24" s="774"/>
      <c r="T24" s="773"/>
      <c r="U24" s="774"/>
      <c r="V24" s="773"/>
      <c r="W24" s="774"/>
      <c r="X24" s="1814"/>
      <c r="Y24" s="3192"/>
      <c r="Z24" s="1815"/>
      <c r="AA24" s="1812">
        <v>1</v>
      </c>
      <c r="AB24" s="1812">
        <v>1</v>
      </c>
      <c r="AC24" s="1812">
        <v>1</v>
      </c>
    </row>
    <row r="25" spans="1:29" ht="15">
      <c r="A25" s="427"/>
      <c r="B25" s="421" t="s">
        <v>2609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9"/>
      <c r="Q25" s="1811" t="str">
        <f t="shared" ref="Q25:Q46" si="11">B25</f>
        <v>临街状况</v>
      </c>
      <c r="R25" s="773" t="s">
        <v>17</v>
      </c>
      <c r="S25" s="774">
        <f>F25</f>
        <v>100</v>
      </c>
      <c r="T25" s="773" t="s">
        <v>17</v>
      </c>
      <c r="U25" s="774">
        <f>H25</f>
        <v>100</v>
      </c>
      <c r="V25" s="773" t="s">
        <v>17</v>
      </c>
      <c r="W25" s="774">
        <f>J25</f>
        <v>100</v>
      </c>
      <c r="X25" s="1814"/>
      <c r="Y25" s="3192"/>
      <c r="Z25" s="1815" t="str">
        <f>Q25</f>
        <v>临街状况</v>
      </c>
      <c r="AA25" s="1812">
        <f t="shared" si="3"/>
        <v>1</v>
      </c>
      <c r="AB25" s="1812">
        <f t="shared" si="4"/>
        <v>1</v>
      </c>
      <c r="AC25" s="1812">
        <f t="shared" si="5"/>
        <v>1</v>
      </c>
    </row>
    <row r="26" spans="1:29" ht="15">
      <c r="A26" s="427"/>
      <c r="B26" s="1388" t="s">
        <v>2610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9"/>
      <c r="Q26" s="1811" t="str">
        <f t="shared" si="11"/>
        <v>平面位置/可视性</v>
      </c>
      <c r="R26" s="773" t="s">
        <v>17</v>
      </c>
      <c r="S26" s="774">
        <f>F26</f>
        <v>100</v>
      </c>
      <c r="T26" s="773" t="s">
        <v>17</v>
      </c>
      <c r="U26" s="774">
        <f>H26</f>
        <v>100</v>
      </c>
      <c r="V26" s="773" t="s">
        <v>17</v>
      </c>
      <c r="W26" s="774">
        <f>J26</f>
        <v>100</v>
      </c>
      <c r="X26" s="1814"/>
      <c r="Y26" s="3192"/>
      <c r="Z26" s="1815" t="str">
        <f>Q26</f>
        <v>平面位置/可视性</v>
      </c>
      <c r="AA26" s="1812">
        <f t="shared" si="3"/>
        <v>1</v>
      </c>
      <c r="AB26" s="1812">
        <f t="shared" si="4"/>
        <v>1</v>
      </c>
      <c r="AC26" s="1812">
        <f t="shared" si="5"/>
        <v>1</v>
      </c>
    </row>
    <row r="27" spans="1:29" s="116" customFormat="1" ht="15">
      <c r="A27" s="430"/>
      <c r="B27" s="450" t="s">
        <v>2611</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39"/>
      <c r="Q27" s="1796" t="str">
        <f t="shared" si="11"/>
        <v>人流量</v>
      </c>
      <c r="R27" s="769" t="s">
        <v>17</v>
      </c>
      <c r="S27" s="770">
        <f>F27</f>
        <v>100</v>
      </c>
      <c r="T27" s="769" t="s">
        <v>17</v>
      </c>
      <c r="U27" s="770">
        <f>H27</f>
        <v>100</v>
      </c>
      <c r="V27" s="769" t="s">
        <v>17</v>
      </c>
      <c r="W27" s="770">
        <f>J27</f>
        <v>100</v>
      </c>
      <c r="X27" s="771"/>
      <c r="Y27" s="3192"/>
      <c r="Z27" s="54" t="str">
        <f>Q27</f>
        <v>人流量</v>
      </c>
      <c r="AA27" s="1812">
        <f>D27/F27</f>
        <v>1</v>
      </c>
      <c r="AB27" s="1812">
        <f>D27/H27</f>
        <v>1</v>
      </c>
      <c r="AC27" s="1812">
        <f>D27/J27</f>
        <v>1</v>
      </c>
    </row>
    <row r="28" spans="1:29" ht="15">
      <c r="A28" s="427"/>
      <c r="B28" s="421" t="s">
        <v>2612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9"/>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2"/>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9"/>
      <c r="Q29" s="1811">
        <f t="shared" si="11"/>
        <v>111</v>
      </c>
      <c r="R29" s="773" t="s">
        <v>17</v>
      </c>
      <c r="S29" s="774">
        <f t="shared" si="12"/>
        <v>100</v>
      </c>
      <c r="T29" s="773" t="s">
        <v>17</v>
      </c>
      <c r="U29" s="774">
        <f t="shared" si="13"/>
        <v>100</v>
      </c>
      <c r="V29" s="773" t="s">
        <v>17</v>
      </c>
      <c r="W29" s="774">
        <f t="shared" si="14"/>
        <v>100</v>
      </c>
      <c r="X29" s="1814"/>
      <c r="Y29" s="3192"/>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9"/>
      <c r="Q30" s="1811">
        <f t="shared" si="11"/>
        <v>111</v>
      </c>
      <c r="R30" s="773" t="s">
        <v>17</v>
      </c>
      <c r="S30" s="774">
        <f t="shared" si="12"/>
        <v>100</v>
      </c>
      <c r="T30" s="773" t="s">
        <v>17</v>
      </c>
      <c r="U30" s="774">
        <f t="shared" si="13"/>
        <v>100</v>
      </c>
      <c r="V30" s="773" t="s">
        <v>17</v>
      </c>
      <c r="W30" s="774">
        <f t="shared" si="14"/>
        <v>100</v>
      </c>
      <c r="X30" s="1814"/>
      <c r="Y30" s="3192"/>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9"/>
      <c r="Q31" s="1811">
        <f t="shared" si="11"/>
        <v>111</v>
      </c>
      <c r="R31" s="773" t="s">
        <v>17</v>
      </c>
      <c r="S31" s="774">
        <f t="shared" si="12"/>
        <v>100</v>
      </c>
      <c r="T31" s="773" t="s">
        <v>17</v>
      </c>
      <c r="U31" s="774">
        <f t="shared" si="13"/>
        <v>100</v>
      </c>
      <c r="V31" s="773" t="s">
        <v>17</v>
      </c>
      <c r="W31" s="774">
        <f t="shared" si="14"/>
        <v>100</v>
      </c>
      <c r="X31" s="1814"/>
      <c r="Y31" s="3192"/>
      <c r="Z31" s="1815">
        <f t="shared" si="15"/>
        <v>111</v>
      </c>
      <c r="AA31" s="1812">
        <f t="shared" si="3"/>
        <v>1</v>
      </c>
      <c r="AB31" s="1812">
        <f t="shared" si="4"/>
        <v>1</v>
      </c>
      <c r="AC31" s="1812">
        <f t="shared" si="5"/>
        <v>1</v>
      </c>
    </row>
    <row r="32" spans="1:29" ht="15">
      <c r="A32" s="439" t="s">
        <v>2516</v>
      </c>
      <c r="B32" s="70" t="s">
        <v>2613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34" t="s">
        <v>2518</v>
      </c>
      <c r="Q32" s="1811" t="str">
        <f t="shared" si="11"/>
        <v>商业类型</v>
      </c>
      <c r="R32" s="773" t="s">
        <v>17</v>
      </c>
      <c r="S32" s="774">
        <f t="shared" si="12"/>
        <v>100</v>
      </c>
      <c r="T32" s="773" t="s">
        <v>17</v>
      </c>
      <c r="U32" s="774">
        <f t="shared" si="13"/>
        <v>100</v>
      </c>
      <c r="V32" s="773" t="s">
        <v>17</v>
      </c>
      <c r="W32" s="774">
        <f t="shared" si="14"/>
        <v>100</v>
      </c>
      <c r="X32" s="1814"/>
      <c r="Y32" s="3194" t="s">
        <v>2518</v>
      </c>
      <c r="Z32" s="1815" t="str">
        <f t="shared" si="15"/>
        <v>商业类型</v>
      </c>
      <c r="AA32" s="1812">
        <f t="shared" si="3"/>
        <v>1</v>
      </c>
      <c r="AB32" s="1812">
        <f t="shared" si="4"/>
        <v>1</v>
      </c>
      <c r="AC32" s="1812">
        <f t="shared" si="5"/>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5"/>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12" t="e">
        <f t="shared" si="3"/>
        <v>#N/A</v>
      </c>
      <c r="AB33" s="1812" t="e">
        <f t="shared" si="4"/>
        <v>#N/A</v>
      </c>
      <c r="AC33" s="1812" t="e">
        <f t="shared" si="5"/>
        <v>#N/A</v>
      </c>
    </row>
    <row r="34" spans="1:29" ht="15">
      <c r="A34" s="471"/>
      <c r="B34" s="421" t="s">
        <v>2520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35"/>
      <c r="Q34" s="1811" t="str">
        <f t="shared" si="11"/>
        <v>建筑结构</v>
      </c>
      <c r="R34" s="773" t="s">
        <v>17</v>
      </c>
      <c r="S34" s="774">
        <f t="shared" si="12"/>
        <v>100</v>
      </c>
      <c r="T34" s="773" t="s">
        <v>17</v>
      </c>
      <c r="U34" s="774">
        <f t="shared" si="13"/>
        <v>100</v>
      </c>
      <c r="V34" s="773" t="s">
        <v>17</v>
      </c>
      <c r="W34" s="774">
        <f t="shared" si="14"/>
        <v>100</v>
      </c>
      <c r="X34" s="1814"/>
      <c r="Y34" s="3194"/>
      <c r="Z34" s="1815" t="str">
        <f t="shared" si="15"/>
        <v>建筑结构</v>
      </c>
      <c r="AA34" s="1812">
        <f t="shared" si="3"/>
        <v>1</v>
      </c>
      <c r="AB34" s="1812">
        <f t="shared" si="4"/>
        <v>1</v>
      </c>
      <c r="AC34" s="1812">
        <f t="shared" si="5"/>
        <v>1</v>
      </c>
    </row>
    <row r="35" spans="1:29" ht="15">
      <c r="A35" s="471"/>
      <c r="B35" s="421" t="s">
        <v>2614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35"/>
      <c r="Q35" s="1811" t="str">
        <f t="shared" si="11"/>
        <v>公共部分装修</v>
      </c>
      <c r="R35" s="773" t="s">
        <v>17</v>
      </c>
      <c r="S35" s="774">
        <f t="shared" si="12"/>
        <v>100</v>
      </c>
      <c r="T35" s="773" t="s">
        <v>17</v>
      </c>
      <c r="U35" s="774">
        <f t="shared" si="13"/>
        <v>100</v>
      </c>
      <c r="V35" s="773" t="s">
        <v>17</v>
      </c>
      <c r="W35" s="774">
        <f t="shared" si="14"/>
        <v>100</v>
      </c>
      <c r="X35" s="1814"/>
      <c r="Y35" s="3194"/>
      <c r="Z35" s="1815" t="str">
        <f t="shared" si="15"/>
        <v>公共部分装修</v>
      </c>
      <c r="AA35" s="1812">
        <f t="shared" si="3"/>
        <v>1</v>
      </c>
      <c r="AB35" s="1812">
        <f t="shared" si="4"/>
        <v>1</v>
      </c>
      <c r="AC35" s="1812">
        <f t="shared" si="5"/>
        <v>1</v>
      </c>
    </row>
    <row r="36" spans="1:29" ht="15">
      <c r="A36" s="471"/>
      <c r="B36" s="421" t="s">
        <v>2615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5"/>
      <c r="Q36" s="1811" t="str">
        <f t="shared" si="11"/>
        <v>成新度</v>
      </c>
      <c r="R36" s="773" t="s">
        <v>17</v>
      </c>
      <c r="S36" s="774" t="e">
        <f t="shared" si="12"/>
        <v>#N/A</v>
      </c>
      <c r="T36" s="773" t="s">
        <v>17</v>
      </c>
      <c r="U36" s="774" t="e">
        <f t="shared" si="13"/>
        <v>#N/A</v>
      </c>
      <c r="V36" s="773" t="s">
        <v>17</v>
      </c>
      <c r="W36" s="774" t="e">
        <f t="shared" si="14"/>
        <v>#N/A</v>
      </c>
      <c r="X36" s="1814"/>
      <c r="Y36" s="3194"/>
      <c r="Z36" s="1815" t="str">
        <f t="shared" si="15"/>
        <v>成新度</v>
      </c>
      <c r="AA36" s="1812" t="e">
        <f t="shared" si="3"/>
        <v>#N/A</v>
      </c>
      <c r="AB36" s="1812" t="e">
        <f t="shared" si="4"/>
        <v>#N/A</v>
      </c>
      <c r="AC36" s="1812" t="e">
        <f t="shared" si="5"/>
        <v>#N/A</v>
      </c>
    </row>
    <row r="37" spans="1:29" s="116" customFormat="1" ht="15">
      <c r="A37" s="472"/>
      <c r="B37" s="421" t="s">
        <v>2616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35"/>
      <c r="Q37" s="1796" t="str">
        <f t="shared" si="11"/>
        <v>市政基础设施</v>
      </c>
      <c r="R37" s="769" t="s">
        <v>17</v>
      </c>
      <c r="S37" s="770">
        <f t="shared" si="12"/>
        <v>100</v>
      </c>
      <c r="T37" s="769" t="s">
        <v>17</v>
      </c>
      <c r="U37" s="770">
        <f t="shared" si="13"/>
        <v>100</v>
      </c>
      <c r="V37" s="769" t="s">
        <v>17</v>
      </c>
      <c r="W37" s="770">
        <f t="shared" si="14"/>
        <v>100</v>
      </c>
      <c r="X37" s="771"/>
      <c r="Y37" s="3194"/>
      <c r="Z37" s="54" t="str">
        <f t="shared" si="15"/>
        <v>市政基础设施</v>
      </c>
      <c r="AA37" s="772">
        <f t="shared" si="3"/>
        <v>1</v>
      </c>
      <c r="AB37" s="772">
        <f t="shared" si="4"/>
        <v>1</v>
      </c>
      <c r="AC37" s="772">
        <f t="shared" si="5"/>
        <v>1</v>
      </c>
    </row>
    <row r="38" spans="1:29" ht="15">
      <c r="A38" s="471"/>
      <c r="B38" s="421" t="s">
        <v>2617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35" t="s">
        <v>2518</v>
      </c>
      <c r="Q38" s="1811" t="str">
        <f t="shared" si="11"/>
        <v>业态</v>
      </c>
      <c r="R38" s="773" t="s">
        <v>17</v>
      </c>
      <c r="S38" s="774">
        <f t="shared" si="12"/>
        <v>100</v>
      </c>
      <c r="T38" s="773" t="s">
        <v>17</v>
      </c>
      <c r="U38" s="774">
        <f t="shared" si="13"/>
        <v>100</v>
      </c>
      <c r="V38" s="773" t="s">
        <v>17</v>
      </c>
      <c r="W38" s="774">
        <f t="shared" si="14"/>
        <v>100</v>
      </c>
      <c r="X38" s="1814"/>
      <c r="Y38" s="3194" t="s">
        <v>2518</v>
      </c>
      <c r="Z38" s="1815" t="str">
        <f t="shared" si="15"/>
        <v>业态</v>
      </c>
      <c r="AA38" s="1812">
        <f t="shared" si="3"/>
        <v>1</v>
      </c>
      <c r="AB38" s="1812">
        <f t="shared" si="4"/>
        <v>1</v>
      </c>
      <c r="AC38" s="1812">
        <f t="shared" si="5"/>
        <v>1</v>
      </c>
    </row>
    <row r="39" spans="1:29" ht="15">
      <c r="A39" s="471"/>
      <c r="B39" s="421" t="s">
        <v>2618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35"/>
      <c r="Q39" s="1811" t="str">
        <f t="shared" si="11"/>
        <v>层高</v>
      </c>
      <c r="R39" s="773" t="s">
        <v>17</v>
      </c>
      <c r="S39" s="774">
        <f t="shared" si="12"/>
        <v>100</v>
      </c>
      <c r="T39" s="773" t="s">
        <v>17</v>
      </c>
      <c r="U39" s="774">
        <f t="shared" si="13"/>
        <v>100</v>
      </c>
      <c r="V39" s="773" t="s">
        <v>17</v>
      </c>
      <c r="W39" s="774">
        <f t="shared" si="14"/>
        <v>100</v>
      </c>
      <c r="X39" s="1814"/>
      <c r="Y39" s="3194"/>
      <c r="Z39" s="1815" t="str">
        <f t="shared" si="15"/>
        <v>层高</v>
      </c>
      <c r="AA39" s="1812">
        <f t="shared" si="3"/>
        <v>1</v>
      </c>
      <c r="AB39" s="1812">
        <f t="shared" si="4"/>
        <v>1</v>
      </c>
      <c r="AC39" s="1812">
        <f t="shared" si="5"/>
        <v>1</v>
      </c>
    </row>
    <row r="40" spans="1:29" ht="15">
      <c r="A40" s="471"/>
      <c r="B40" s="421" t="s">
        <v>2619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5"/>
      <c r="Q40" s="1811" t="str">
        <f t="shared" si="11"/>
        <v>单套建筑面积</v>
      </c>
      <c r="R40" s="773" t="s">
        <v>17</v>
      </c>
      <c r="S40" s="774">
        <f t="shared" si="12"/>
        <v>100</v>
      </c>
      <c r="T40" s="773" t="s">
        <v>17</v>
      </c>
      <c r="U40" s="774">
        <f t="shared" si="13"/>
        <v>100</v>
      </c>
      <c r="V40" s="773" t="s">
        <v>17</v>
      </c>
      <c r="W40" s="774">
        <f t="shared" si="14"/>
        <v>100</v>
      </c>
      <c r="X40" s="1814"/>
      <c r="Y40" s="3194"/>
      <c r="Z40" s="1815" t="str">
        <f t="shared" si="15"/>
        <v>单套建筑面积</v>
      </c>
      <c r="AA40" s="1812">
        <f t="shared" si="3"/>
        <v>1</v>
      </c>
      <c r="AB40" s="1812">
        <f t="shared" si="4"/>
        <v>1</v>
      </c>
      <c r="AC40" s="1812">
        <f t="shared" si="5"/>
        <v>1</v>
      </c>
    </row>
    <row r="41" spans="1:29" s="470" customFormat="1" ht="15">
      <c r="A41" s="467"/>
      <c r="B41" s="1813" t="s">
        <v>2620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5"/>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2">
        <f t="shared" si="3"/>
        <v>1</v>
      </c>
      <c r="AB41" s="1812">
        <f t="shared" si="4"/>
        <v>1</v>
      </c>
      <c r="AC41" s="1812">
        <f t="shared" si="5"/>
        <v>1</v>
      </c>
    </row>
    <row r="42" spans="1:29" ht="15">
      <c r="A42" s="471"/>
      <c r="B42" s="421" t="s">
        <v>2621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35"/>
      <c r="Q42" s="1811" t="str">
        <f t="shared" si="11"/>
        <v>内部装修</v>
      </c>
      <c r="R42" s="773" t="s">
        <v>17</v>
      </c>
      <c r="S42" s="774">
        <f t="shared" si="12"/>
        <v>100</v>
      </c>
      <c r="T42" s="773" t="s">
        <v>17</v>
      </c>
      <c r="U42" s="774">
        <f t="shared" si="13"/>
        <v>100</v>
      </c>
      <c r="V42" s="773" t="s">
        <v>17</v>
      </c>
      <c r="W42" s="774">
        <f t="shared" si="14"/>
        <v>100</v>
      </c>
      <c r="X42" s="1814"/>
      <c r="Y42" s="3194"/>
      <c r="Z42" s="1815" t="str">
        <f t="shared" si="15"/>
        <v>内部装修</v>
      </c>
      <c r="AA42" s="1812">
        <f t="shared" si="3"/>
        <v>1</v>
      </c>
      <c r="AB42" s="1812">
        <f t="shared" si="4"/>
        <v>1</v>
      </c>
      <c r="AC42" s="1812">
        <f t="shared" si="5"/>
        <v>1</v>
      </c>
    </row>
    <row r="43" spans="1:29" ht="15">
      <c r="A43" s="471"/>
      <c r="B43" s="421" t="s">
        <v>2529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35"/>
      <c r="Q43" s="1811" t="str">
        <f t="shared" si="11"/>
        <v>内部装修维护情况</v>
      </c>
      <c r="R43" s="773" t="s">
        <v>17</v>
      </c>
      <c r="S43" s="774">
        <f t="shared" si="12"/>
        <v>100</v>
      </c>
      <c r="T43" s="773" t="s">
        <v>17</v>
      </c>
      <c r="U43" s="774">
        <f t="shared" si="13"/>
        <v>100</v>
      </c>
      <c r="V43" s="773" t="s">
        <v>17</v>
      </c>
      <c r="W43" s="774">
        <f t="shared" si="14"/>
        <v>100</v>
      </c>
      <c r="X43" s="1814"/>
      <c r="Y43" s="3194"/>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5"/>
      <c r="Q44" s="1796">
        <f t="shared" si="11"/>
        <v>111</v>
      </c>
      <c r="R44" s="769" t="s">
        <v>17</v>
      </c>
      <c r="S44" s="770">
        <f t="shared" si="12"/>
        <v>100</v>
      </c>
      <c r="T44" s="769" t="s">
        <v>17</v>
      </c>
      <c r="U44" s="770">
        <f t="shared" si="13"/>
        <v>100</v>
      </c>
      <c r="V44" s="769" t="s">
        <v>17</v>
      </c>
      <c r="W44" s="770">
        <f t="shared" si="14"/>
        <v>100</v>
      </c>
      <c r="X44" s="771"/>
      <c r="Y44" s="3194"/>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5"/>
      <c r="Q45" s="1811">
        <f t="shared" si="11"/>
        <v>111</v>
      </c>
      <c r="R45" s="773" t="s">
        <v>17</v>
      </c>
      <c r="S45" s="774">
        <f t="shared" si="12"/>
        <v>100</v>
      </c>
      <c r="T45" s="773" t="s">
        <v>17</v>
      </c>
      <c r="U45" s="774">
        <f t="shared" si="13"/>
        <v>100</v>
      </c>
      <c r="V45" s="773" t="s">
        <v>17</v>
      </c>
      <c r="W45" s="774">
        <f t="shared" si="14"/>
        <v>100</v>
      </c>
      <c r="X45" s="1814"/>
      <c r="Y45" s="3194"/>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6"/>
      <c r="Q46" s="1811">
        <f t="shared" si="11"/>
        <v>111</v>
      </c>
      <c r="R46" s="773" t="s">
        <v>17</v>
      </c>
      <c r="S46" s="774">
        <f t="shared" si="12"/>
        <v>100</v>
      </c>
      <c r="T46" s="773" t="s">
        <v>17</v>
      </c>
      <c r="U46" s="774">
        <f t="shared" si="13"/>
        <v>100</v>
      </c>
      <c r="V46" s="773" t="s">
        <v>17</v>
      </c>
      <c r="W46" s="774">
        <f t="shared" si="14"/>
        <v>100</v>
      </c>
      <c r="X46" s="1814"/>
      <c r="Y46" s="3237"/>
      <c r="Z46" s="1815">
        <f t="shared" si="15"/>
        <v>111</v>
      </c>
      <c r="AA46" s="1812">
        <f t="shared" si="3"/>
        <v>1</v>
      </c>
      <c r="AB46" s="1812">
        <f t="shared" si="4"/>
        <v>1</v>
      </c>
      <c r="AC46" s="1812">
        <f t="shared" si="5"/>
        <v>1</v>
      </c>
    </row>
    <row r="47" spans="1:29" ht="15">
      <c r="A47" s="478" t="s">
        <v>2530</v>
      </c>
      <c r="B47" s="479"/>
      <c r="C47" s="1409" t="s">
        <v>1</v>
      </c>
      <c r="D47" s="1410"/>
      <c r="E47" s="1411"/>
      <c r="F47" s="1412"/>
      <c r="G47" s="1413"/>
      <c r="H47" s="1414"/>
      <c r="I47" s="1411"/>
      <c r="J47" s="1414"/>
      <c r="K47" s="782"/>
      <c r="L47" s="1145"/>
      <c r="M47" s="1146"/>
      <c r="N47" s="1133"/>
      <c r="O47" s="1146"/>
      <c r="P47" s="3176" t="str">
        <f>A47</f>
        <v>成交单价（元/平方米）</v>
      </c>
      <c r="Q47" s="3176"/>
      <c r="R47" s="3189">
        <f>E47</f>
        <v>0</v>
      </c>
      <c r="S47" s="3189"/>
      <c r="T47" s="3189">
        <f>G47</f>
        <v>0</v>
      </c>
      <c r="U47" s="3189"/>
      <c r="V47" s="3189">
        <f>I47</f>
        <v>0</v>
      </c>
      <c r="W47" s="3189"/>
      <c r="X47" s="758"/>
      <c r="Y47" s="780"/>
      <c r="Z47" s="758"/>
      <c r="AA47" s="758"/>
      <c r="AB47" s="758"/>
      <c r="AC47" s="758"/>
    </row>
    <row r="48" spans="1:29" ht="15.75" thickBot="1">
      <c r="A48" s="485" t="s">
        <v>2622</v>
      </c>
      <c r="B48" s="486"/>
      <c r="C48" s="1415" t="e">
        <f>R49</f>
        <v>#DIV/0!</v>
      </c>
      <c r="D48" s="1416"/>
      <c r="E48" s="1417" t="e">
        <f>R48</f>
        <v>#DIV/0!</v>
      </c>
      <c r="F48" s="1417"/>
      <c r="G48" s="1415" t="e">
        <f>T48</f>
        <v>#DIV/0!</v>
      </c>
      <c r="H48" s="1416"/>
      <c r="I48" s="1417" t="e">
        <f>V48</f>
        <v>#DIV/0!</v>
      </c>
      <c r="J48" s="1416"/>
      <c r="K48" s="783"/>
      <c r="L48" s="1145"/>
      <c r="M48" s="1146"/>
      <c r="N48" s="1133"/>
      <c r="O48" s="1146"/>
      <c r="P48" s="3176" t="str">
        <f>A48</f>
        <v>比较价值（元/平方米）</v>
      </c>
      <c r="Q48" s="317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2623</v>
      </c>
      <c r="B49" s="492"/>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2" t="e">
        <f>IF(F1="售价",ROUND(AVERAGE(R48:V48),0),ROUND(AVERAGE(R48:V48),1))</f>
        <v>#DIV/0!</v>
      </c>
      <c r="S49" s="3232"/>
      <c r="T49" s="3232"/>
      <c r="U49" s="3232"/>
      <c r="V49" s="3232"/>
      <c r="W49" s="323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2624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2625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2626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2501</v>
      </c>
      <c r="B58" s="505"/>
      <c r="C58" s="1575" t="str">
        <f>YEAR(C7)&amp;"-"&amp;MONTH(C7)</f>
        <v>2018-4</v>
      </c>
      <c r="D58" s="1576">
        <f>EDATE(C58,-1)</f>
        <v>43160</v>
      </c>
      <c r="E58" s="1576">
        <f t="shared" ref="E58:N58" si="16">EDATE(D58,-1)</f>
        <v>43132</v>
      </c>
      <c r="F58" s="1576">
        <f t="shared" si="16"/>
        <v>43101</v>
      </c>
      <c r="G58" s="1576">
        <f t="shared" si="16"/>
        <v>43070</v>
      </c>
      <c r="H58" s="1576">
        <f t="shared" si="16"/>
        <v>43040</v>
      </c>
      <c r="I58" s="1576">
        <f t="shared" si="16"/>
        <v>43009</v>
      </c>
      <c r="J58" s="1576">
        <f t="shared" si="16"/>
        <v>42979</v>
      </c>
      <c r="K58" s="1576">
        <f t="shared" si="16"/>
        <v>42948</v>
      </c>
      <c r="L58" s="1576">
        <f t="shared" si="16"/>
        <v>42917</v>
      </c>
      <c r="M58" s="1576">
        <f t="shared" si="16"/>
        <v>42887</v>
      </c>
      <c r="N58" s="1576">
        <f t="shared" si="16"/>
        <v>42856</v>
      </c>
      <c r="O58" s="1576">
        <f>EDATE(N58,-1)</f>
        <v>42826</v>
      </c>
      <c r="P58" s="1571"/>
    </row>
    <row r="59" spans="1:29" s="116" customFormat="1" ht="15">
      <c r="A59" s="508"/>
      <c r="B59" s="509"/>
      <c r="C59" s="1574">
        <v>100</v>
      </c>
      <c r="D59" s="511"/>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2503</v>
      </c>
      <c r="B61" s="509"/>
      <c r="C61" s="521" t="s">
        <v>2605</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5"/>
      <c r="O66" s="1155"/>
      <c r="P66" s="2631"/>
      <c r="Q66" s="503"/>
    </row>
    <row r="67" spans="1:17" ht="15.75" thickTop="1">
      <c r="A67" s="533"/>
      <c r="B67" s="545" t="s">
        <v>2511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2608</v>
      </c>
      <c r="C82" s="659" t="s">
        <v>2628</v>
      </c>
      <c r="D82" s="659" t="s">
        <v>2629</v>
      </c>
      <c r="E82" s="659" t="s">
        <v>2630</v>
      </c>
      <c r="F82" s="659" t="s">
        <v>2631</v>
      </c>
      <c r="G82" s="659" t="s">
        <v>2632</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2633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2516</v>
      </c>
      <c r="B100" s="527" t="s">
        <v>2634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2566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2569</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1956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2571</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2635</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2636</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2637</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2638</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三河市天宝嘉麟房地产开发有限公司：</v>
      </c>
    </row>
    <row r="4" spans="1:1" ht="36">
      <c r="A4" s="1949" t="str">
        <f>"受贵公司委托，我公司对"&amp;项目基本情况!S1&amp;"进行了预评估。"</f>
        <v>受贵公司委托，我公司对廊坊市三河市燕郊开发区燕顺路西侧、高压走廊北侧美林君渡（美林新东城B区续建及C区）16号楼房地产抵押价值进行了预评估。</v>
      </c>
    </row>
    <row r="5" spans="1:1" ht="18.75">
      <c r="A5" s="1950" t="s">
        <v>1606</v>
      </c>
    </row>
    <row r="6" spans="1:1" ht="18.75">
      <c r="A6" s="1951" t="s">
        <v>1607</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1" ht="57.75">
      <c r="A8" s="1952" t="s">
        <v>1608</v>
      </c>
    </row>
    <row r="9" spans="1:1" ht="18.75">
      <c r="A9" s="1951" t="s">
        <v>1609</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为估价委托人在向华夏朝阳门支行办理贷款手续过程中，确定房地产抵押贷款额度提供参考依据而评估房地产抵押价值。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2018年4月16日（评估专业人员实地查勘之日）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2639</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IF(C2="——",ROUND(C50*D3/10000,0),ROUND(C50*D3/10000,0)-D2)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IF(C2="——",C50,ROUND(B2*10000/D3,0))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246" t="s">
        <v>2604</v>
      </c>
      <c r="Q4" s="3247"/>
      <c r="R4" s="3241" t="s">
        <v>2600</v>
      </c>
      <c r="S4" s="3242"/>
      <c r="T4" s="3241" t="s">
        <v>2601</v>
      </c>
      <c r="U4" s="3242"/>
      <c r="V4" s="3250" t="s">
        <v>2602</v>
      </c>
      <c r="W4" s="3250"/>
      <c r="X4" s="2671"/>
      <c r="Y4" s="3241" t="s">
        <v>2604</v>
      </c>
      <c r="Z4" s="3242"/>
      <c r="AA4" s="3240" t="s">
        <v>2600</v>
      </c>
      <c r="AB4" s="3240" t="s">
        <v>2601</v>
      </c>
      <c r="AC4" s="3243" t="s">
        <v>2602</v>
      </c>
    </row>
    <row r="5" spans="1:29" ht="15">
      <c r="A5" s="403"/>
      <c r="B5" s="404"/>
      <c r="C5" s="3173" t="s">
        <v>2495</v>
      </c>
      <c r="D5" s="3170"/>
      <c r="E5" s="3168" t="s">
        <v>2496</v>
      </c>
      <c r="F5" s="3169"/>
      <c r="G5" s="3173" t="s">
        <v>2497</v>
      </c>
      <c r="H5" s="3170"/>
      <c r="I5" s="3173" t="s">
        <v>2498</v>
      </c>
      <c r="J5" s="3170"/>
      <c r="K5" s="609"/>
      <c r="L5" s="1132"/>
      <c r="M5" s="1133"/>
      <c r="N5" s="1133"/>
      <c r="O5" s="1133"/>
      <c r="P5" s="3248"/>
      <c r="Q5" s="3184"/>
      <c r="R5" s="3166"/>
      <c r="S5" s="3167"/>
      <c r="T5" s="3166"/>
      <c r="U5" s="3167"/>
      <c r="V5" s="3189"/>
      <c r="W5" s="3189"/>
      <c r="X5" s="1814"/>
      <c r="Y5" s="3166"/>
      <c r="Z5" s="3167"/>
      <c r="AA5" s="3160"/>
      <c r="AB5" s="3160"/>
      <c r="AC5" s="3244"/>
    </row>
    <row r="6" spans="1:29" ht="15.75" thickBot="1">
      <c r="A6" s="405"/>
      <c r="B6" s="406"/>
      <c r="C6" s="3171" t="s">
        <v>2499</v>
      </c>
      <c r="D6" s="3172"/>
      <c r="E6" s="3174" t="s">
        <v>2499</v>
      </c>
      <c r="F6" s="3175"/>
      <c r="G6" s="3171" t="s">
        <v>2499</v>
      </c>
      <c r="H6" s="3172"/>
      <c r="I6" s="3171" t="s">
        <v>2499</v>
      </c>
      <c r="J6" s="3172"/>
      <c r="K6" s="609" t="s">
        <v>2500</v>
      </c>
      <c r="L6" s="1132"/>
      <c r="M6" s="1133"/>
      <c r="N6" s="1133"/>
      <c r="O6" s="1133"/>
      <c r="P6" s="3249"/>
      <c r="Q6" s="3186"/>
      <c r="R6" s="3166"/>
      <c r="S6" s="3167"/>
      <c r="T6" s="3187"/>
      <c r="U6" s="3188"/>
      <c r="V6" s="3189"/>
      <c r="W6" s="3189"/>
      <c r="X6" s="1814"/>
      <c r="Y6" s="3187"/>
      <c r="Z6" s="3188"/>
      <c r="AA6" s="3161"/>
      <c r="AB6" s="3161"/>
      <c r="AC6" s="3245"/>
    </row>
    <row r="7" spans="1:29" s="116" customFormat="1" ht="15.75" thickBot="1">
      <c r="A7" s="407" t="s">
        <v>2501</v>
      </c>
      <c r="B7" s="408"/>
      <c r="C7" s="409">
        <f>'数据-取费表'!B2</f>
        <v>43206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1" t="s">
        <v>2502</v>
      </c>
      <c r="Q7" s="3190"/>
      <c r="R7" s="769" t="s">
        <v>17</v>
      </c>
      <c r="S7" s="770">
        <f t="shared" ref="S7:S15" si="0">F7</f>
        <v>0</v>
      </c>
      <c r="T7" s="769" t="s">
        <v>17</v>
      </c>
      <c r="U7" s="770">
        <f t="shared" ref="U7:U15" si="1">H7</f>
        <v>0</v>
      </c>
      <c r="V7" s="769" t="s">
        <v>17</v>
      </c>
      <c r="W7" s="770">
        <f t="shared" ref="W7:W15" si="2">J7</f>
        <v>0</v>
      </c>
      <c r="X7" s="771"/>
      <c r="Y7" s="3162" t="s">
        <v>2502</v>
      </c>
      <c r="Z7" s="3163"/>
      <c r="AA7" s="772" t="e">
        <f>D7/F7</f>
        <v>#DIV/0!</v>
      </c>
      <c r="AB7" s="772" t="e">
        <f>D7/H7</f>
        <v>#DIV/0!</v>
      </c>
      <c r="AC7" s="2672" t="e">
        <f>D7/J7</f>
        <v>#DIV/0!</v>
      </c>
    </row>
    <row r="8" spans="1:29" s="116" customFormat="1" ht="15.75" thickBot="1">
      <c r="A8" s="407" t="s">
        <v>2503</v>
      </c>
      <c r="B8" s="408"/>
      <c r="C8" s="413" t="s">
        <v>2605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1" t="s">
        <v>2505</v>
      </c>
      <c r="Q8" s="3163"/>
      <c r="R8" s="769" t="s">
        <v>17</v>
      </c>
      <c r="S8" s="770">
        <f t="shared" si="0"/>
        <v>0</v>
      </c>
      <c r="T8" s="769" t="s">
        <v>17</v>
      </c>
      <c r="U8" s="770">
        <f t="shared" si="1"/>
        <v>0</v>
      </c>
      <c r="V8" s="769" t="s">
        <v>17</v>
      </c>
      <c r="W8" s="770">
        <f t="shared" si="2"/>
        <v>0</v>
      </c>
      <c r="X8" s="771"/>
      <c r="Y8" s="3162" t="s">
        <v>2505</v>
      </c>
      <c r="Z8" s="3163"/>
      <c r="AA8" s="772" t="e">
        <f t="shared" ref="AA8:AA47" si="3">D8/F8</f>
        <v>#DIV/0!</v>
      </c>
      <c r="AB8" s="772" t="e">
        <f t="shared" ref="AB8:AB47" si="4">D8/H8</f>
        <v>#DIV/0!</v>
      </c>
      <c r="AC8" s="2672" t="e">
        <f t="shared" ref="AC8:AC47" si="5">D8/J8</f>
        <v>#DIV/0!</v>
      </c>
    </row>
    <row r="9" spans="1:29" s="116" customFormat="1">
      <c r="A9" s="414" t="s">
        <v>2506</v>
      </c>
      <c r="B9" s="70" t="s">
        <v>2507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0"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2672">
        <f t="shared" si="5"/>
        <v>1</v>
      </c>
    </row>
    <row r="10" spans="1:29" s="426" customFormat="1" ht="27">
      <c r="A10" s="420"/>
      <c r="B10" s="421" t="s">
        <v>2510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0"/>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2672">
        <f t="shared" si="5"/>
        <v>1</v>
      </c>
    </row>
    <row r="11" spans="1:29" ht="15">
      <c r="A11" s="427"/>
      <c r="B11" s="421" t="s">
        <v>2511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0"/>
      <c r="Q11" s="179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200"/>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200"/>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200"/>
      <c r="Q14" s="179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2672">
        <f t="shared" si="5"/>
        <v>1</v>
      </c>
    </row>
    <row r="15" spans="1:29" ht="15">
      <c r="A15" s="439" t="s">
        <v>2512</v>
      </c>
      <c r="B15" s="628" t="s">
        <v>2640</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8" t="s">
        <v>2513</v>
      </c>
      <c r="Q15" s="1811" t="str">
        <f t="shared" si="6"/>
        <v>办公集聚程度</v>
      </c>
      <c r="R15" s="773" t="s">
        <v>17</v>
      </c>
      <c r="S15" s="774">
        <f t="shared" si="0"/>
        <v>100</v>
      </c>
      <c r="T15" s="773" t="s">
        <v>17</v>
      </c>
      <c r="U15" s="774">
        <f t="shared" si="1"/>
        <v>100</v>
      </c>
      <c r="V15" s="773" t="s">
        <v>17</v>
      </c>
      <c r="W15" s="774">
        <f t="shared" si="2"/>
        <v>100</v>
      </c>
      <c r="X15" s="1814"/>
      <c r="Y15" s="3191" t="s">
        <v>2513</v>
      </c>
      <c r="Z15" s="1815" t="str">
        <f t="shared" si="7"/>
        <v>办公集聚程度</v>
      </c>
      <c r="AA15" s="1812">
        <f t="shared" si="3"/>
        <v>1</v>
      </c>
      <c r="AB15" s="1812">
        <f t="shared" si="4"/>
        <v>1</v>
      </c>
      <c r="AC15" s="2675">
        <f t="shared" si="5"/>
        <v>1</v>
      </c>
    </row>
    <row r="16" spans="1:29" ht="15">
      <c r="A16" s="427"/>
      <c r="B16" s="629"/>
      <c r="C16" s="2612"/>
      <c r="D16" s="447"/>
      <c r="E16" s="446"/>
      <c r="F16" s="447"/>
      <c r="G16" s="2612"/>
      <c r="H16" s="449"/>
      <c r="I16" s="446"/>
      <c r="J16" s="447"/>
      <c r="K16" s="614"/>
      <c r="L16" s="1142"/>
      <c r="M16" s="1133"/>
      <c r="N16" s="1133"/>
      <c r="O16" s="1133"/>
      <c r="P16" s="3239"/>
      <c r="Q16" s="1811"/>
      <c r="R16" s="773"/>
      <c r="S16" s="774"/>
      <c r="T16" s="773"/>
      <c r="U16" s="774"/>
      <c r="V16" s="773"/>
      <c r="W16" s="774"/>
      <c r="X16" s="1814"/>
      <c r="Y16" s="3192"/>
      <c r="Z16" s="1815"/>
      <c r="AA16" s="1812">
        <v>1</v>
      </c>
      <c r="AB16" s="1812">
        <v>1</v>
      </c>
      <c r="AC16" s="2675">
        <v>1</v>
      </c>
    </row>
    <row r="17" spans="1:29" ht="85.5">
      <c r="A17" s="427"/>
      <c r="B17" s="630" t="s">
        <v>2052</v>
      </c>
      <c r="C17" s="2676" t="str">
        <f>估价对象房地状况!C6</f>
        <v>估价对象周边道路状况较好、公共交通通达情况较好、停车便捷程度较好，综合评价交通便捷度较好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9"/>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2675">
        <f t="shared" si="5"/>
        <v>1</v>
      </c>
    </row>
    <row r="18" spans="1:29" ht="15">
      <c r="A18" s="427"/>
      <c r="B18" s="631"/>
      <c r="C18" s="2677"/>
      <c r="D18" s="449"/>
      <c r="E18" s="2610"/>
      <c r="F18" s="449"/>
      <c r="G18" s="2611"/>
      <c r="H18" s="447"/>
      <c r="I18" s="2611"/>
      <c r="J18" s="447"/>
      <c r="K18" s="614"/>
      <c r="L18" s="1142"/>
      <c r="M18" s="1133"/>
      <c r="N18" s="1133"/>
      <c r="O18" s="1133"/>
      <c r="P18" s="3239"/>
      <c r="Q18" s="1811"/>
      <c r="R18" s="773"/>
      <c r="S18" s="774"/>
      <c r="T18" s="773"/>
      <c r="U18" s="774"/>
      <c r="V18" s="773"/>
      <c r="W18" s="774"/>
      <c r="X18" s="1814"/>
      <c r="Y18" s="3192"/>
      <c r="Z18" s="1815"/>
      <c r="AA18" s="1812">
        <v>1</v>
      </c>
      <c r="AB18" s="1812">
        <v>1</v>
      </c>
      <c r="AC18" s="2675">
        <v>1</v>
      </c>
    </row>
    <row r="19" spans="1:29" ht="42.75">
      <c r="A19" s="427"/>
      <c r="B19" s="630" t="s">
        <v>2641</v>
      </c>
      <c r="C19" s="2676"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9"/>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2675">
        <f t="shared" si="5"/>
        <v>1</v>
      </c>
    </row>
    <row r="20" spans="1:29" ht="15">
      <c r="A20" s="427"/>
      <c r="B20" s="631"/>
      <c r="C20" s="2612"/>
      <c r="D20" s="447"/>
      <c r="E20" s="2605"/>
      <c r="F20" s="447"/>
      <c r="G20" s="2606"/>
      <c r="H20" s="447"/>
      <c r="I20" s="2606"/>
      <c r="J20" s="447"/>
      <c r="K20" s="614"/>
      <c r="L20" s="1142"/>
      <c r="M20" s="1133"/>
      <c r="N20" s="1133"/>
      <c r="O20" s="1133"/>
      <c r="P20" s="3239"/>
      <c r="Q20" s="1811"/>
      <c r="R20" s="773"/>
      <c r="S20" s="774"/>
      <c r="T20" s="773"/>
      <c r="U20" s="774"/>
      <c r="V20" s="773"/>
      <c r="W20" s="774"/>
      <c r="X20" s="1814"/>
      <c r="Y20" s="3192"/>
      <c r="Z20" s="1815"/>
      <c r="AA20" s="1812">
        <v>1</v>
      </c>
      <c r="AB20" s="1812">
        <v>1</v>
      </c>
      <c r="AC20" s="2675">
        <v>1</v>
      </c>
    </row>
    <row r="21" spans="1:29" ht="28.5">
      <c r="A21" s="427"/>
      <c r="B21" s="632" t="s">
        <v>2642</v>
      </c>
      <c r="C21" s="2676"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39"/>
      <c r="Q22" s="1811"/>
      <c r="R22" s="773"/>
      <c r="S22" s="774"/>
      <c r="T22" s="773"/>
      <c r="U22" s="774"/>
      <c r="V22" s="773"/>
      <c r="W22" s="774"/>
      <c r="X22" s="1814"/>
      <c r="Y22" s="3192"/>
      <c r="Z22" s="1815"/>
      <c r="AA22" s="1812">
        <v>1</v>
      </c>
      <c r="AB22" s="1812">
        <v>1</v>
      </c>
      <c r="AC22" s="2675">
        <v>1</v>
      </c>
    </row>
    <row r="23" spans="1:29" ht="42.75">
      <c r="A23" s="427"/>
      <c r="B23" s="630" t="s">
        <v>2643</v>
      </c>
      <c r="C23" s="2676" t="str">
        <f>估价对象房地状况!C9</f>
        <v>区域自然环境：；人文环境；综合评价环境状况较好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9"/>
      <c r="Q23" s="1811" t="str">
        <f>B23</f>
        <v>环境质量</v>
      </c>
      <c r="R23" s="773" t="s">
        <v>17</v>
      </c>
      <c r="S23" s="774">
        <f>F23</f>
        <v>100</v>
      </c>
      <c r="T23" s="773" t="s">
        <v>17</v>
      </c>
      <c r="U23" s="774">
        <f>H23</f>
        <v>100</v>
      </c>
      <c r="V23" s="773" t="s">
        <v>17</v>
      </c>
      <c r="W23" s="774">
        <f>J23</f>
        <v>100</v>
      </c>
      <c r="X23" s="1814"/>
      <c r="Y23" s="3192"/>
      <c r="Z23" s="1815" t="str">
        <f>Q23</f>
        <v>环境质量</v>
      </c>
      <c r="AA23" s="1812">
        <f t="shared" si="3"/>
        <v>1</v>
      </c>
      <c r="AB23" s="1812">
        <f t="shared" si="4"/>
        <v>1</v>
      </c>
      <c r="AC23" s="2675">
        <f t="shared" si="5"/>
        <v>1</v>
      </c>
    </row>
    <row r="24" spans="1:29" ht="15">
      <c r="A24" s="427"/>
      <c r="B24" s="632"/>
      <c r="C24" s="2612"/>
      <c r="D24" s="447"/>
      <c r="E24" s="2605"/>
      <c r="F24" s="447"/>
      <c r="G24" s="2606"/>
      <c r="H24" s="447"/>
      <c r="I24" s="2606"/>
      <c r="J24" s="447"/>
      <c r="K24" s="614"/>
      <c r="L24" s="1142"/>
      <c r="M24" s="1133"/>
      <c r="N24" s="1133"/>
      <c r="O24" s="1133"/>
      <c r="P24" s="3239"/>
      <c r="Q24" s="1811"/>
      <c r="R24" s="773"/>
      <c r="S24" s="774"/>
      <c r="T24" s="773"/>
      <c r="U24" s="774"/>
      <c r="V24" s="773"/>
      <c r="W24" s="774"/>
      <c r="X24" s="1814"/>
      <c r="Y24" s="3192"/>
      <c r="Z24" s="1815"/>
      <c r="AA24" s="1812">
        <v>1</v>
      </c>
      <c r="AB24" s="1812">
        <v>1</v>
      </c>
      <c r="AC24" s="2675">
        <v>1</v>
      </c>
    </row>
    <row r="25" spans="1:29" ht="27">
      <c r="A25" s="403"/>
      <c r="B25" s="630" t="s">
        <v>2644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39"/>
      <c r="Q25" s="1811" t="str">
        <f>B25</f>
        <v>毗邻道路的类型与等级</v>
      </c>
      <c r="R25" s="773" t="s">
        <v>17</v>
      </c>
      <c r="S25" s="774">
        <f>F25</f>
        <v>100</v>
      </c>
      <c r="T25" s="773" t="s">
        <v>17</v>
      </c>
      <c r="U25" s="774">
        <f>H25</f>
        <v>100</v>
      </c>
      <c r="V25" s="773" t="s">
        <v>17</v>
      </c>
      <c r="W25" s="774">
        <f>J25</f>
        <v>100</v>
      </c>
      <c r="X25" s="1814"/>
      <c r="Y25" s="3192"/>
      <c r="Z25" s="1815" t="str">
        <f>Q25</f>
        <v>毗邻道路的类型与等级</v>
      </c>
      <c r="AA25" s="1812">
        <f t="shared" si="3"/>
        <v>1</v>
      </c>
      <c r="AB25" s="1812">
        <f t="shared" si="4"/>
        <v>1</v>
      </c>
      <c r="AC25" s="2675">
        <f t="shared" si="5"/>
        <v>1</v>
      </c>
    </row>
    <row r="26" spans="1:29" ht="15">
      <c r="A26" s="403"/>
      <c r="B26" s="631"/>
      <c r="C26" s="633"/>
      <c r="D26" s="434"/>
      <c r="E26" s="615"/>
      <c r="F26" s="434"/>
      <c r="G26" s="633"/>
      <c r="H26" s="434"/>
      <c r="I26" s="615"/>
      <c r="J26" s="434"/>
      <c r="K26" s="614"/>
      <c r="L26" s="1142"/>
      <c r="M26" s="1133"/>
      <c r="N26" s="1133"/>
      <c r="O26" s="1133"/>
      <c r="P26" s="3239"/>
      <c r="Q26" s="1811"/>
      <c r="R26" s="773"/>
      <c r="S26" s="774"/>
      <c r="T26" s="773"/>
      <c r="U26" s="774"/>
      <c r="V26" s="773"/>
      <c r="W26" s="774"/>
      <c r="X26" s="1814"/>
      <c r="Y26" s="3192"/>
      <c r="Z26" s="1815"/>
      <c r="AA26" s="1812">
        <v>1</v>
      </c>
      <c r="AB26" s="1812">
        <v>1</v>
      </c>
      <c r="AC26" s="2675">
        <v>1</v>
      </c>
    </row>
    <row r="27" spans="1:29" ht="15">
      <c r="A27" s="427"/>
      <c r="B27" s="631" t="s">
        <v>2612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9"/>
      <c r="Q27" s="1811" t="str">
        <f t="shared" ref="Q27:Q47" si="11">B27</f>
        <v>楼层</v>
      </c>
      <c r="R27" s="773" t="s">
        <v>17</v>
      </c>
      <c r="S27" s="774">
        <f>F27</f>
        <v>100</v>
      </c>
      <c r="T27" s="773" t="s">
        <v>17</v>
      </c>
      <c r="U27" s="774">
        <f>H27</f>
        <v>100</v>
      </c>
      <c r="V27" s="773" t="s">
        <v>17</v>
      </c>
      <c r="W27" s="774">
        <f>J27</f>
        <v>100</v>
      </c>
      <c r="X27" s="1814"/>
      <c r="Y27" s="3192"/>
      <c r="Z27" s="1815" t="str">
        <f>Q27</f>
        <v>楼层</v>
      </c>
      <c r="AA27" s="1812">
        <f t="shared" si="3"/>
        <v>1</v>
      </c>
      <c r="AB27" s="1812">
        <f t="shared" si="4"/>
        <v>1</v>
      </c>
      <c r="AC27" s="2675">
        <f t="shared" si="5"/>
        <v>1</v>
      </c>
    </row>
    <row r="28" spans="1:29" s="116" customFormat="1" ht="15">
      <c r="A28" s="430"/>
      <c r="B28" s="630" t="s">
        <v>2645</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39"/>
      <c r="Q28" s="1796" t="str">
        <f t="shared" si="11"/>
        <v>朝向</v>
      </c>
      <c r="R28" s="769" t="s">
        <v>17</v>
      </c>
      <c r="S28" s="770">
        <f>F28</f>
        <v>100</v>
      </c>
      <c r="T28" s="769" t="s">
        <v>17</v>
      </c>
      <c r="U28" s="770">
        <f>H28</f>
        <v>100</v>
      </c>
      <c r="V28" s="769" t="s">
        <v>17</v>
      </c>
      <c r="W28" s="770">
        <f>J28</f>
        <v>100</v>
      </c>
      <c r="X28" s="771"/>
      <c r="Y28" s="3192"/>
      <c r="Z28" s="54" t="str">
        <f>Q28</f>
        <v>朝向</v>
      </c>
      <c r="AA28" s="1812">
        <f>D28/F28</f>
        <v>1</v>
      </c>
      <c r="AB28" s="1812">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39"/>
      <c r="Q29" s="1811">
        <f t="shared" si="11"/>
        <v>111</v>
      </c>
      <c r="R29" s="773" t="s">
        <v>17</v>
      </c>
      <c r="S29" s="774">
        <f t="shared" ref="S29:S47" si="12">F29</f>
        <v>100</v>
      </c>
      <c r="T29" s="773" t="s">
        <v>17</v>
      </c>
      <c r="U29" s="774">
        <f t="shared" ref="U29:U47" si="13">H29</f>
        <v>100</v>
      </c>
      <c r="V29" s="773" t="s">
        <v>17</v>
      </c>
      <c r="W29" s="774">
        <f t="shared" ref="W29:W47" si="14">J29</f>
        <v>100</v>
      </c>
      <c r="X29" s="1814"/>
      <c r="Y29" s="3192"/>
      <c r="Z29" s="1815">
        <f t="shared" ref="Z29:Z47" si="15">Q29</f>
        <v>111</v>
      </c>
      <c r="AA29" s="1812">
        <f t="shared" si="3"/>
        <v>1</v>
      </c>
      <c r="AB29" s="1812">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39"/>
      <c r="Q30" s="1811">
        <f t="shared" si="11"/>
        <v>111</v>
      </c>
      <c r="R30" s="773" t="s">
        <v>17</v>
      </c>
      <c r="S30" s="774">
        <f t="shared" si="12"/>
        <v>100</v>
      </c>
      <c r="T30" s="773" t="s">
        <v>17</v>
      </c>
      <c r="U30" s="774">
        <f t="shared" si="13"/>
        <v>100</v>
      </c>
      <c r="V30" s="773" t="s">
        <v>17</v>
      </c>
      <c r="W30" s="774">
        <f t="shared" si="14"/>
        <v>100</v>
      </c>
      <c r="X30" s="1814"/>
      <c r="Y30" s="3192"/>
      <c r="Z30" s="1815">
        <f t="shared" si="15"/>
        <v>111</v>
      </c>
      <c r="AA30" s="1812">
        <f t="shared" si="3"/>
        <v>1</v>
      </c>
      <c r="AB30" s="1812">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39"/>
      <c r="Q31" s="1811">
        <f t="shared" si="11"/>
        <v>111</v>
      </c>
      <c r="R31" s="773" t="s">
        <v>17</v>
      </c>
      <c r="S31" s="774">
        <f t="shared" si="12"/>
        <v>100</v>
      </c>
      <c r="T31" s="773" t="s">
        <v>17</v>
      </c>
      <c r="U31" s="774">
        <f t="shared" si="13"/>
        <v>100</v>
      </c>
      <c r="V31" s="773" t="s">
        <v>17</v>
      </c>
      <c r="W31" s="774">
        <f t="shared" si="14"/>
        <v>100</v>
      </c>
      <c r="X31" s="1814"/>
      <c r="Y31" s="3192"/>
      <c r="Z31" s="1815">
        <f t="shared" si="15"/>
        <v>111</v>
      </c>
      <c r="AA31" s="1812">
        <f t="shared" si="3"/>
        <v>1</v>
      </c>
      <c r="AB31" s="1812">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39"/>
      <c r="Q32" s="1811">
        <f t="shared" si="11"/>
        <v>111</v>
      </c>
      <c r="R32" s="773" t="s">
        <v>17</v>
      </c>
      <c r="S32" s="774">
        <f t="shared" si="12"/>
        <v>100</v>
      </c>
      <c r="T32" s="773" t="s">
        <v>17</v>
      </c>
      <c r="U32" s="774">
        <f t="shared" si="13"/>
        <v>100</v>
      </c>
      <c r="V32" s="773" t="s">
        <v>17</v>
      </c>
      <c r="W32" s="774">
        <f t="shared" si="14"/>
        <v>100</v>
      </c>
      <c r="X32" s="1814"/>
      <c r="Y32" s="3192"/>
      <c r="Z32" s="1815">
        <f t="shared" si="15"/>
        <v>111</v>
      </c>
      <c r="AA32" s="1812">
        <f t="shared" si="3"/>
        <v>1</v>
      </c>
      <c r="AB32" s="1812">
        <f t="shared" si="4"/>
        <v>1</v>
      </c>
      <c r="AC32" s="2675">
        <f t="shared" si="5"/>
        <v>1</v>
      </c>
    </row>
    <row r="33" spans="1:29" ht="15">
      <c r="A33" s="439" t="s">
        <v>2516</v>
      </c>
      <c r="B33" s="70" t="s">
        <v>2646</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34" t="s">
        <v>2518</v>
      </c>
      <c r="Q33" s="1811" t="str">
        <f t="shared" si="11"/>
        <v>建筑类型</v>
      </c>
      <c r="R33" s="773" t="s">
        <v>17</v>
      </c>
      <c r="S33" s="774">
        <f t="shared" si="12"/>
        <v>100</v>
      </c>
      <c r="T33" s="773" t="s">
        <v>17</v>
      </c>
      <c r="U33" s="774">
        <f t="shared" si="13"/>
        <v>100</v>
      </c>
      <c r="V33" s="773" t="s">
        <v>17</v>
      </c>
      <c r="W33" s="774">
        <f t="shared" si="14"/>
        <v>100</v>
      </c>
      <c r="X33" s="1814"/>
      <c r="Y33" s="3194" t="s">
        <v>2518</v>
      </c>
      <c r="Z33" s="1815" t="str">
        <f t="shared" si="15"/>
        <v>建筑类型</v>
      </c>
      <c r="AA33" s="1812">
        <f t="shared" si="3"/>
        <v>1</v>
      </c>
      <c r="AB33" s="1812">
        <f t="shared" si="4"/>
        <v>1</v>
      </c>
      <c r="AC33" s="2675">
        <f t="shared" si="5"/>
        <v>1</v>
      </c>
    </row>
    <row r="34" spans="1:29" s="470" customFormat="1" ht="15">
      <c r="A34" s="467"/>
      <c r="B34" s="421" t="s">
        <v>2519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5"/>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2" t="e">
        <f t="shared" si="3"/>
        <v>#N/A</v>
      </c>
      <c r="AB34" s="1812" t="e">
        <f t="shared" si="4"/>
        <v>#N/A</v>
      </c>
      <c r="AC34" s="2675" t="e">
        <f t="shared" si="5"/>
        <v>#N/A</v>
      </c>
    </row>
    <row r="35" spans="1:29" ht="15">
      <c r="A35" s="471"/>
      <c r="B35" s="421" t="s">
        <v>2520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5"/>
      <c r="Q35" s="1811" t="str">
        <f t="shared" si="11"/>
        <v>建筑结构</v>
      </c>
      <c r="R35" s="773" t="s">
        <v>17</v>
      </c>
      <c r="S35" s="774">
        <f t="shared" si="12"/>
        <v>100</v>
      </c>
      <c r="T35" s="773" t="s">
        <v>17</v>
      </c>
      <c r="U35" s="774">
        <f t="shared" si="13"/>
        <v>100</v>
      </c>
      <c r="V35" s="773" t="s">
        <v>17</v>
      </c>
      <c r="W35" s="774">
        <f t="shared" si="14"/>
        <v>100</v>
      </c>
      <c r="X35" s="1814"/>
      <c r="Y35" s="3194"/>
      <c r="Z35" s="1815" t="str">
        <f t="shared" si="15"/>
        <v>建筑结构</v>
      </c>
      <c r="AA35" s="1812">
        <f t="shared" si="3"/>
        <v>1</v>
      </c>
      <c r="AB35" s="1812">
        <f t="shared" si="4"/>
        <v>1</v>
      </c>
      <c r="AC35" s="2675">
        <f t="shared" si="5"/>
        <v>1</v>
      </c>
    </row>
    <row r="36" spans="1:29" ht="15">
      <c r="A36" s="471"/>
      <c r="B36" s="421" t="s">
        <v>2614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5"/>
      <c r="Q36" s="1811" t="str">
        <f t="shared" si="11"/>
        <v>公共部分装修</v>
      </c>
      <c r="R36" s="773" t="s">
        <v>17</v>
      </c>
      <c r="S36" s="774">
        <f t="shared" si="12"/>
        <v>100</v>
      </c>
      <c r="T36" s="773" t="s">
        <v>17</v>
      </c>
      <c r="U36" s="774">
        <f t="shared" si="13"/>
        <v>100</v>
      </c>
      <c r="V36" s="773" t="s">
        <v>17</v>
      </c>
      <c r="W36" s="774">
        <f t="shared" si="14"/>
        <v>100</v>
      </c>
      <c r="X36" s="1814"/>
      <c r="Y36" s="3194"/>
      <c r="Z36" s="1815" t="str">
        <f t="shared" si="15"/>
        <v>公共部分装修</v>
      </c>
      <c r="AA36" s="1812">
        <f t="shared" si="3"/>
        <v>1</v>
      </c>
      <c r="AB36" s="1812">
        <f t="shared" si="4"/>
        <v>1</v>
      </c>
      <c r="AC36" s="2675">
        <f t="shared" si="5"/>
        <v>1</v>
      </c>
    </row>
    <row r="37" spans="1:29" ht="15">
      <c r="A37" s="471"/>
      <c r="B37" s="421" t="s">
        <v>2615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5"/>
      <c r="Q37" s="1811" t="str">
        <f t="shared" si="11"/>
        <v>成新度</v>
      </c>
      <c r="R37" s="773" t="s">
        <v>17</v>
      </c>
      <c r="S37" s="774" t="e">
        <f t="shared" si="12"/>
        <v>#N/A</v>
      </c>
      <c r="T37" s="773" t="s">
        <v>17</v>
      </c>
      <c r="U37" s="774" t="e">
        <f t="shared" si="13"/>
        <v>#N/A</v>
      </c>
      <c r="V37" s="773" t="s">
        <v>17</v>
      </c>
      <c r="W37" s="774" t="e">
        <f t="shared" si="14"/>
        <v>#N/A</v>
      </c>
      <c r="X37" s="1814"/>
      <c r="Y37" s="3194"/>
      <c r="Z37" s="1815" t="str">
        <f t="shared" si="15"/>
        <v>成新度</v>
      </c>
      <c r="AA37" s="1812" t="e">
        <f t="shared" si="3"/>
        <v>#N/A</v>
      </c>
      <c r="AB37" s="1812" t="e">
        <f t="shared" si="4"/>
        <v>#N/A</v>
      </c>
      <c r="AC37" s="2675" t="e">
        <f t="shared" si="5"/>
        <v>#N/A</v>
      </c>
    </row>
    <row r="38" spans="1:29" s="116" customFormat="1" ht="15">
      <c r="A38" s="472"/>
      <c r="B38" s="421" t="s">
        <v>2647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5"/>
      <c r="Q38" s="1796" t="str">
        <f t="shared" si="11"/>
        <v>写字楼等级</v>
      </c>
      <c r="R38" s="769" t="s">
        <v>17</v>
      </c>
      <c r="S38" s="770">
        <f t="shared" si="12"/>
        <v>100</v>
      </c>
      <c r="T38" s="769" t="s">
        <v>17</v>
      </c>
      <c r="U38" s="770">
        <f t="shared" si="13"/>
        <v>100</v>
      </c>
      <c r="V38" s="769" t="s">
        <v>17</v>
      </c>
      <c r="W38" s="770">
        <f t="shared" si="14"/>
        <v>100</v>
      </c>
      <c r="X38" s="771"/>
      <c r="Y38" s="3194"/>
      <c r="Z38" s="54" t="str">
        <f t="shared" si="15"/>
        <v>写字楼等级</v>
      </c>
      <c r="AA38" s="772">
        <f t="shared" si="3"/>
        <v>1</v>
      </c>
      <c r="AB38" s="772">
        <f t="shared" si="4"/>
        <v>1</v>
      </c>
      <c r="AC38" s="2672">
        <f t="shared" si="5"/>
        <v>1</v>
      </c>
    </row>
    <row r="39" spans="1:29" ht="15">
      <c r="A39" s="471"/>
      <c r="B39" s="421" t="s">
        <v>2648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5" t="s">
        <v>2518</v>
      </c>
      <c r="Q39" s="1811" t="str">
        <f t="shared" si="11"/>
        <v>物业管理</v>
      </c>
      <c r="R39" s="773" t="s">
        <v>17</v>
      </c>
      <c r="S39" s="774">
        <f t="shared" si="12"/>
        <v>100</v>
      </c>
      <c r="T39" s="773" t="s">
        <v>17</v>
      </c>
      <c r="U39" s="774">
        <f t="shared" si="13"/>
        <v>100</v>
      </c>
      <c r="V39" s="773" t="s">
        <v>17</v>
      </c>
      <c r="W39" s="774">
        <f t="shared" si="14"/>
        <v>100</v>
      </c>
      <c r="X39" s="1814"/>
      <c r="Y39" s="3194" t="s">
        <v>2518</v>
      </c>
      <c r="Z39" s="1815" t="str">
        <f t="shared" si="15"/>
        <v>物业管理</v>
      </c>
      <c r="AA39" s="1812">
        <f t="shared" si="3"/>
        <v>1</v>
      </c>
      <c r="AB39" s="1812">
        <f t="shared" si="4"/>
        <v>1</v>
      </c>
      <c r="AC39" s="2675">
        <f t="shared" si="5"/>
        <v>1</v>
      </c>
    </row>
    <row r="40" spans="1:29" ht="15">
      <c r="A40" s="471"/>
      <c r="B40" s="421" t="s">
        <v>2616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5"/>
      <c r="Q40" s="1811" t="str">
        <f t="shared" si="11"/>
        <v>市政基础设施</v>
      </c>
      <c r="R40" s="773" t="s">
        <v>17</v>
      </c>
      <c r="S40" s="774">
        <f t="shared" si="12"/>
        <v>100</v>
      </c>
      <c r="T40" s="773" t="s">
        <v>17</v>
      </c>
      <c r="U40" s="774">
        <f t="shared" si="13"/>
        <v>100</v>
      </c>
      <c r="V40" s="773" t="s">
        <v>17</v>
      </c>
      <c r="W40" s="774">
        <f t="shared" si="14"/>
        <v>100</v>
      </c>
      <c r="X40" s="1814"/>
      <c r="Y40" s="3194"/>
      <c r="Z40" s="1815" t="str">
        <f t="shared" si="15"/>
        <v>市政基础设施</v>
      </c>
      <c r="AA40" s="1812">
        <f t="shared" si="3"/>
        <v>1</v>
      </c>
      <c r="AB40" s="1812">
        <f t="shared" si="4"/>
        <v>1</v>
      </c>
      <c r="AC40" s="2675">
        <f t="shared" si="5"/>
        <v>1</v>
      </c>
    </row>
    <row r="41" spans="1:29" ht="15">
      <c r="A41" s="471"/>
      <c r="B41" s="421" t="s">
        <v>2618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5"/>
      <c r="Q41" s="1811" t="str">
        <f t="shared" si="11"/>
        <v>层高</v>
      </c>
      <c r="R41" s="773" t="s">
        <v>17</v>
      </c>
      <c r="S41" s="774">
        <f t="shared" si="12"/>
        <v>100</v>
      </c>
      <c r="T41" s="773" t="s">
        <v>17</v>
      </c>
      <c r="U41" s="774">
        <f t="shared" si="13"/>
        <v>100</v>
      </c>
      <c r="V41" s="773" t="s">
        <v>17</v>
      </c>
      <c r="W41" s="774">
        <f t="shared" si="14"/>
        <v>100</v>
      </c>
      <c r="X41" s="1814"/>
      <c r="Y41" s="3194"/>
      <c r="Z41" s="1815" t="str">
        <f t="shared" si="15"/>
        <v>层高</v>
      </c>
      <c r="AA41" s="1812">
        <f t="shared" si="3"/>
        <v>1</v>
      </c>
      <c r="AB41" s="1812">
        <f t="shared" si="4"/>
        <v>1</v>
      </c>
      <c r="AC41" s="2675">
        <f t="shared" si="5"/>
        <v>1</v>
      </c>
    </row>
    <row r="42" spans="1:29" s="470" customFormat="1" ht="15">
      <c r="A42" s="467"/>
      <c r="B42" s="1813" t="s">
        <v>2649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5"/>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2">
        <f t="shared" si="3"/>
        <v>1</v>
      </c>
      <c r="AB42" s="1812">
        <f t="shared" si="4"/>
        <v>1</v>
      </c>
      <c r="AC42" s="2675">
        <f t="shared" si="5"/>
        <v>1</v>
      </c>
    </row>
    <row r="43" spans="1:29" ht="15">
      <c r="A43" s="471"/>
      <c r="B43" s="421" t="s">
        <v>2621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5"/>
      <c r="Q43" s="1811" t="str">
        <f t="shared" si="11"/>
        <v>内部装修</v>
      </c>
      <c r="R43" s="773" t="s">
        <v>17</v>
      </c>
      <c r="S43" s="774">
        <f t="shared" si="12"/>
        <v>100</v>
      </c>
      <c r="T43" s="773" t="s">
        <v>17</v>
      </c>
      <c r="U43" s="774">
        <f t="shared" si="13"/>
        <v>100</v>
      </c>
      <c r="V43" s="773" t="s">
        <v>17</v>
      </c>
      <c r="W43" s="774">
        <f t="shared" si="14"/>
        <v>100</v>
      </c>
      <c r="X43" s="1814"/>
      <c r="Y43" s="3194"/>
      <c r="Z43" s="1815" t="str">
        <f t="shared" si="15"/>
        <v>内部装修</v>
      </c>
      <c r="AA43" s="1812">
        <f t="shared" si="3"/>
        <v>1</v>
      </c>
      <c r="AB43" s="1812">
        <f t="shared" si="4"/>
        <v>1</v>
      </c>
      <c r="AC43" s="2675">
        <f t="shared" si="5"/>
        <v>1</v>
      </c>
    </row>
    <row r="44" spans="1:29" ht="15">
      <c r="A44" s="471"/>
      <c r="B44" s="421" t="s">
        <v>2529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35"/>
      <c r="Q44" s="1811" t="str">
        <f t="shared" si="11"/>
        <v>内部装修维护情况</v>
      </c>
      <c r="R44" s="773" t="s">
        <v>17</v>
      </c>
      <c r="S44" s="774">
        <f t="shared" si="12"/>
        <v>100</v>
      </c>
      <c r="T44" s="773" t="s">
        <v>17</v>
      </c>
      <c r="U44" s="774">
        <f t="shared" si="13"/>
        <v>100</v>
      </c>
      <c r="V44" s="773" t="s">
        <v>17</v>
      </c>
      <c r="W44" s="774">
        <f t="shared" si="14"/>
        <v>100</v>
      </c>
      <c r="X44" s="1814"/>
      <c r="Y44" s="3194"/>
      <c r="Z44" s="1815" t="str">
        <f t="shared" si="15"/>
        <v>内部装修维护情况</v>
      </c>
      <c r="AA44" s="1812">
        <f t="shared" si="3"/>
        <v>1</v>
      </c>
      <c r="AB44" s="1812">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5"/>
      <c r="Q45" s="1796">
        <f t="shared" si="11"/>
        <v>111</v>
      </c>
      <c r="R45" s="769" t="s">
        <v>17</v>
      </c>
      <c r="S45" s="770">
        <f t="shared" si="12"/>
        <v>100</v>
      </c>
      <c r="T45" s="769" t="s">
        <v>17</v>
      </c>
      <c r="U45" s="770">
        <f t="shared" si="13"/>
        <v>100</v>
      </c>
      <c r="V45" s="769" t="s">
        <v>17</v>
      </c>
      <c r="W45" s="770">
        <f t="shared" si="14"/>
        <v>100</v>
      </c>
      <c r="X45" s="771"/>
      <c r="Y45" s="3194"/>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5"/>
      <c r="Q46" s="1811">
        <f t="shared" si="11"/>
        <v>111</v>
      </c>
      <c r="R46" s="773" t="s">
        <v>17</v>
      </c>
      <c r="S46" s="774">
        <f t="shared" si="12"/>
        <v>100</v>
      </c>
      <c r="T46" s="773" t="s">
        <v>17</v>
      </c>
      <c r="U46" s="774">
        <f t="shared" si="13"/>
        <v>100</v>
      </c>
      <c r="V46" s="773" t="s">
        <v>17</v>
      </c>
      <c r="W46" s="774">
        <f t="shared" si="14"/>
        <v>100</v>
      </c>
      <c r="X46" s="1814"/>
      <c r="Y46" s="3194"/>
      <c r="Z46" s="1815">
        <f t="shared" si="15"/>
        <v>111</v>
      </c>
      <c r="AA46" s="1812">
        <f t="shared" si="3"/>
        <v>1</v>
      </c>
      <c r="AB46" s="1812">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6"/>
      <c r="Q47" s="1811">
        <f t="shared" si="11"/>
        <v>111</v>
      </c>
      <c r="R47" s="773" t="s">
        <v>17</v>
      </c>
      <c r="S47" s="774">
        <f t="shared" si="12"/>
        <v>100</v>
      </c>
      <c r="T47" s="773" t="s">
        <v>17</v>
      </c>
      <c r="U47" s="774">
        <f t="shared" si="13"/>
        <v>100</v>
      </c>
      <c r="V47" s="773" t="s">
        <v>17</v>
      </c>
      <c r="W47" s="774">
        <f t="shared" si="14"/>
        <v>100</v>
      </c>
      <c r="X47" s="1814"/>
      <c r="Y47" s="3237"/>
      <c r="Z47" s="1815">
        <f t="shared" si="15"/>
        <v>111</v>
      </c>
      <c r="AA47" s="1812">
        <f t="shared" si="3"/>
        <v>1</v>
      </c>
      <c r="AB47" s="1812">
        <f t="shared" si="4"/>
        <v>1</v>
      </c>
      <c r="AC47" s="2675">
        <f t="shared" si="5"/>
        <v>1</v>
      </c>
    </row>
    <row r="48" spans="1:29" ht="15">
      <c r="A48" s="478" t="s">
        <v>2530</v>
      </c>
      <c r="B48" s="479"/>
      <c r="C48" s="1409" t="s">
        <v>1</v>
      </c>
      <c r="D48" s="1410"/>
      <c r="E48" s="1411"/>
      <c r="F48" s="1412"/>
      <c r="G48" s="1413"/>
      <c r="H48" s="1414"/>
      <c r="I48" s="1411"/>
      <c r="J48" s="484"/>
      <c r="K48" s="782"/>
      <c r="L48" s="1145"/>
      <c r="M48" s="1133"/>
      <c r="N48" s="1133"/>
      <c r="O48" s="1133"/>
      <c r="P48" s="3200" t="str">
        <f>A48</f>
        <v>成交单价（元/平方米）</v>
      </c>
      <c r="Q48" s="3176"/>
      <c r="R48" s="3233">
        <f>E48</f>
        <v>0</v>
      </c>
      <c r="S48" s="3233"/>
      <c r="T48" s="3233">
        <f>G48</f>
        <v>0</v>
      </c>
      <c r="U48" s="3233"/>
      <c r="V48" s="3233">
        <f>I48</f>
        <v>0</v>
      </c>
      <c r="W48" s="3233"/>
      <c r="X48" s="445"/>
      <c r="Y48" s="780"/>
      <c r="Z48" s="445"/>
      <c r="AA48" s="445"/>
      <c r="AB48" s="445"/>
      <c r="AC48" s="629"/>
    </row>
    <row r="49" spans="1:29" ht="15.75" thickBot="1">
      <c r="A49" s="485" t="s">
        <v>2622</v>
      </c>
      <c r="B49" s="486"/>
      <c r="C49" s="1415" t="e">
        <f>R50</f>
        <v>#DIV/0!</v>
      </c>
      <c r="D49" s="1416"/>
      <c r="E49" s="1417" t="e">
        <f>R49</f>
        <v>#DIV/0!</v>
      </c>
      <c r="F49" s="1417"/>
      <c r="G49" s="1415" t="e">
        <f>T49</f>
        <v>#DIV/0!</v>
      </c>
      <c r="H49" s="1416"/>
      <c r="I49" s="1417" t="e">
        <f>V49</f>
        <v>#DIV/0!</v>
      </c>
      <c r="J49" s="488"/>
      <c r="K49" s="783"/>
      <c r="L49" s="1145"/>
      <c r="M49" s="1133"/>
      <c r="N49" s="1133"/>
      <c r="O49" s="1133"/>
      <c r="P49" s="3200" t="str">
        <f>A49</f>
        <v>比较价值（元/平方米）</v>
      </c>
      <c r="Q49" s="3176"/>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5"/>
      <c r="Y49" s="445"/>
      <c r="Z49" s="445"/>
      <c r="AA49" s="445"/>
      <c r="AB49" s="445"/>
      <c r="AC49" s="629"/>
    </row>
    <row r="50" spans="1:29" ht="15.75" thickBot="1">
      <c r="A50" s="491" t="s">
        <v>2623</v>
      </c>
      <c r="B50" s="492"/>
      <c r="C50" s="1419" t="e">
        <f>R50</f>
        <v>#DIV/0!</v>
      </c>
      <c r="D50" s="1419"/>
      <c r="E50" s="1419"/>
      <c r="F50" s="1419"/>
      <c r="G50" s="1419"/>
      <c r="H50" s="1419"/>
      <c r="I50" s="1419"/>
      <c r="J50" s="493"/>
      <c r="K50" s="784"/>
      <c r="L50" s="1145"/>
      <c r="M50" s="1133"/>
      <c r="N50" s="1133"/>
      <c r="O50" s="1133"/>
      <c r="P50" s="3252" t="str">
        <f>A50</f>
        <v>估价对象XX用房的比较价值（楼面单价，元/平方米）</v>
      </c>
      <c r="Q50" s="3253"/>
      <c r="R50" s="3254" t="e">
        <f>IF(F1="售价",ROUND(AVERAGE(R49:V49),0),ROUND(AVERAGE(R49:V49),1))</f>
        <v>#DIV/0!</v>
      </c>
      <c r="S50" s="3254"/>
      <c r="T50" s="3254"/>
      <c r="U50" s="3254"/>
      <c r="V50" s="3254"/>
      <c r="W50" s="3254"/>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2624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2625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2626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2627</v>
      </c>
      <c r="B58" s="758"/>
      <c r="C58" s="763"/>
      <c r="D58" s="763"/>
      <c r="E58" s="763"/>
      <c r="F58" s="764"/>
      <c r="G58" s="764"/>
      <c r="H58" s="763"/>
      <c r="I58" s="763"/>
      <c r="J58" s="763"/>
      <c r="K58" s="765"/>
      <c r="L58" s="1163"/>
      <c r="M58" s="1161"/>
      <c r="N58" s="1161"/>
      <c r="O58" s="1161"/>
      <c r="P58" s="2682"/>
      <c r="Q58" s="503"/>
    </row>
    <row r="59" spans="1:29" s="507" customFormat="1" ht="15">
      <c r="A59" s="504" t="s">
        <v>2501</v>
      </c>
      <c r="B59" s="505"/>
      <c r="C59" s="1575" t="str">
        <f>YEAR(C7)&amp;"-"&amp;MONTH(C7)</f>
        <v>2018-4</v>
      </c>
      <c r="D59" s="1576">
        <f>EDATE(C59,-1)</f>
        <v>43160</v>
      </c>
      <c r="E59" s="1576">
        <f>EDATE(D59,-1)</f>
        <v>43132</v>
      </c>
      <c r="F59" s="1576">
        <f t="shared" ref="F59:O59" si="16">EDATE(E59,-1)</f>
        <v>43101</v>
      </c>
      <c r="G59" s="1576">
        <f t="shared" si="16"/>
        <v>43070</v>
      </c>
      <c r="H59" s="1576">
        <f t="shared" si="16"/>
        <v>43040</v>
      </c>
      <c r="I59" s="1576">
        <f t="shared" si="16"/>
        <v>43009</v>
      </c>
      <c r="J59" s="1576">
        <f t="shared" si="16"/>
        <v>42979</v>
      </c>
      <c r="K59" s="1576">
        <f t="shared" si="16"/>
        <v>42948</v>
      </c>
      <c r="L59" s="1576">
        <f t="shared" si="16"/>
        <v>42917</v>
      </c>
      <c r="M59" s="1576">
        <f t="shared" si="16"/>
        <v>42887</v>
      </c>
      <c r="N59" s="1576">
        <f t="shared" si="16"/>
        <v>42856</v>
      </c>
      <c r="O59" s="1576">
        <f t="shared" si="16"/>
        <v>42826</v>
      </c>
      <c r="P59" s="1572"/>
    </row>
    <row r="60" spans="1:29" s="116" customFormat="1" ht="15">
      <c r="A60" s="508"/>
      <c r="B60" s="509"/>
      <c r="C60" s="1574">
        <v>100</v>
      </c>
      <c r="D60" s="511"/>
      <c r="E60" s="511"/>
      <c r="F60" s="511"/>
      <c r="G60" s="511"/>
      <c r="H60" s="511"/>
      <c r="I60" s="511"/>
      <c r="J60" s="511"/>
      <c r="K60" s="511"/>
      <c r="L60" s="511"/>
      <c r="M60" s="512"/>
      <c r="N60" s="511"/>
      <c r="O60" s="512"/>
      <c r="P60" s="2683"/>
    </row>
    <row r="61" spans="1:29" s="116" customFormat="1" ht="15.75" thickBot="1">
      <c r="A61" s="514" t="s">
        <v>2538</v>
      </c>
      <c r="B61" s="515"/>
      <c r="C61" s="516"/>
      <c r="D61" s="517"/>
      <c r="E61" s="517"/>
      <c r="F61" s="517"/>
      <c r="G61" s="517"/>
      <c r="H61" s="517"/>
      <c r="I61" s="517"/>
      <c r="J61" s="517"/>
      <c r="K61" s="517"/>
      <c r="L61" s="517"/>
      <c r="M61" s="518"/>
      <c r="N61" s="517"/>
      <c r="O61" s="518"/>
      <c r="P61" s="2683"/>
      <c r="Q61" s="503"/>
    </row>
    <row r="62" spans="1:29" s="116" customFormat="1" ht="15">
      <c r="A62" s="520" t="s">
        <v>2503</v>
      </c>
      <c r="B62" s="509"/>
      <c r="C62" s="521" t="s">
        <v>2605</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2541</v>
      </c>
      <c r="B64" s="527" t="s">
        <v>2507</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2510</v>
      </c>
      <c r="C66" s="538" t="s">
        <v>2542</v>
      </c>
      <c r="D66" s="538" t="s">
        <v>2543</v>
      </c>
      <c r="E66" s="538" t="s">
        <v>2544</v>
      </c>
      <c r="F66" s="538" t="s">
        <v>2545</v>
      </c>
      <c r="G66" s="538" t="s">
        <v>2546</v>
      </c>
      <c r="H66" s="538" t="s">
        <v>2547</v>
      </c>
      <c r="I66" s="538" t="s">
        <v>2548</v>
      </c>
      <c r="J66" s="538"/>
      <c r="K66" s="539"/>
      <c r="L66" s="540"/>
      <c r="M66" s="541"/>
      <c r="N66" s="1154"/>
      <c r="O66" s="1154"/>
      <c r="P66" s="2685"/>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2511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2512</v>
      </c>
      <c r="B77" s="527" t="s">
        <v>2650</v>
      </c>
      <c r="C77" s="572" t="s">
        <v>2550</v>
      </c>
      <c r="D77" s="572" t="s">
        <v>2551</v>
      </c>
      <c r="E77" s="572" t="s">
        <v>2552</v>
      </c>
      <c r="F77" s="572" t="s">
        <v>2553</v>
      </c>
      <c r="G77" s="572" t="s">
        <v>2554</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2555</v>
      </c>
      <c r="C79" s="577" t="s">
        <v>2550</v>
      </c>
      <c r="D79" s="577" t="s">
        <v>2551</v>
      </c>
      <c r="E79" s="577" t="s">
        <v>2552</v>
      </c>
      <c r="F79" s="577" t="s">
        <v>2553</v>
      </c>
      <c r="G79" s="577" t="s">
        <v>2554</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2556</v>
      </c>
      <c r="C81" s="577" t="s">
        <v>2550</v>
      </c>
      <c r="D81" s="577" t="s">
        <v>2551</v>
      </c>
      <c r="E81" s="577" t="s">
        <v>2552</v>
      </c>
      <c r="F81" s="577" t="s">
        <v>2553</v>
      </c>
      <c r="G81" s="577" t="s">
        <v>2554</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2642</v>
      </c>
      <c r="C83" s="659" t="s">
        <v>2628</v>
      </c>
      <c r="D83" s="659" t="s">
        <v>2629</v>
      </c>
      <c r="E83" s="659" t="s">
        <v>2630</v>
      </c>
      <c r="F83" s="659" t="s">
        <v>2631</v>
      </c>
      <c r="G83" s="659" t="s">
        <v>2632</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2651</v>
      </c>
      <c r="C85" s="577" t="s">
        <v>2550</v>
      </c>
      <c r="D85" s="577" t="s">
        <v>2551</v>
      </c>
      <c r="E85" s="577" t="s">
        <v>2552</v>
      </c>
      <c r="F85" s="577" t="s">
        <v>2553</v>
      </c>
      <c r="G85" s="577" t="s">
        <v>2554</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2652</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2516</v>
      </c>
      <c r="B101" s="527" t="s">
        <v>2565</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2566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2567</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2569</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1956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2653</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2570</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2571</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2654</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2637</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2573</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2574</v>
      </c>
      <c r="C125" s="577" t="s">
        <v>2550</v>
      </c>
      <c r="D125" s="577" t="s">
        <v>2551</v>
      </c>
      <c r="E125" s="577" t="s">
        <v>2552</v>
      </c>
      <c r="F125" s="577" t="s">
        <v>2553</v>
      </c>
      <c r="G125" s="577" t="s">
        <v>2554</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2655</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IF(C2="——",ROUND(C43*D3/10000,0),ROUND(C43*D3/10000,0)-D2)</f>
        <v>#DIV/0!</v>
      </c>
      <c r="C2" s="2587"/>
      <c r="D2" s="1126"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2282</v>
      </c>
      <c r="B3" s="608" t="e">
        <f ca="1">IF(C2="——",C43,ROUND(B2*10000/D3,0))</f>
        <v>#DIV/0!</v>
      </c>
      <c r="C3" s="399" t="s">
        <v>2597</v>
      </c>
      <c r="D3" s="398">
        <f>IF(D1="",'数据-汇总表'!E3,SUMIF('数据-汇总表'!$C19:$C33,D1,'数据-汇总表'!$E19:$E33))</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60" t="s">
        <v>2601</v>
      </c>
      <c r="AC4" s="3159" t="s">
        <v>2602</v>
      </c>
    </row>
    <row r="5" spans="1:29" ht="15">
      <c r="A5" s="403"/>
      <c r="B5" s="404"/>
      <c r="C5" s="3173" t="s">
        <v>2495</v>
      </c>
      <c r="D5" s="3170"/>
      <c r="E5" s="3168" t="s">
        <v>2496</v>
      </c>
      <c r="F5" s="3169"/>
      <c r="G5" s="3173" t="s">
        <v>2497</v>
      </c>
      <c r="H5" s="3170"/>
      <c r="I5" s="3173" t="s">
        <v>2498</v>
      </c>
      <c r="J5" s="3170"/>
      <c r="K5" s="609"/>
      <c r="L5" s="1132"/>
      <c r="M5" s="1133"/>
      <c r="N5" s="1133"/>
      <c r="O5" s="1133"/>
      <c r="P5" s="3183"/>
      <c r="Q5" s="3184"/>
      <c r="R5" s="3166"/>
      <c r="S5" s="3167"/>
      <c r="T5" s="3166"/>
      <c r="U5" s="3167"/>
      <c r="V5" s="3189"/>
      <c r="W5" s="3189"/>
      <c r="X5" s="1814"/>
      <c r="Y5" s="3166"/>
      <c r="Z5" s="3167"/>
      <c r="AA5" s="3160"/>
      <c r="AB5" s="3160"/>
      <c r="AC5" s="3160"/>
    </row>
    <row r="6" spans="1:29" ht="15.75" thickBot="1">
      <c r="A6" s="405"/>
      <c r="B6" s="406"/>
      <c r="C6" s="3171" t="s">
        <v>2499</v>
      </c>
      <c r="D6" s="3172"/>
      <c r="E6" s="3174" t="s">
        <v>2499</v>
      </c>
      <c r="F6" s="3175"/>
      <c r="G6" s="3171" t="s">
        <v>2499</v>
      </c>
      <c r="H6" s="3172"/>
      <c r="I6" s="3171" t="s">
        <v>2499</v>
      </c>
      <c r="J6" s="3172"/>
      <c r="K6" s="609" t="s">
        <v>2500</v>
      </c>
      <c r="L6" s="1132"/>
      <c r="M6" s="1133"/>
      <c r="N6" s="1133"/>
      <c r="O6" s="1133"/>
      <c r="P6" s="3185"/>
      <c r="Q6" s="3186"/>
      <c r="R6" s="3166"/>
      <c r="S6" s="3167"/>
      <c r="T6" s="3187"/>
      <c r="U6" s="3188"/>
      <c r="V6" s="3189"/>
      <c r="W6" s="3189"/>
      <c r="X6" s="1814"/>
      <c r="Y6" s="3187"/>
      <c r="Z6" s="3188"/>
      <c r="AA6" s="3161"/>
      <c r="AB6" s="3161"/>
      <c r="AC6" s="3161"/>
    </row>
    <row r="7" spans="1:29" s="116" customFormat="1" ht="15.75" thickBot="1">
      <c r="A7" s="407" t="s">
        <v>2501</v>
      </c>
      <c r="B7" s="408"/>
      <c r="C7" s="409">
        <f>'数据-取费表'!B2</f>
        <v>43206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2" t="s">
        <v>2502</v>
      </c>
      <c r="Q7" s="3190"/>
      <c r="R7" s="769" t="s">
        <v>17</v>
      </c>
      <c r="S7" s="770">
        <f t="shared" ref="S7:S15" si="0">F7</f>
        <v>0</v>
      </c>
      <c r="T7" s="769" t="s">
        <v>17</v>
      </c>
      <c r="U7" s="770">
        <f t="shared" ref="U7:U15" si="1">H7</f>
        <v>0</v>
      </c>
      <c r="V7" s="769" t="s">
        <v>17</v>
      </c>
      <c r="W7" s="770">
        <f t="shared" ref="W7:W15" si="2">J7</f>
        <v>0</v>
      </c>
      <c r="X7" s="771"/>
      <c r="Y7" s="3162" t="s">
        <v>2502</v>
      </c>
      <c r="Z7" s="3163"/>
      <c r="AA7" s="772" t="e">
        <f>D7/F7</f>
        <v>#DIV/0!</v>
      </c>
      <c r="AB7" s="772" t="e">
        <f>D7/H7</f>
        <v>#DIV/0!</v>
      </c>
      <c r="AC7" s="772" t="e">
        <f>D7/J7</f>
        <v>#DIV/0!</v>
      </c>
    </row>
    <row r="8" spans="1:29" s="116" customFormat="1" ht="15.75" thickBot="1">
      <c r="A8" s="407" t="s">
        <v>2503</v>
      </c>
      <c r="B8" s="408"/>
      <c r="C8" s="413" t="s">
        <v>2504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2" t="s">
        <v>2505</v>
      </c>
      <c r="Q8" s="3163"/>
      <c r="R8" s="769" t="s">
        <v>17</v>
      </c>
      <c r="S8" s="770">
        <f t="shared" si="0"/>
        <v>0</v>
      </c>
      <c r="T8" s="769" t="s">
        <v>17</v>
      </c>
      <c r="U8" s="770">
        <f t="shared" si="1"/>
        <v>0</v>
      </c>
      <c r="V8" s="769" t="s">
        <v>17</v>
      </c>
      <c r="W8" s="770">
        <f t="shared" si="2"/>
        <v>0</v>
      </c>
      <c r="X8" s="771"/>
      <c r="Y8" s="3162" t="s">
        <v>2505</v>
      </c>
      <c r="Z8" s="3163"/>
      <c r="AA8" s="772" t="e">
        <f t="shared" ref="AA8:AA40" si="3">D8/F8</f>
        <v>#DIV/0!</v>
      </c>
      <c r="AB8" s="772" t="e">
        <f t="shared" ref="AB8:AB40" si="4">D8/H8</f>
        <v>#DIV/0!</v>
      </c>
      <c r="AC8" s="772" t="e">
        <f t="shared" ref="AC8:AC40" si="5">D8/J8</f>
        <v>#DIV/0!</v>
      </c>
    </row>
    <row r="9" spans="1:29" s="116" customFormat="1">
      <c r="A9" s="414" t="s">
        <v>2506</v>
      </c>
      <c r="B9" s="70" t="s">
        <v>2507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6"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6"/>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2511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6"/>
      <c r="Q11" s="179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76"/>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76"/>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76"/>
      <c r="Q14" s="179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5">
      <c r="A15" s="439" t="s">
        <v>2512</v>
      </c>
      <c r="B15" s="68" t="s">
        <v>2656</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1" t="s">
        <v>2513</v>
      </c>
      <c r="Q15" s="1811" t="str">
        <f t="shared" si="6"/>
        <v>产业集聚程度</v>
      </c>
      <c r="R15" s="773" t="s">
        <v>17</v>
      </c>
      <c r="S15" s="774">
        <f t="shared" si="0"/>
        <v>100</v>
      </c>
      <c r="T15" s="773" t="s">
        <v>17</v>
      </c>
      <c r="U15" s="774">
        <f t="shared" si="1"/>
        <v>100</v>
      </c>
      <c r="V15" s="773" t="s">
        <v>17</v>
      </c>
      <c r="W15" s="774">
        <f t="shared" si="2"/>
        <v>100</v>
      </c>
      <c r="X15" s="1814"/>
      <c r="Y15" s="3191" t="s">
        <v>2513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2"/>
      <c r="Q16" s="1811"/>
      <c r="R16" s="773"/>
      <c r="S16" s="774"/>
      <c r="T16" s="773"/>
      <c r="U16" s="774"/>
      <c r="V16" s="773"/>
      <c r="W16" s="774"/>
      <c r="X16" s="1814"/>
      <c r="Y16" s="3192"/>
      <c r="Z16" s="1815"/>
      <c r="AA16" s="1812">
        <v>1</v>
      </c>
      <c r="AB16" s="1812">
        <v>1</v>
      </c>
      <c r="AC16" s="1812">
        <v>1</v>
      </c>
    </row>
    <row r="17" spans="1:29" ht="15">
      <c r="A17" s="427"/>
      <c r="B17" s="450" t="s">
        <v>2052</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2"/>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41"/>
      <c r="P18" s="3192"/>
      <c r="Q18" s="1811"/>
      <c r="R18" s="773"/>
      <c r="S18" s="774"/>
      <c r="T18" s="773"/>
      <c r="U18" s="774"/>
      <c r="V18" s="773"/>
      <c r="W18" s="774"/>
      <c r="X18" s="1814"/>
      <c r="Y18" s="3192"/>
      <c r="Z18" s="1815"/>
      <c r="AA18" s="1812">
        <v>1</v>
      </c>
      <c r="AB18" s="1812">
        <v>1</v>
      </c>
      <c r="AC18" s="1812">
        <v>1</v>
      </c>
    </row>
    <row r="19" spans="1:29" ht="15">
      <c r="A19" s="427"/>
      <c r="B19" s="450" t="s">
        <v>2641</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2"/>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41"/>
      <c r="P20" s="3192"/>
      <c r="Q20" s="1811"/>
      <c r="R20" s="773"/>
      <c r="S20" s="774"/>
      <c r="T20" s="773"/>
      <c r="U20" s="774"/>
      <c r="V20" s="773"/>
      <c r="W20" s="774"/>
      <c r="X20" s="1814"/>
      <c r="Y20" s="3192"/>
      <c r="Z20" s="1815"/>
      <c r="AA20" s="1812">
        <v>1</v>
      </c>
      <c r="AB20" s="1812">
        <v>1</v>
      </c>
      <c r="AC20" s="1812">
        <v>1</v>
      </c>
    </row>
    <row r="21" spans="1:29" ht="15">
      <c r="A21" s="427"/>
      <c r="B21" s="1386" t="s">
        <v>2642</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2"/>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41"/>
      <c r="P22" s="3192"/>
      <c r="Q22" s="1811"/>
      <c r="R22" s="773"/>
      <c r="S22" s="774"/>
      <c r="T22" s="773"/>
      <c r="U22" s="774"/>
      <c r="V22" s="773"/>
      <c r="W22" s="774"/>
      <c r="X22" s="1814"/>
      <c r="Y22" s="3192"/>
      <c r="Z22" s="1815"/>
      <c r="AA22" s="1812">
        <v>1</v>
      </c>
      <c r="AB22" s="1812">
        <v>1</v>
      </c>
      <c r="AC22" s="1812">
        <v>1</v>
      </c>
    </row>
    <row r="23" spans="1:29" ht="15">
      <c r="A23" s="427"/>
      <c r="B23" s="450" t="s">
        <v>2643</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2"/>
      <c r="Q23" s="1811" t="str">
        <f>B23</f>
        <v>环境质量</v>
      </c>
      <c r="R23" s="773" t="s">
        <v>17</v>
      </c>
      <c r="S23" s="774">
        <f>F23</f>
        <v>100</v>
      </c>
      <c r="T23" s="773" t="s">
        <v>17</v>
      </c>
      <c r="U23" s="774">
        <f>H23</f>
        <v>100</v>
      </c>
      <c r="V23" s="773" t="s">
        <v>17</v>
      </c>
      <c r="W23" s="774">
        <f>J23</f>
        <v>100</v>
      </c>
      <c r="X23" s="1814"/>
      <c r="Y23" s="3192"/>
      <c r="Z23" s="1815" t="str">
        <f>Q23</f>
        <v>环境质量</v>
      </c>
      <c r="AA23" s="1812">
        <f t="shared" si="3"/>
        <v>1</v>
      </c>
      <c r="AB23" s="1812">
        <f t="shared" si="4"/>
        <v>1</v>
      </c>
      <c r="AC23" s="1812">
        <f t="shared" si="5"/>
        <v>1</v>
      </c>
    </row>
    <row r="24" spans="1:29" ht="15">
      <c r="A24" s="427"/>
      <c r="B24" s="1386"/>
      <c r="C24" s="446"/>
      <c r="D24" s="447"/>
      <c r="E24" s="2606"/>
      <c r="F24" s="448"/>
      <c r="G24" s="2605"/>
      <c r="H24" s="447"/>
      <c r="I24" s="2606"/>
      <c r="J24" s="447"/>
      <c r="K24" s="614"/>
      <c r="L24" s="1142"/>
      <c r="M24" s="1133"/>
      <c r="N24" s="1133"/>
      <c r="O24" s="1141"/>
      <c r="P24" s="3192"/>
      <c r="Q24" s="1811"/>
      <c r="R24" s="773"/>
      <c r="S24" s="774"/>
      <c r="T24" s="773"/>
      <c r="U24" s="774"/>
      <c r="V24" s="773"/>
      <c r="W24" s="774"/>
      <c r="X24" s="1814"/>
      <c r="Y24" s="3192"/>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2"/>
      <c r="Q25" s="1811">
        <f>B25</f>
        <v>111</v>
      </c>
      <c r="R25" s="773" t="s">
        <v>17</v>
      </c>
      <c r="S25" s="774">
        <f>F25</f>
        <v>100</v>
      </c>
      <c r="T25" s="773" t="s">
        <v>17</v>
      </c>
      <c r="U25" s="774">
        <f>H25</f>
        <v>100</v>
      </c>
      <c r="V25" s="773" t="s">
        <v>17</v>
      </c>
      <c r="W25" s="774">
        <f>J25</f>
        <v>100</v>
      </c>
      <c r="X25" s="1814"/>
      <c r="Y25" s="3192"/>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2"/>
      <c r="Q26" s="1811">
        <f t="shared" ref="Q26:Q40" si="11">B26</f>
        <v>111</v>
      </c>
      <c r="R26" s="773" t="s">
        <v>17</v>
      </c>
      <c r="S26" s="774">
        <f>F26</f>
        <v>100</v>
      </c>
      <c r="T26" s="773" t="s">
        <v>17</v>
      </c>
      <c r="U26" s="774">
        <f>H26</f>
        <v>100</v>
      </c>
      <c r="V26" s="773" t="s">
        <v>17</v>
      </c>
      <c r="W26" s="774">
        <f>J26</f>
        <v>100</v>
      </c>
      <c r="X26" s="1814"/>
      <c r="Y26" s="3192"/>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2"/>
      <c r="Q27" s="1796">
        <f t="shared" si="11"/>
        <v>111</v>
      </c>
      <c r="R27" s="769" t="s">
        <v>17</v>
      </c>
      <c r="S27" s="770">
        <f>F27</f>
        <v>100</v>
      </c>
      <c r="T27" s="769" t="s">
        <v>17</v>
      </c>
      <c r="U27" s="770">
        <f>H27</f>
        <v>100</v>
      </c>
      <c r="V27" s="769" t="s">
        <v>17</v>
      </c>
      <c r="W27" s="770">
        <f>J27</f>
        <v>100</v>
      </c>
      <c r="X27" s="771"/>
      <c r="Y27" s="3192"/>
      <c r="Z27" s="54">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2"/>
      <c r="Q28" s="1811">
        <f t="shared" si="11"/>
        <v>111</v>
      </c>
      <c r="R28" s="773" t="s">
        <v>17</v>
      </c>
      <c r="S28" s="774">
        <f t="shared" ref="S28:S40" si="12">F28</f>
        <v>100</v>
      </c>
      <c r="T28" s="773" t="s">
        <v>17</v>
      </c>
      <c r="U28" s="774">
        <f t="shared" ref="U28:U40" si="13">H28</f>
        <v>100</v>
      </c>
      <c r="V28" s="773" t="s">
        <v>17</v>
      </c>
      <c r="W28" s="774">
        <f t="shared" ref="W28:W40" si="14">J28</f>
        <v>100</v>
      </c>
      <c r="X28" s="1814"/>
      <c r="Y28" s="3192"/>
      <c r="Z28" s="1815">
        <f t="shared" ref="Z28:Z40" si="15">Q28</f>
        <v>111</v>
      </c>
      <c r="AA28" s="1812">
        <f t="shared" si="3"/>
        <v>1</v>
      </c>
      <c r="AB28" s="1812">
        <f t="shared" si="4"/>
        <v>1</v>
      </c>
      <c r="AC28" s="1812">
        <f t="shared" si="5"/>
        <v>1</v>
      </c>
    </row>
    <row r="29" spans="1:29" ht="15">
      <c r="A29" s="465" t="s">
        <v>2516</v>
      </c>
      <c r="B29" s="70" t="s">
        <v>2646</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93" t="s">
        <v>2518</v>
      </c>
      <c r="Q29" s="1811" t="str">
        <f t="shared" si="11"/>
        <v>建筑类型</v>
      </c>
      <c r="R29" s="773" t="s">
        <v>17</v>
      </c>
      <c r="S29" s="774">
        <f t="shared" si="12"/>
        <v>100</v>
      </c>
      <c r="T29" s="773" t="s">
        <v>17</v>
      </c>
      <c r="U29" s="774">
        <f t="shared" si="13"/>
        <v>100</v>
      </c>
      <c r="V29" s="773" t="s">
        <v>17</v>
      </c>
      <c r="W29" s="774">
        <f t="shared" si="14"/>
        <v>100</v>
      </c>
      <c r="X29" s="1814"/>
      <c r="Y29" s="3194" t="s">
        <v>2518</v>
      </c>
      <c r="Z29" s="1815" t="str">
        <f t="shared" si="15"/>
        <v>建筑类型</v>
      </c>
      <c r="AA29" s="1812">
        <f t="shared" si="3"/>
        <v>1</v>
      </c>
      <c r="AB29" s="1812">
        <f t="shared" si="4"/>
        <v>1</v>
      </c>
      <c r="AC29" s="1812">
        <f t="shared" si="5"/>
        <v>1</v>
      </c>
    </row>
    <row r="30" spans="1:29" s="470" customFormat="1" ht="15">
      <c r="A30" s="467"/>
      <c r="B30" s="421" t="s">
        <v>2519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2" t="e">
        <f t="shared" si="3"/>
        <v>#N/A</v>
      </c>
      <c r="AB30" s="1812" t="e">
        <f t="shared" si="4"/>
        <v>#N/A</v>
      </c>
      <c r="AC30" s="1812" t="e">
        <f t="shared" si="5"/>
        <v>#N/A</v>
      </c>
    </row>
    <row r="31" spans="1:29" ht="15">
      <c r="A31" s="471"/>
      <c r="B31" s="421" t="s">
        <v>2520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4"/>
      <c r="Q31" s="1811" t="str">
        <f t="shared" si="11"/>
        <v>建筑结构</v>
      </c>
      <c r="R31" s="773" t="s">
        <v>17</v>
      </c>
      <c r="S31" s="774">
        <f t="shared" si="12"/>
        <v>100</v>
      </c>
      <c r="T31" s="773" t="s">
        <v>17</v>
      </c>
      <c r="U31" s="774">
        <f t="shared" si="13"/>
        <v>100</v>
      </c>
      <c r="V31" s="773" t="s">
        <v>17</v>
      </c>
      <c r="W31" s="774">
        <f t="shared" si="14"/>
        <v>100</v>
      </c>
      <c r="X31" s="1814"/>
      <c r="Y31" s="3194"/>
      <c r="Z31" s="1815" t="str">
        <f t="shared" si="15"/>
        <v>建筑结构</v>
      </c>
      <c r="AA31" s="1812">
        <f t="shared" si="3"/>
        <v>1</v>
      </c>
      <c r="AB31" s="1812">
        <f t="shared" si="4"/>
        <v>1</v>
      </c>
      <c r="AC31" s="1812">
        <f t="shared" si="5"/>
        <v>1</v>
      </c>
    </row>
    <row r="32" spans="1:29" ht="15">
      <c r="A32" s="471"/>
      <c r="B32" s="421" t="s">
        <v>2614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4"/>
      <c r="Q32" s="1811" t="str">
        <f t="shared" si="11"/>
        <v>公共部分装修</v>
      </c>
      <c r="R32" s="773" t="s">
        <v>17</v>
      </c>
      <c r="S32" s="774">
        <f t="shared" si="12"/>
        <v>100</v>
      </c>
      <c r="T32" s="773" t="s">
        <v>17</v>
      </c>
      <c r="U32" s="774">
        <f t="shared" si="13"/>
        <v>100</v>
      </c>
      <c r="V32" s="773" t="s">
        <v>17</v>
      </c>
      <c r="W32" s="774">
        <f t="shared" si="14"/>
        <v>100</v>
      </c>
      <c r="X32" s="1814"/>
      <c r="Y32" s="3194"/>
      <c r="Z32" s="1815" t="str">
        <f t="shared" si="15"/>
        <v>公共部分装修</v>
      </c>
      <c r="AA32" s="1812">
        <f t="shared" si="3"/>
        <v>1</v>
      </c>
      <c r="AB32" s="1812">
        <f t="shared" si="4"/>
        <v>1</v>
      </c>
      <c r="AC32" s="1812">
        <f t="shared" si="5"/>
        <v>1</v>
      </c>
    </row>
    <row r="33" spans="1:29" ht="15">
      <c r="A33" s="471"/>
      <c r="B33" s="421" t="s">
        <v>2615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4"/>
      <c r="Q33" s="1811" t="str">
        <f t="shared" si="11"/>
        <v>成新度</v>
      </c>
      <c r="R33" s="773" t="s">
        <v>17</v>
      </c>
      <c r="S33" s="774" t="e">
        <f t="shared" si="12"/>
        <v>#N/A</v>
      </c>
      <c r="T33" s="773" t="s">
        <v>17</v>
      </c>
      <c r="U33" s="774" t="e">
        <f t="shared" si="13"/>
        <v>#N/A</v>
      </c>
      <c r="V33" s="773" t="s">
        <v>17</v>
      </c>
      <c r="W33" s="774" t="e">
        <f t="shared" si="14"/>
        <v>#N/A</v>
      </c>
      <c r="X33" s="1814"/>
      <c r="Y33" s="3194"/>
      <c r="Z33" s="1815" t="str">
        <f t="shared" si="15"/>
        <v>成新度</v>
      </c>
      <c r="AA33" s="1812" t="e">
        <f t="shared" si="3"/>
        <v>#N/A</v>
      </c>
      <c r="AB33" s="1812" t="e">
        <f t="shared" si="4"/>
        <v>#N/A</v>
      </c>
      <c r="AC33" s="1812" t="e">
        <f t="shared" si="5"/>
        <v>#N/A</v>
      </c>
    </row>
    <row r="34" spans="1:29" s="116" customFormat="1" ht="15">
      <c r="A34" s="472"/>
      <c r="B34" s="421" t="s">
        <v>2648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4"/>
      <c r="Q34" s="1796" t="str">
        <f t="shared" si="11"/>
        <v>物业管理</v>
      </c>
      <c r="R34" s="769" t="s">
        <v>17</v>
      </c>
      <c r="S34" s="770">
        <f t="shared" si="12"/>
        <v>100</v>
      </c>
      <c r="T34" s="769" t="s">
        <v>17</v>
      </c>
      <c r="U34" s="770">
        <f t="shared" si="13"/>
        <v>100</v>
      </c>
      <c r="V34" s="769" t="s">
        <v>17</v>
      </c>
      <c r="W34" s="770">
        <f t="shared" si="14"/>
        <v>100</v>
      </c>
      <c r="X34" s="771"/>
      <c r="Y34" s="3194"/>
      <c r="Z34" s="54" t="str">
        <f t="shared" si="15"/>
        <v>物业管理</v>
      </c>
      <c r="AA34" s="772">
        <f t="shared" si="3"/>
        <v>1</v>
      </c>
      <c r="AB34" s="772">
        <f t="shared" si="4"/>
        <v>1</v>
      </c>
      <c r="AC34" s="772">
        <f t="shared" si="5"/>
        <v>1</v>
      </c>
    </row>
    <row r="35" spans="1:29" ht="15">
      <c r="A35" s="471"/>
      <c r="B35" s="421" t="s">
        <v>2616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4" t="s">
        <v>2518</v>
      </c>
      <c r="Q35" s="1811" t="str">
        <f t="shared" si="11"/>
        <v>市政基础设施</v>
      </c>
      <c r="R35" s="773" t="s">
        <v>17</v>
      </c>
      <c r="S35" s="774">
        <f t="shared" si="12"/>
        <v>100</v>
      </c>
      <c r="T35" s="773" t="s">
        <v>17</v>
      </c>
      <c r="U35" s="774">
        <f t="shared" si="13"/>
        <v>100</v>
      </c>
      <c r="V35" s="773" t="s">
        <v>17</v>
      </c>
      <c r="W35" s="774">
        <f t="shared" si="14"/>
        <v>100</v>
      </c>
      <c r="X35" s="1814"/>
      <c r="Y35" s="3194" t="s">
        <v>2518</v>
      </c>
      <c r="Z35" s="1815" t="str">
        <f t="shared" si="15"/>
        <v>市政基础设施</v>
      </c>
      <c r="AA35" s="1812">
        <f t="shared" si="3"/>
        <v>1</v>
      </c>
      <c r="AB35" s="1812">
        <f t="shared" si="4"/>
        <v>1</v>
      </c>
      <c r="AC35" s="1812">
        <f t="shared" si="5"/>
        <v>1</v>
      </c>
    </row>
    <row r="36" spans="1:29" ht="15">
      <c r="A36" s="471"/>
      <c r="B36" s="421" t="s">
        <v>2621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4"/>
      <c r="Q36" s="1811" t="str">
        <f t="shared" si="11"/>
        <v>内部装修</v>
      </c>
      <c r="R36" s="773" t="s">
        <v>17</v>
      </c>
      <c r="S36" s="774">
        <f t="shared" si="12"/>
        <v>100</v>
      </c>
      <c r="T36" s="773" t="s">
        <v>17</v>
      </c>
      <c r="U36" s="774">
        <f t="shared" si="13"/>
        <v>100</v>
      </c>
      <c r="V36" s="773" t="s">
        <v>17</v>
      </c>
      <c r="W36" s="774">
        <f t="shared" si="14"/>
        <v>100</v>
      </c>
      <c r="X36" s="1814"/>
      <c r="Y36" s="3194"/>
      <c r="Z36" s="1815" t="str">
        <f t="shared" si="15"/>
        <v>内部装修</v>
      </c>
      <c r="AA36" s="1812">
        <f t="shared" si="3"/>
        <v>1</v>
      </c>
      <c r="AB36" s="1812">
        <f t="shared" si="4"/>
        <v>1</v>
      </c>
      <c r="AC36" s="1812">
        <f t="shared" si="5"/>
        <v>1</v>
      </c>
    </row>
    <row r="37" spans="1:29" ht="15">
      <c r="A37" s="471"/>
      <c r="B37" s="421" t="s">
        <v>2657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4"/>
      <c r="Q37" s="1811" t="str">
        <f t="shared" si="11"/>
        <v>内部装修状况</v>
      </c>
      <c r="R37" s="773" t="s">
        <v>17</v>
      </c>
      <c r="S37" s="774">
        <f t="shared" si="12"/>
        <v>100</v>
      </c>
      <c r="T37" s="773" t="s">
        <v>17</v>
      </c>
      <c r="U37" s="774">
        <f t="shared" si="13"/>
        <v>100</v>
      </c>
      <c r="V37" s="773" t="s">
        <v>17</v>
      </c>
      <c r="W37" s="774">
        <f t="shared" si="14"/>
        <v>100</v>
      </c>
      <c r="X37" s="1814"/>
      <c r="Y37" s="3194"/>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4"/>
      <c r="Q39" s="1811">
        <f t="shared" si="11"/>
        <v>111</v>
      </c>
      <c r="R39" s="773" t="s">
        <v>17</v>
      </c>
      <c r="S39" s="774">
        <f t="shared" si="12"/>
        <v>100</v>
      </c>
      <c r="T39" s="773" t="s">
        <v>17</v>
      </c>
      <c r="U39" s="774">
        <f t="shared" si="13"/>
        <v>100</v>
      </c>
      <c r="V39" s="773" t="s">
        <v>17</v>
      </c>
      <c r="W39" s="774">
        <f t="shared" si="14"/>
        <v>100</v>
      </c>
      <c r="X39" s="1814"/>
      <c r="Y39" s="3194"/>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7"/>
      <c r="Q40" s="1811">
        <f t="shared" si="11"/>
        <v>111</v>
      </c>
      <c r="R40" s="773" t="s">
        <v>17</v>
      </c>
      <c r="S40" s="774">
        <f t="shared" si="12"/>
        <v>100</v>
      </c>
      <c r="T40" s="773" t="s">
        <v>17</v>
      </c>
      <c r="U40" s="774">
        <f t="shared" si="13"/>
        <v>100</v>
      </c>
      <c r="V40" s="773" t="s">
        <v>17</v>
      </c>
      <c r="W40" s="774">
        <f t="shared" si="14"/>
        <v>100</v>
      </c>
      <c r="X40" s="1814"/>
      <c r="Y40" s="3237"/>
      <c r="Z40" s="1815">
        <f t="shared" si="15"/>
        <v>111</v>
      </c>
      <c r="AA40" s="1812">
        <f t="shared" si="3"/>
        <v>1</v>
      </c>
      <c r="AB40" s="1812">
        <f t="shared" si="4"/>
        <v>1</v>
      </c>
      <c r="AC40" s="1812">
        <f t="shared" si="5"/>
        <v>1</v>
      </c>
    </row>
    <row r="41" spans="1:29" ht="15">
      <c r="A41" s="478" t="s">
        <v>2530</v>
      </c>
      <c r="B41" s="479"/>
      <c r="C41" s="1409" t="s">
        <v>1</v>
      </c>
      <c r="D41" s="1410"/>
      <c r="E41" s="1411"/>
      <c r="F41" s="1412"/>
      <c r="G41" s="1413"/>
      <c r="H41" s="1414"/>
      <c r="I41" s="1411"/>
      <c r="J41" s="1414"/>
      <c r="K41" s="782"/>
      <c r="L41" s="1145"/>
      <c r="M41" s="1146"/>
      <c r="N41" s="1133"/>
      <c r="O41" s="1146"/>
      <c r="P41" s="3176" t="str">
        <f>A41</f>
        <v>成交单价（元/平方米）</v>
      </c>
      <c r="Q41" s="3176"/>
      <c r="R41" s="3233">
        <f>E41</f>
        <v>0</v>
      </c>
      <c r="S41" s="3233"/>
      <c r="T41" s="3233">
        <f>G41</f>
        <v>0</v>
      </c>
      <c r="U41" s="3233"/>
      <c r="V41" s="3233">
        <f>I41</f>
        <v>0</v>
      </c>
      <c r="W41" s="3233"/>
      <c r="X41" s="758"/>
      <c r="Y41" s="780"/>
      <c r="Z41" s="758"/>
      <c r="AA41" s="758"/>
      <c r="AB41" s="758"/>
      <c r="AC41" s="758"/>
    </row>
    <row r="42" spans="1:29" ht="15.75" thickBot="1">
      <c r="A42" s="485" t="s">
        <v>2622</v>
      </c>
      <c r="B42" s="486"/>
      <c r="C42" s="1415" t="e">
        <f>R43</f>
        <v>#DIV/0!</v>
      </c>
      <c r="D42" s="1416"/>
      <c r="E42" s="1417" t="e">
        <f>R42</f>
        <v>#DIV/0!</v>
      </c>
      <c r="F42" s="1417"/>
      <c r="G42" s="1415" t="e">
        <f>T42</f>
        <v>#DIV/0!</v>
      </c>
      <c r="H42" s="1416"/>
      <c r="I42" s="1417" t="e">
        <f>V42</f>
        <v>#DIV/0!</v>
      </c>
      <c r="J42" s="1416"/>
      <c r="K42" s="783"/>
      <c r="L42" s="1145"/>
      <c r="M42" s="1146"/>
      <c r="N42" s="1133"/>
      <c r="O42" s="1146"/>
      <c r="P42" s="3176" t="str">
        <f>A42</f>
        <v>比较价值（元/平方米）</v>
      </c>
      <c r="Q42" s="3176"/>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8"/>
      <c r="Y42" s="758"/>
      <c r="Z42" s="758"/>
      <c r="AA42" s="758"/>
      <c r="AB42" s="758"/>
      <c r="AC42" s="758"/>
    </row>
    <row r="43" spans="1:29" ht="15.75" thickBot="1">
      <c r="A43" s="491" t="s">
        <v>2623</v>
      </c>
      <c r="B43" s="492"/>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2" t="e">
        <f>IF(F1="售价",ROUND(AVERAGE(R42:V42),0),ROUND(AVERAGE(R42:V42),1))</f>
        <v>#DIV/0!</v>
      </c>
      <c r="S43" s="3232"/>
      <c r="T43" s="3232"/>
      <c r="U43" s="3232"/>
      <c r="V43" s="3232"/>
      <c r="W43" s="323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2627</v>
      </c>
      <c r="B51" s="758"/>
      <c r="C51" s="763"/>
      <c r="D51" s="763"/>
      <c r="E51" s="763"/>
      <c r="F51" s="764"/>
      <c r="G51" s="764"/>
      <c r="H51" s="763"/>
      <c r="I51" s="763"/>
      <c r="J51" s="763"/>
      <c r="K51" s="1162"/>
      <c r="L51" s="1163"/>
      <c r="M51" s="1161"/>
      <c r="N51" s="1161"/>
      <c r="O51" s="1161"/>
      <c r="P51" s="502"/>
      <c r="Q51" s="503"/>
    </row>
    <row r="52" spans="1:17" s="507" customFormat="1" ht="15">
      <c r="A52" s="504" t="s">
        <v>2501</v>
      </c>
      <c r="B52" s="505"/>
      <c r="C52" s="1575" t="str">
        <f>YEAR(C7)&amp;"-"&amp;MONTH(C7)</f>
        <v>2018-4</v>
      </c>
      <c r="D52" s="1576">
        <f>EDATE(C52,-1)</f>
        <v>43160</v>
      </c>
      <c r="E52" s="1576">
        <f t="shared" ref="E52:O52" si="16">EDATE(D52,-1)</f>
        <v>43132</v>
      </c>
      <c r="F52" s="1576">
        <f t="shared" si="16"/>
        <v>43101</v>
      </c>
      <c r="G52" s="1576">
        <f t="shared" si="16"/>
        <v>43070</v>
      </c>
      <c r="H52" s="1576">
        <f t="shared" si="16"/>
        <v>43040</v>
      </c>
      <c r="I52" s="1576">
        <f t="shared" si="16"/>
        <v>43009</v>
      </c>
      <c r="J52" s="1576">
        <f t="shared" si="16"/>
        <v>42979</v>
      </c>
      <c r="K52" s="1576">
        <f t="shared" si="16"/>
        <v>42948</v>
      </c>
      <c r="L52" s="1576">
        <f t="shared" si="16"/>
        <v>42917</v>
      </c>
      <c r="M52" s="1576">
        <f t="shared" si="16"/>
        <v>42887</v>
      </c>
      <c r="N52" s="1576">
        <f t="shared" si="16"/>
        <v>42856</v>
      </c>
      <c r="O52" s="1576">
        <f t="shared" si="16"/>
        <v>42826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2538</v>
      </c>
      <c r="B54" s="515"/>
      <c r="C54" s="516"/>
      <c r="D54" s="517"/>
      <c r="E54" s="517"/>
      <c r="F54" s="517"/>
      <c r="G54" s="517"/>
      <c r="H54" s="517"/>
      <c r="I54" s="517"/>
      <c r="J54" s="517"/>
      <c r="K54" s="517"/>
      <c r="L54" s="517"/>
      <c r="M54" s="518"/>
      <c r="N54" s="517"/>
      <c r="O54" s="519"/>
      <c r="P54" s="503"/>
      <c r="Q54" s="503"/>
    </row>
    <row r="55" spans="1:17" s="116" customFormat="1" ht="15">
      <c r="A55" s="520" t="s">
        <v>2503</v>
      </c>
      <c r="B55" s="509"/>
      <c r="C55" s="521" t="s">
        <v>2605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2541</v>
      </c>
      <c r="B57" s="527" t="s">
        <v>2507</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2510</v>
      </c>
      <c r="C59" s="538" t="s">
        <v>2542</v>
      </c>
      <c r="D59" s="538" t="s">
        <v>2543</v>
      </c>
      <c r="E59" s="538" t="s">
        <v>2544</v>
      </c>
      <c r="F59" s="538" t="s">
        <v>2545</v>
      </c>
      <c r="G59" s="538" t="s">
        <v>2546</v>
      </c>
      <c r="H59" s="538" t="s">
        <v>2547</v>
      </c>
      <c r="I59" s="538" t="s">
        <v>2548</v>
      </c>
      <c r="J59" s="538"/>
      <c r="K59" s="539"/>
      <c r="L59" s="540"/>
      <c r="M59" s="541"/>
      <c r="N59" s="1154"/>
      <c r="O59" s="1154"/>
      <c r="P59" s="44"/>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2511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2512</v>
      </c>
      <c r="B70" s="527" t="s">
        <v>2658</v>
      </c>
      <c r="C70" s="572" t="s">
        <v>2550</v>
      </c>
      <c r="D70" s="572" t="s">
        <v>2551</v>
      </c>
      <c r="E70" s="572" t="s">
        <v>2552</v>
      </c>
      <c r="F70" s="572" t="s">
        <v>2553</v>
      </c>
      <c r="G70" s="572" t="s">
        <v>2554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2555</v>
      </c>
      <c r="C72" s="577" t="s">
        <v>2550</v>
      </c>
      <c r="D72" s="577" t="s">
        <v>2551</v>
      </c>
      <c r="E72" s="577" t="s">
        <v>2552</v>
      </c>
      <c r="F72" s="577" t="s">
        <v>2553</v>
      </c>
      <c r="G72" s="577" t="s">
        <v>2554</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2556</v>
      </c>
      <c r="C74" s="577" t="s">
        <v>2550</v>
      </c>
      <c r="D74" s="577" t="s">
        <v>2551</v>
      </c>
      <c r="E74" s="577" t="s">
        <v>2552</v>
      </c>
      <c r="F74" s="577" t="s">
        <v>2553</v>
      </c>
      <c r="G74" s="577" t="s">
        <v>2554</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2642</v>
      </c>
      <c r="C76" s="659" t="s">
        <v>2628</v>
      </c>
      <c r="D76" s="659" t="s">
        <v>2629</v>
      </c>
      <c r="E76" s="659" t="s">
        <v>2630</v>
      </c>
      <c r="F76" s="659" t="s">
        <v>2631</v>
      </c>
      <c r="G76" s="659" t="s">
        <v>2632</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2651</v>
      </c>
      <c r="C78" s="577" t="s">
        <v>2550</v>
      </c>
      <c r="D78" s="577" t="s">
        <v>2551</v>
      </c>
      <c r="E78" s="577" t="s">
        <v>2552</v>
      </c>
      <c r="F78" s="577" t="s">
        <v>2553</v>
      </c>
      <c r="G78" s="577" t="s">
        <v>2554</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7"/>
      <c r="B87" s="568"/>
      <c r="C87" s="569"/>
      <c r="D87" s="569"/>
      <c r="E87" s="569"/>
      <c r="F87" s="569"/>
      <c r="G87" s="590"/>
      <c r="H87" s="590"/>
      <c r="I87" s="590"/>
      <c r="J87" s="590"/>
      <c r="K87" s="590"/>
      <c r="L87" s="590"/>
      <c r="M87" s="591"/>
      <c r="N87" s="1155"/>
      <c r="O87" s="1155"/>
      <c r="P87" s="44"/>
      <c r="Q87" s="503"/>
    </row>
    <row r="88" spans="1:17">
      <c r="A88" s="526" t="s">
        <v>2516</v>
      </c>
      <c r="B88" s="527" t="s">
        <v>2565</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2566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2567</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2569</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1956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2570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2571</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2573</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2659</v>
      </c>
      <c r="C106" s="577" t="s">
        <v>2550</v>
      </c>
      <c r="D106" s="577" t="s">
        <v>2551</v>
      </c>
      <c r="E106" s="577" t="s">
        <v>2552</v>
      </c>
      <c r="F106" s="577" t="s">
        <v>2553</v>
      </c>
      <c r="G106" s="577" t="s">
        <v>2554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23"/>
      <c r="F1" s="2585"/>
      <c r="G1" s="1624" t="s">
        <v>2596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2280</v>
      </c>
      <c r="B2" s="1420" t="e">
        <f ca="1">IF(C2="——",IF(B37="元/平方米",ROUND(C39*D3/10000,0),ROUND(F3*C39/10000,0)),IF(B37="元/平方米",ROUND(C39*D3/10000,0),ROUND(F3*C39/10000,0))-D2)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2282</v>
      </c>
      <c r="B3" s="608" t="e">
        <f ca="1">IF(AND(C2="——",B37="元/平方米"),C39,ROUND(B2*10000/D3,0))</f>
        <v>#DIV/0!</v>
      </c>
      <c r="C3" s="399" t="s">
        <v>2597</v>
      </c>
      <c r="D3" s="398">
        <f>SUMIF('数据-汇总表'!$C19:$C33,D1,'数据-汇总表'!$E19:$E33)</f>
        <v>0</v>
      </c>
      <c r="E3" s="399" t="s">
        <v>2661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60" t="s">
        <v>2601</v>
      </c>
      <c r="AC4" s="3159" t="s">
        <v>2602</v>
      </c>
    </row>
    <row r="5" spans="1:29" ht="15">
      <c r="A5" s="403"/>
      <c r="B5" s="404"/>
      <c r="C5" s="3173" t="s">
        <v>2495</v>
      </c>
      <c r="D5" s="3170"/>
      <c r="E5" s="3168" t="s">
        <v>2496</v>
      </c>
      <c r="F5" s="3169"/>
      <c r="G5" s="3173" t="s">
        <v>2497</v>
      </c>
      <c r="H5" s="3170"/>
      <c r="I5" s="3173" t="s">
        <v>2498</v>
      </c>
      <c r="J5" s="3170"/>
      <c r="K5" s="609"/>
      <c r="L5" s="1132"/>
      <c r="M5" s="1133"/>
      <c r="N5" s="1133"/>
      <c r="O5" s="1133"/>
      <c r="P5" s="3183"/>
      <c r="Q5" s="3184"/>
      <c r="R5" s="3166"/>
      <c r="S5" s="3167"/>
      <c r="T5" s="3166"/>
      <c r="U5" s="3167"/>
      <c r="V5" s="3189"/>
      <c r="W5" s="3189"/>
      <c r="X5" s="1814"/>
      <c r="Y5" s="3166"/>
      <c r="Z5" s="3167"/>
      <c r="AA5" s="3160"/>
      <c r="AB5" s="3160"/>
      <c r="AC5" s="3160"/>
    </row>
    <row r="6" spans="1:29" ht="15.75" thickBot="1">
      <c r="A6" s="405"/>
      <c r="B6" s="406"/>
      <c r="C6" s="3171" t="s">
        <v>2499</v>
      </c>
      <c r="D6" s="3172"/>
      <c r="E6" s="3174" t="s">
        <v>2499</v>
      </c>
      <c r="F6" s="3175"/>
      <c r="G6" s="3171" t="s">
        <v>2499</v>
      </c>
      <c r="H6" s="3172"/>
      <c r="I6" s="3171" t="s">
        <v>2499</v>
      </c>
      <c r="J6" s="3172"/>
      <c r="K6" s="609" t="s">
        <v>2500</v>
      </c>
      <c r="L6" s="1132"/>
      <c r="M6" s="1133"/>
      <c r="N6" s="1133"/>
      <c r="O6" s="1133"/>
      <c r="P6" s="3185"/>
      <c r="Q6" s="3186"/>
      <c r="R6" s="3166"/>
      <c r="S6" s="3167"/>
      <c r="T6" s="3187"/>
      <c r="U6" s="3188"/>
      <c r="V6" s="3189"/>
      <c r="W6" s="3189"/>
      <c r="X6" s="1814"/>
      <c r="Y6" s="3187"/>
      <c r="Z6" s="3188"/>
      <c r="AA6" s="3161"/>
      <c r="AB6" s="3161"/>
      <c r="AC6" s="3161"/>
    </row>
    <row r="7" spans="1:29" s="116" customFormat="1" ht="15.75" thickBot="1">
      <c r="A7" s="407" t="s">
        <v>2501</v>
      </c>
      <c r="B7" s="408"/>
      <c r="C7" s="409">
        <f>'数据-取费表'!B2</f>
        <v>43206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2" t="s">
        <v>2502</v>
      </c>
      <c r="Q7" s="3190"/>
      <c r="R7" s="769" t="s">
        <v>17</v>
      </c>
      <c r="S7" s="770">
        <f t="shared" ref="S7:S14" si="0">F7</f>
        <v>0</v>
      </c>
      <c r="T7" s="769" t="s">
        <v>17</v>
      </c>
      <c r="U7" s="770">
        <f t="shared" ref="U7:U14" si="1">H7</f>
        <v>0</v>
      </c>
      <c r="V7" s="769" t="s">
        <v>17</v>
      </c>
      <c r="W7" s="770">
        <f t="shared" ref="W7:W14" si="2">J7</f>
        <v>0</v>
      </c>
      <c r="X7" s="771"/>
      <c r="Y7" s="3162" t="s">
        <v>2502</v>
      </c>
      <c r="Z7" s="3163"/>
      <c r="AA7" s="772" t="e">
        <f>D7/F7</f>
        <v>#DIV/0!</v>
      </c>
      <c r="AB7" s="772" t="e">
        <f>D7/H7</f>
        <v>#DIV/0!</v>
      </c>
      <c r="AC7" s="772" t="e">
        <f>D7/J7</f>
        <v>#DIV/0!</v>
      </c>
    </row>
    <row r="8" spans="1:29" s="116" customFormat="1" ht="15.75" thickBot="1">
      <c r="A8" s="407" t="s">
        <v>2503</v>
      </c>
      <c r="B8" s="408"/>
      <c r="C8" s="413" t="s">
        <v>2605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2" t="s">
        <v>2505</v>
      </c>
      <c r="Q8" s="3163"/>
      <c r="R8" s="769" t="s">
        <v>17</v>
      </c>
      <c r="S8" s="770">
        <f t="shared" si="0"/>
        <v>0</v>
      </c>
      <c r="T8" s="769" t="s">
        <v>17</v>
      </c>
      <c r="U8" s="770">
        <f t="shared" si="1"/>
        <v>0</v>
      </c>
      <c r="V8" s="769" t="s">
        <v>17</v>
      </c>
      <c r="W8" s="770">
        <f t="shared" si="2"/>
        <v>0</v>
      </c>
      <c r="X8" s="771"/>
      <c r="Y8" s="3162" t="s">
        <v>2505</v>
      </c>
      <c r="Z8" s="3163"/>
      <c r="AA8" s="772" t="e">
        <f t="shared" ref="AA8:AA36" si="3">D8/F8</f>
        <v>#DIV/0!</v>
      </c>
      <c r="AB8" s="772" t="e">
        <f t="shared" ref="AB8:AB36" si="4">D8/H8</f>
        <v>#DIV/0!</v>
      </c>
      <c r="AC8" s="772" t="e">
        <f t="shared" ref="AC8:AC36" si="5">D8/J8</f>
        <v>#DIV/0!</v>
      </c>
    </row>
    <row r="9" spans="1:29" s="116" customFormat="1">
      <c r="A9" s="67" t="s">
        <v>2506</v>
      </c>
      <c r="B9" s="639" t="s">
        <v>2507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6" t="s">
        <v>2508</v>
      </c>
      <c r="Q9" s="1796" t="str">
        <f t="shared" ref="Q9:Q14" si="6">B9</f>
        <v>用途</v>
      </c>
      <c r="R9" s="769" t="s">
        <v>17</v>
      </c>
      <c r="S9" s="770">
        <f t="shared" si="0"/>
        <v>100</v>
      </c>
      <c r="T9" s="769" t="s">
        <v>17</v>
      </c>
      <c r="U9" s="770">
        <f t="shared" si="1"/>
        <v>100</v>
      </c>
      <c r="V9" s="769" t="s">
        <v>17</v>
      </c>
      <c r="W9" s="770">
        <f t="shared" si="2"/>
        <v>100</v>
      </c>
      <c r="X9" s="771"/>
      <c r="Y9" s="3039" t="s">
        <v>2509</v>
      </c>
      <c r="Z9" s="54" t="str">
        <f t="shared" ref="Z9:Z14" si="7">Q9</f>
        <v>用途</v>
      </c>
      <c r="AA9" s="772">
        <f t="shared" si="3"/>
        <v>1</v>
      </c>
      <c r="AB9" s="772">
        <f t="shared" si="4"/>
        <v>1</v>
      </c>
      <c r="AC9" s="772">
        <f t="shared" si="5"/>
        <v>1</v>
      </c>
    </row>
    <row r="10" spans="1:29" s="426" customFormat="1" ht="27">
      <c r="A10" s="640"/>
      <c r="B10" s="641" t="s">
        <v>2510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6"/>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6"/>
      <c r="Q11" s="1796">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6"/>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6"/>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99.75">
      <c r="A14" s="400" t="s">
        <v>2512</v>
      </c>
      <c r="B14" s="628" t="s">
        <v>2662</v>
      </c>
      <c r="C14" s="2694" t="str">
        <f>IF(B1="工业",估价对象房地状况!G4,估价对象房地状况!C6)</f>
        <v>估价对象周边道路状况较好、公共交通通达情况较好、停车便捷程度较好，综合评价交通便捷度较好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1" t="s">
        <v>2513</v>
      </c>
      <c r="Q14" s="1811" t="str">
        <f t="shared" si="6"/>
        <v>交通便捷度</v>
      </c>
      <c r="R14" s="773" t="s">
        <v>17</v>
      </c>
      <c r="S14" s="774">
        <f t="shared" si="0"/>
        <v>100</v>
      </c>
      <c r="T14" s="773" t="s">
        <v>17</v>
      </c>
      <c r="U14" s="774">
        <f t="shared" si="1"/>
        <v>100</v>
      </c>
      <c r="V14" s="773" t="s">
        <v>17</v>
      </c>
      <c r="W14" s="774">
        <f t="shared" si="2"/>
        <v>100</v>
      </c>
      <c r="X14" s="1814"/>
      <c r="Y14" s="3191" t="s">
        <v>2513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2"/>
      <c r="Q15" s="1811"/>
      <c r="R15" s="773"/>
      <c r="S15" s="774"/>
      <c r="T15" s="773"/>
      <c r="U15" s="774"/>
      <c r="V15" s="773"/>
      <c r="W15" s="774"/>
      <c r="X15" s="1814"/>
      <c r="Y15" s="3192"/>
      <c r="Z15" s="1815"/>
      <c r="AA15" s="1812">
        <v>1</v>
      </c>
      <c r="AB15" s="1812">
        <v>1</v>
      </c>
      <c r="AC15" s="1812">
        <v>1</v>
      </c>
    </row>
    <row r="16" spans="1:29" ht="42.75">
      <c r="A16" s="403"/>
      <c r="B16" s="630" t="s">
        <v>2641</v>
      </c>
      <c r="C16" s="2608"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2"/>
      <c r="Q16" s="1811" t="str">
        <f>B16</f>
        <v>公共配套设施</v>
      </c>
      <c r="R16" s="773" t="s">
        <v>17</v>
      </c>
      <c r="S16" s="774">
        <f>F16</f>
        <v>100</v>
      </c>
      <c r="T16" s="773" t="s">
        <v>17</v>
      </c>
      <c r="U16" s="774">
        <f>H16</f>
        <v>100</v>
      </c>
      <c r="V16" s="773" t="s">
        <v>17</v>
      </c>
      <c r="W16" s="774">
        <f>J16</f>
        <v>100</v>
      </c>
      <c r="X16" s="1814"/>
      <c r="Y16" s="3192"/>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2"/>
      <c r="M17" s="1133"/>
      <c r="N17" s="1133"/>
      <c r="O17" s="1133"/>
      <c r="P17" s="3192"/>
      <c r="Q17" s="1811"/>
      <c r="R17" s="773"/>
      <c r="S17" s="774"/>
      <c r="T17" s="773"/>
      <c r="U17" s="774"/>
      <c r="V17" s="773"/>
      <c r="W17" s="774"/>
      <c r="X17" s="1814"/>
      <c r="Y17" s="3192"/>
      <c r="Z17" s="1815"/>
      <c r="AA17" s="1812">
        <v>1</v>
      </c>
      <c r="AB17" s="1812">
        <v>1</v>
      </c>
      <c r="AC17" s="1812">
        <v>1</v>
      </c>
    </row>
    <row r="18" spans="1:29" ht="42.75">
      <c r="A18" s="403"/>
      <c r="B18" s="632" t="s">
        <v>2642</v>
      </c>
      <c r="C18" s="2608"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2"/>
      <c r="Q18" s="1811" t="str">
        <f>B18</f>
        <v>基础设施水平</v>
      </c>
      <c r="R18" s="773" t="s">
        <v>17</v>
      </c>
      <c r="S18" s="774">
        <f>F18</f>
        <v>100</v>
      </c>
      <c r="T18" s="773" t="s">
        <v>17</v>
      </c>
      <c r="U18" s="774">
        <f>H18</f>
        <v>100</v>
      </c>
      <c r="V18" s="773" t="s">
        <v>17</v>
      </c>
      <c r="W18" s="774">
        <f>J18</f>
        <v>100</v>
      </c>
      <c r="X18" s="1814"/>
      <c r="Y18" s="3192"/>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5"/>
      <c r="L19" s="1142"/>
      <c r="M19" s="1133"/>
      <c r="N19" s="1133"/>
      <c r="O19" s="1133"/>
      <c r="P19" s="3192"/>
      <c r="Q19" s="1811"/>
      <c r="R19" s="773"/>
      <c r="S19" s="774"/>
      <c r="T19" s="773"/>
      <c r="U19" s="774"/>
      <c r="V19" s="773"/>
      <c r="W19" s="774"/>
      <c r="X19" s="1814"/>
      <c r="Y19" s="3192"/>
      <c r="Z19" s="1815"/>
      <c r="AA19" s="1812">
        <v>1</v>
      </c>
      <c r="AB19" s="1812">
        <v>1</v>
      </c>
      <c r="AC19" s="1812">
        <v>1</v>
      </c>
    </row>
    <row r="20" spans="1:29" ht="57">
      <c r="A20" s="403"/>
      <c r="B20" s="630" t="s">
        <v>2663</v>
      </c>
      <c r="C20" s="2608" t="str">
        <f>IF(B1="工业",估价对象房地状况!G7,估价对象房地状况!C9)</f>
        <v>区域自然环境：；人文环境；综合评价环境状况较好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2"/>
      <c r="Q20" s="1811" t="str">
        <f>B20</f>
        <v>自然及人文环境</v>
      </c>
      <c r="R20" s="773" t="s">
        <v>17</v>
      </c>
      <c r="S20" s="774">
        <f>F20</f>
        <v>100</v>
      </c>
      <c r="T20" s="773" t="s">
        <v>17</v>
      </c>
      <c r="U20" s="774">
        <f>H20</f>
        <v>100</v>
      </c>
      <c r="V20" s="773" t="s">
        <v>17</v>
      </c>
      <c r="W20" s="774">
        <f>J20</f>
        <v>100</v>
      </c>
      <c r="X20" s="1814"/>
      <c r="Y20" s="3192"/>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2"/>
      <c r="Q21" s="1811"/>
      <c r="R21" s="773"/>
      <c r="S21" s="774"/>
      <c r="T21" s="773"/>
      <c r="U21" s="774"/>
      <c r="V21" s="773"/>
      <c r="W21" s="774"/>
      <c r="X21" s="1814"/>
      <c r="Y21" s="3192"/>
      <c r="Z21" s="1815"/>
      <c r="AA21" s="1812">
        <v>1</v>
      </c>
      <c r="AB21" s="1812">
        <v>1</v>
      </c>
      <c r="AC21" s="1812">
        <v>1</v>
      </c>
    </row>
    <row r="22" spans="1:29" ht="15">
      <c r="A22" s="403"/>
      <c r="B22" s="630" t="s">
        <v>2664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2"/>
      <c r="Q22" s="1811" t="str">
        <f>B22</f>
        <v>楼层</v>
      </c>
      <c r="R22" s="773" t="s">
        <v>17</v>
      </c>
      <c r="S22" s="774">
        <f>F22</f>
        <v>100</v>
      </c>
      <c r="T22" s="773" t="s">
        <v>17</v>
      </c>
      <c r="U22" s="774">
        <f>H22</f>
        <v>100</v>
      </c>
      <c r="V22" s="773" t="s">
        <v>17</v>
      </c>
      <c r="W22" s="774">
        <f>J22</f>
        <v>100</v>
      </c>
      <c r="X22" s="1814"/>
      <c r="Y22" s="3192"/>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2"/>
      <c r="Q23" s="1811">
        <f>B23</f>
        <v>111</v>
      </c>
      <c r="R23" s="773" t="s">
        <v>17</v>
      </c>
      <c r="S23" s="774">
        <f>F23</f>
        <v>100</v>
      </c>
      <c r="T23" s="773" t="s">
        <v>17</v>
      </c>
      <c r="U23" s="774">
        <f>H23</f>
        <v>100</v>
      </c>
      <c r="V23" s="773" t="s">
        <v>17</v>
      </c>
      <c r="W23" s="774">
        <f>J23</f>
        <v>100</v>
      </c>
      <c r="X23" s="1814"/>
      <c r="Y23" s="3192"/>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2"/>
      <c r="Q24" s="1811">
        <f t="shared" ref="Q24:Q36" si="11">B24</f>
        <v>111</v>
      </c>
      <c r="R24" s="773" t="s">
        <v>17</v>
      </c>
      <c r="S24" s="774">
        <f>F24</f>
        <v>100</v>
      </c>
      <c r="T24" s="773" t="s">
        <v>17</v>
      </c>
      <c r="U24" s="774">
        <f>H24</f>
        <v>100</v>
      </c>
      <c r="V24" s="773" t="s">
        <v>17</v>
      </c>
      <c r="W24" s="774">
        <f>J24</f>
        <v>100</v>
      </c>
      <c r="X24" s="1814"/>
      <c r="Y24" s="3192"/>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2"/>
      <c r="Q25" s="1796">
        <f t="shared" si="11"/>
        <v>111</v>
      </c>
      <c r="R25" s="769" t="s">
        <v>17</v>
      </c>
      <c r="S25" s="770">
        <f>F25</f>
        <v>100</v>
      </c>
      <c r="T25" s="769" t="s">
        <v>17</v>
      </c>
      <c r="U25" s="770">
        <f>H25</f>
        <v>100</v>
      </c>
      <c r="V25" s="769" t="s">
        <v>17</v>
      </c>
      <c r="W25" s="770">
        <f>J25</f>
        <v>100</v>
      </c>
      <c r="X25" s="771"/>
      <c r="Y25" s="3192"/>
      <c r="Z25" s="54">
        <f>Q25</f>
        <v>111</v>
      </c>
      <c r="AA25" s="1812">
        <f>D25/F25</f>
        <v>1</v>
      </c>
      <c r="AB25" s="1812">
        <f>D25/H25</f>
        <v>1</v>
      </c>
      <c r="AC25" s="1812">
        <f>D25/J25</f>
        <v>1</v>
      </c>
    </row>
    <row r="26" spans="1:29" ht="15">
      <c r="A26" s="651" t="s">
        <v>2516</v>
      </c>
      <c r="B26" s="69" t="s">
        <v>2665</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3" t="s">
        <v>2518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4" t="s">
        <v>2518</v>
      </c>
      <c r="Z26" s="1815" t="str">
        <f t="shared" ref="Z26:Z36" si="15">Q26</f>
        <v>配套类型</v>
      </c>
      <c r="AA26" s="1812">
        <f t="shared" si="3"/>
        <v>1</v>
      </c>
      <c r="AB26" s="1812">
        <f t="shared" si="4"/>
        <v>1</v>
      </c>
      <c r="AC26" s="1812">
        <f t="shared" si="5"/>
        <v>1</v>
      </c>
    </row>
    <row r="27" spans="1:29" s="470" customFormat="1" ht="15">
      <c r="A27" s="652"/>
      <c r="B27" s="653" t="s">
        <v>2666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2">
        <f t="shared" si="3"/>
        <v>1</v>
      </c>
      <c r="AB27" s="1812">
        <f t="shared" si="4"/>
        <v>1</v>
      </c>
      <c r="AC27" s="1812">
        <f t="shared" si="5"/>
        <v>1</v>
      </c>
    </row>
    <row r="28" spans="1:29" ht="15">
      <c r="A28" s="655"/>
      <c r="B28" s="653" t="s">
        <v>2667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4"/>
      <c r="Q28" s="1811" t="str">
        <f t="shared" si="11"/>
        <v>公共部分装修</v>
      </c>
      <c r="R28" s="773" t="s">
        <v>17</v>
      </c>
      <c r="S28" s="774">
        <f t="shared" si="12"/>
        <v>100</v>
      </c>
      <c r="T28" s="773" t="s">
        <v>17</v>
      </c>
      <c r="U28" s="774">
        <f t="shared" si="13"/>
        <v>100</v>
      </c>
      <c r="V28" s="773" t="s">
        <v>17</v>
      </c>
      <c r="W28" s="774">
        <f t="shared" si="14"/>
        <v>100</v>
      </c>
      <c r="X28" s="1814"/>
      <c r="Y28" s="3194"/>
      <c r="Z28" s="1815" t="str">
        <f t="shared" si="15"/>
        <v>公共部分装修</v>
      </c>
      <c r="AA28" s="1812">
        <f t="shared" si="3"/>
        <v>1</v>
      </c>
      <c r="AB28" s="1812">
        <f t="shared" si="4"/>
        <v>1</v>
      </c>
      <c r="AC28" s="1812">
        <f t="shared" si="5"/>
        <v>1</v>
      </c>
    </row>
    <row r="29" spans="1:29" ht="15">
      <c r="A29" s="655"/>
      <c r="B29" s="653" t="s">
        <v>2668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4"/>
      <c r="Q29" s="1811" t="str">
        <f t="shared" si="11"/>
        <v>成新率</v>
      </c>
      <c r="R29" s="773" t="s">
        <v>17</v>
      </c>
      <c r="S29" s="774" t="e">
        <f t="shared" si="12"/>
        <v>#N/A</v>
      </c>
      <c r="T29" s="773" t="s">
        <v>17</v>
      </c>
      <c r="U29" s="774" t="e">
        <f t="shared" si="13"/>
        <v>#N/A</v>
      </c>
      <c r="V29" s="773" t="s">
        <v>17</v>
      </c>
      <c r="W29" s="774" t="e">
        <f t="shared" si="14"/>
        <v>#N/A</v>
      </c>
      <c r="X29" s="1814"/>
      <c r="Y29" s="3194"/>
      <c r="Z29" s="1815" t="str">
        <f t="shared" si="15"/>
        <v>成新率</v>
      </c>
      <c r="AA29" s="1812" t="e">
        <f t="shared" si="3"/>
        <v>#N/A</v>
      </c>
      <c r="AB29" s="1812" t="e">
        <f t="shared" si="4"/>
        <v>#N/A</v>
      </c>
      <c r="AC29" s="1812" t="e">
        <f t="shared" si="5"/>
        <v>#N/A</v>
      </c>
    </row>
    <row r="30" spans="1:29" ht="15">
      <c r="A30" s="655"/>
      <c r="B30" s="653" t="s">
        <v>2669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4"/>
      <c r="Q30" s="1811" t="str">
        <f t="shared" si="11"/>
        <v>物业等级</v>
      </c>
      <c r="R30" s="773" t="s">
        <v>17</v>
      </c>
      <c r="S30" s="774">
        <f t="shared" si="12"/>
        <v>100</v>
      </c>
      <c r="T30" s="773" t="s">
        <v>17</v>
      </c>
      <c r="U30" s="774">
        <f t="shared" si="13"/>
        <v>100</v>
      </c>
      <c r="V30" s="773" t="s">
        <v>17</v>
      </c>
      <c r="W30" s="774">
        <f t="shared" si="14"/>
        <v>100</v>
      </c>
      <c r="X30" s="1814"/>
      <c r="Y30" s="3194"/>
      <c r="Z30" s="1815" t="str">
        <f t="shared" si="15"/>
        <v>物业等级</v>
      </c>
      <c r="AA30" s="1812">
        <f t="shared" si="3"/>
        <v>1</v>
      </c>
      <c r="AB30" s="1812">
        <f t="shared" si="4"/>
        <v>1</v>
      </c>
      <c r="AC30" s="1812">
        <f t="shared" si="5"/>
        <v>1</v>
      </c>
    </row>
    <row r="31" spans="1:29" s="116" customFormat="1" ht="15">
      <c r="A31" s="657"/>
      <c r="B31" s="653" t="s">
        <v>2670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4"/>
      <c r="Q31" s="1796" t="str">
        <f t="shared" si="11"/>
        <v>停车位面积</v>
      </c>
      <c r="R31" s="769" t="s">
        <v>17</v>
      </c>
      <c r="S31" s="770" t="e">
        <f t="shared" si="12"/>
        <v>#N/A</v>
      </c>
      <c r="T31" s="769" t="s">
        <v>17</v>
      </c>
      <c r="U31" s="770" t="e">
        <f t="shared" si="13"/>
        <v>#N/A</v>
      </c>
      <c r="V31" s="769" t="s">
        <v>17</v>
      </c>
      <c r="W31" s="770" t="e">
        <f t="shared" si="14"/>
        <v>#N/A</v>
      </c>
      <c r="X31" s="771"/>
      <c r="Y31" s="3194"/>
      <c r="Z31" s="54" t="str">
        <f t="shared" si="15"/>
        <v>停车位面积</v>
      </c>
      <c r="AA31" s="772" t="e">
        <f t="shared" si="3"/>
        <v>#N/A</v>
      </c>
      <c r="AB31" s="772" t="e">
        <f t="shared" si="4"/>
        <v>#N/A</v>
      </c>
      <c r="AC31" s="772" t="e">
        <f t="shared" si="5"/>
        <v>#N/A</v>
      </c>
    </row>
    <row r="32" spans="1:29" ht="15">
      <c r="A32" s="655"/>
      <c r="B32" s="653" t="s">
        <v>2671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4" t="s">
        <v>2518</v>
      </c>
      <c r="Q32" s="1811" t="str">
        <f t="shared" si="11"/>
        <v>车位类型</v>
      </c>
      <c r="R32" s="773" t="s">
        <v>17</v>
      </c>
      <c r="S32" s="774">
        <f t="shared" si="12"/>
        <v>100</v>
      </c>
      <c r="T32" s="773" t="s">
        <v>17</v>
      </c>
      <c r="U32" s="774">
        <f t="shared" si="13"/>
        <v>100</v>
      </c>
      <c r="V32" s="773" t="s">
        <v>17</v>
      </c>
      <c r="W32" s="774">
        <f t="shared" si="14"/>
        <v>100</v>
      </c>
      <c r="X32" s="1814"/>
      <c r="Y32" s="3194" t="s">
        <v>2518</v>
      </c>
      <c r="Z32" s="1815" t="str">
        <f t="shared" si="15"/>
        <v>车位类型</v>
      </c>
      <c r="AA32" s="1812">
        <f t="shared" si="3"/>
        <v>1</v>
      </c>
      <c r="AB32" s="1812">
        <f t="shared" si="4"/>
        <v>1</v>
      </c>
      <c r="AC32" s="1812">
        <f t="shared" si="5"/>
        <v>1</v>
      </c>
    </row>
    <row r="33" spans="1:29" ht="15">
      <c r="A33" s="655"/>
      <c r="B33" s="653" t="s">
        <v>2672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4"/>
      <c r="Q33" s="1811" t="str">
        <f t="shared" si="11"/>
        <v>是否直接入户</v>
      </c>
      <c r="R33" s="773" t="s">
        <v>17</v>
      </c>
      <c r="S33" s="774">
        <f t="shared" si="12"/>
        <v>100</v>
      </c>
      <c r="T33" s="773" t="s">
        <v>17</v>
      </c>
      <c r="U33" s="774">
        <f t="shared" si="13"/>
        <v>100</v>
      </c>
      <c r="V33" s="773" t="s">
        <v>17</v>
      </c>
      <c r="W33" s="774">
        <f t="shared" si="14"/>
        <v>100</v>
      </c>
      <c r="X33" s="1814"/>
      <c r="Y33" s="3194"/>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4"/>
      <c r="Q34" s="1811">
        <f t="shared" si="11"/>
        <v>111</v>
      </c>
      <c r="R34" s="773" t="s">
        <v>17</v>
      </c>
      <c r="S34" s="774">
        <f t="shared" si="12"/>
        <v>100</v>
      </c>
      <c r="T34" s="773" t="s">
        <v>17</v>
      </c>
      <c r="U34" s="774">
        <f t="shared" si="13"/>
        <v>100</v>
      </c>
      <c r="V34" s="773" t="s">
        <v>17</v>
      </c>
      <c r="W34" s="774">
        <f t="shared" si="14"/>
        <v>100</v>
      </c>
      <c r="X34" s="1814"/>
      <c r="Y34" s="3194"/>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4"/>
      <c r="Q36" s="1811">
        <f t="shared" si="11"/>
        <v>111</v>
      </c>
      <c r="R36" s="773" t="s">
        <v>17</v>
      </c>
      <c r="S36" s="774">
        <f t="shared" si="12"/>
        <v>100</v>
      </c>
      <c r="T36" s="773" t="s">
        <v>17</v>
      </c>
      <c r="U36" s="774">
        <f t="shared" si="13"/>
        <v>100</v>
      </c>
      <c r="V36" s="773" t="s">
        <v>17</v>
      </c>
      <c r="W36" s="774">
        <f t="shared" si="14"/>
        <v>100</v>
      </c>
      <c r="X36" s="1814"/>
      <c r="Y36" s="3194"/>
      <c r="Z36" s="1815">
        <f t="shared" si="15"/>
        <v>111</v>
      </c>
      <c r="AA36" s="1812">
        <f t="shared" si="3"/>
        <v>1</v>
      </c>
      <c r="AB36" s="1812">
        <f t="shared" si="4"/>
        <v>1</v>
      </c>
      <c r="AC36" s="1812">
        <f t="shared" si="5"/>
        <v>1</v>
      </c>
    </row>
    <row r="37" spans="1:29" ht="15">
      <c r="A37" s="478" t="s">
        <v>2673</v>
      </c>
      <c r="B37" s="2696" t="s">
        <v>2674</v>
      </c>
      <c r="C37" s="1409" t="s">
        <v>1</v>
      </c>
      <c r="D37" s="1410"/>
      <c r="E37" s="1411"/>
      <c r="F37" s="1412"/>
      <c r="G37" s="1413"/>
      <c r="H37" s="1414"/>
      <c r="I37" s="1411"/>
      <c r="J37" s="1414"/>
      <c r="K37" s="618"/>
      <c r="L37" s="1145"/>
      <c r="M37" s="1146"/>
      <c r="N37" s="1133"/>
      <c r="O37" s="1146"/>
      <c r="P37" s="3176" t="str">
        <f>A37</f>
        <v>成交单价</v>
      </c>
      <c r="Q37" s="3176"/>
      <c r="R37" s="3233">
        <f>E37</f>
        <v>0</v>
      </c>
      <c r="S37" s="3233"/>
      <c r="T37" s="3233">
        <f>G37</f>
        <v>0</v>
      </c>
      <c r="U37" s="3233"/>
      <c r="V37" s="3233">
        <f>I37</f>
        <v>0</v>
      </c>
      <c r="W37" s="3233"/>
      <c r="X37" s="758"/>
      <c r="Y37" s="780"/>
      <c r="Z37" s="758"/>
      <c r="AA37" s="758"/>
      <c r="AB37" s="758"/>
      <c r="AC37" s="758"/>
    </row>
    <row r="38" spans="1:29" ht="15.75" thickBot="1">
      <c r="A38" s="485" t="s">
        <v>2675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6" t="str">
        <f>A38</f>
        <v>比较价值（元/平方米）</v>
      </c>
      <c r="Q38" s="3176"/>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8"/>
      <c r="Y38" s="758"/>
      <c r="Z38" s="758"/>
      <c r="AA38" s="758"/>
      <c r="AB38" s="758"/>
      <c r="AC38" s="758"/>
    </row>
    <row r="39" spans="1:29" ht="15.75" thickBot="1">
      <c r="A39" s="491" t="s">
        <v>2676</v>
      </c>
      <c r="B39" s="492"/>
      <c r="C39" s="1419" t="e">
        <f>R39</f>
        <v>#DIV/0!</v>
      </c>
      <c r="D39" s="1419"/>
      <c r="E39" s="1419"/>
      <c r="F39" s="1419"/>
      <c r="G39" s="1419"/>
      <c r="H39" s="1419"/>
      <c r="I39" s="1419"/>
      <c r="J39" s="1419"/>
      <c r="K39" s="620"/>
      <c r="L39" s="1145"/>
      <c r="M39" s="1146"/>
      <c r="N39" s="1146"/>
      <c r="O39" s="1146"/>
      <c r="P39" s="3196" t="str">
        <f>A39</f>
        <v>估价对象XX用房的比较价值（楼面单价，元/平方米）</v>
      </c>
      <c r="Q39" s="3197"/>
      <c r="R39" s="3232" t="e">
        <f>IF(F1="售价",ROUND(AVERAGE(R38:V38),0),ROUND(AVERAGE(R38:V38),1))</f>
        <v>#DIV/0!</v>
      </c>
      <c r="S39" s="3232"/>
      <c r="T39" s="3232"/>
      <c r="U39" s="3232"/>
      <c r="V39" s="3232"/>
      <c r="W39" s="323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2677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2678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2679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2681</v>
      </c>
      <c r="B48" s="505"/>
      <c r="C48" s="1575" t="str">
        <f>YEAR(C7)&amp;"-"&amp;MONTH(C7)</f>
        <v>2018-4</v>
      </c>
      <c r="D48" s="1576">
        <f>EDATE(C48,-1)</f>
        <v>43160</v>
      </c>
      <c r="E48" s="1576">
        <f t="shared" ref="E48:O48" si="16">EDATE(D48,-1)</f>
        <v>43132</v>
      </c>
      <c r="F48" s="1576">
        <f t="shared" si="16"/>
        <v>43101</v>
      </c>
      <c r="G48" s="1576">
        <f t="shared" si="16"/>
        <v>43070</v>
      </c>
      <c r="H48" s="1576">
        <f t="shared" si="16"/>
        <v>43040</v>
      </c>
      <c r="I48" s="1576">
        <f t="shared" si="16"/>
        <v>43009</v>
      </c>
      <c r="J48" s="1576">
        <f t="shared" si="16"/>
        <v>42979</v>
      </c>
      <c r="K48" s="1576">
        <f t="shared" si="16"/>
        <v>42948</v>
      </c>
      <c r="L48" s="1576">
        <f t="shared" si="16"/>
        <v>42917</v>
      </c>
      <c r="M48" s="1576">
        <f t="shared" si="16"/>
        <v>42887</v>
      </c>
      <c r="N48" s="1576">
        <f t="shared" si="16"/>
        <v>42856</v>
      </c>
      <c r="O48" s="1576">
        <f t="shared" si="16"/>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2538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2503</v>
      </c>
      <c r="B51" s="509"/>
      <c r="C51" s="521" t="s">
        <v>2605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2541</v>
      </c>
      <c r="B53" s="527" t="s">
        <v>2507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2510</v>
      </c>
      <c r="C55" s="538" t="s">
        <v>2542</v>
      </c>
      <c r="D55" s="538" t="s">
        <v>2543</v>
      </c>
      <c r="E55" s="538" t="s">
        <v>2544</v>
      </c>
      <c r="F55" s="538" t="s">
        <v>2545</v>
      </c>
      <c r="G55" s="538" t="s">
        <v>2546</v>
      </c>
      <c r="H55" s="538" t="s">
        <v>2547</v>
      </c>
      <c r="I55" s="538" t="s">
        <v>2548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2512</v>
      </c>
      <c r="B63" s="527" t="s">
        <v>2555</v>
      </c>
      <c r="C63" s="572" t="s">
        <v>2550</v>
      </c>
      <c r="D63" s="572" t="s">
        <v>2551</v>
      </c>
      <c r="E63" s="572" t="s">
        <v>2552</v>
      </c>
      <c r="F63" s="572" t="s">
        <v>2553</v>
      </c>
      <c r="G63" s="572" t="s">
        <v>2554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2556</v>
      </c>
      <c r="C65" s="577" t="s">
        <v>2550</v>
      </c>
      <c r="D65" s="577" t="s">
        <v>2551</v>
      </c>
      <c r="E65" s="577" t="s">
        <v>2552</v>
      </c>
      <c r="F65" s="577" t="s">
        <v>2553</v>
      </c>
      <c r="G65" s="577" t="s">
        <v>2554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2642</v>
      </c>
      <c r="C67" s="659" t="s">
        <v>2628</v>
      </c>
      <c r="D67" s="659" t="s">
        <v>2629</v>
      </c>
      <c r="E67" s="659" t="s">
        <v>2630</v>
      </c>
      <c r="F67" s="659" t="s">
        <v>2631</v>
      </c>
      <c r="G67" s="659" t="s">
        <v>2632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2562</v>
      </c>
      <c r="C69" s="577" t="s">
        <v>2550</v>
      </c>
      <c r="D69" s="577" t="s">
        <v>2551</v>
      </c>
      <c r="E69" s="577" t="s">
        <v>2552</v>
      </c>
      <c r="F69" s="577" t="s">
        <v>2553</v>
      </c>
      <c r="G69" s="577" t="s">
        <v>2554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2682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2516</v>
      </c>
      <c r="B79" s="527" t="s">
        <v>2683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2684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2569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2685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2686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2687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2688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2689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IF(C2="——",ROUND(C37*D3/10000,0),ROUND(C37*D3/10000,0)-D2)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IF(C2="——",C37,ROUND(B2*10000/D3,0))</f>
        <v>#DIV/0!</v>
      </c>
      <c r="C3" s="399" t="s">
        <v>2597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60" t="s">
        <v>2601</v>
      </c>
      <c r="AC4" s="3159" t="s">
        <v>2602</v>
      </c>
    </row>
    <row r="5" spans="1:29" ht="15">
      <c r="A5" s="403"/>
      <c r="B5" s="404"/>
      <c r="C5" s="3173" t="s">
        <v>2495</v>
      </c>
      <c r="D5" s="3170"/>
      <c r="E5" s="3168" t="s">
        <v>2496</v>
      </c>
      <c r="F5" s="3169"/>
      <c r="G5" s="3173" t="s">
        <v>2497</v>
      </c>
      <c r="H5" s="3170"/>
      <c r="I5" s="3173" t="s">
        <v>2498</v>
      </c>
      <c r="J5" s="3170"/>
      <c r="K5" s="609"/>
      <c r="L5" s="1132"/>
      <c r="M5" s="1133"/>
      <c r="N5" s="1133"/>
      <c r="O5" s="1133"/>
      <c r="P5" s="3183"/>
      <c r="Q5" s="3184"/>
      <c r="R5" s="3166"/>
      <c r="S5" s="3167"/>
      <c r="T5" s="3166"/>
      <c r="U5" s="3167"/>
      <c r="V5" s="3189"/>
      <c r="W5" s="3189"/>
      <c r="X5" s="1814"/>
      <c r="Y5" s="3166"/>
      <c r="Z5" s="3167"/>
      <c r="AA5" s="3160"/>
      <c r="AB5" s="3160"/>
      <c r="AC5" s="3160"/>
    </row>
    <row r="6" spans="1:29" ht="15.75" thickBot="1">
      <c r="A6" s="405"/>
      <c r="B6" s="406"/>
      <c r="C6" s="3171" t="s">
        <v>2499</v>
      </c>
      <c r="D6" s="3172"/>
      <c r="E6" s="3174" t="s">
        <v>2499</v>
      </c>
      <c r="F6" s="3175"/>
      <c r="G6" s="3171" t="s">
        <v>2499</v>
      </c>
      <c r="H6" s="3172"/>
      <c r="I6" s="3171" t="s">
        <v>2499</v>
      </c>
      <c r="J6" s="3172"/>
      <c r="K6" s="609" t="s">
        <v>2500</v>
      </c>
      <c r="L6" s="1132"/>
      <c r="M6" s="1133"/>
      <c r="N6" s="1133"/>
      <c r="O6" s="1133"/>
      <c r="P6" s="3185"/>
      <c r="Q6" s="3186"/>
      <c r="R6" s="3166"/>
      <c r="S6" s="3167"/>
      <c r="T6" s="3187"/>
      <c r="U6" s="3188"/>
      <c r="V6" s="3189"/>
      <c r="W6" s="3189"/>
      <c r="X6" s="1814"/>
      <c r="Y6" s="3187"/>
      <c r="Z6" s="3188"/>
      <c r="AA6" s="3161"/>
      <c r="AB6" s="3161"/>
      <c r="AC6" s="3161"/>
    </row>
    <row r="7" spans="1:29" s="116" customFormat="1" ht="15.75" thickBot="1">
      <c r="A7" s="407" t="s">
        <v>2501</v>
      </c>
      <c r="B7" s="408"/>
      <c r="C7" s="409">
        <f>'数据-取费表'!B2</f>
        <v>43206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62" t="s">
        <v>2502</v>
      </c>
      <c r="Q7" s="3190"/>
      <c r="R7" s="769" t="s">
        <v>17</v>
      </c>
      <c r="S7" s="770">
        <f t="shared" ref="S7:S14" si="0">F7</f>
        <v>0</v>
      </c>
      <c r="T7" s="769" t="s">
        <v>17</v>
      </c>
      <c r="U7" s="770">
        <f t="shared" ref="U7:U14" si="1">H7</f>
        <v>0</v>
      </c>
      <c r="V7" s="769" t="s">
        <v>17</v>
      </c>
      <c r="W7" s="770">
        <f t="shared" ref="W7:W14" si="2">J7</f>
        <v>0</v>
      </c>
      <c r="X7" s="771"/>
      <c r="Y7" s="3162" t="s">
        <v>2502</v>
      </c>
      <c r="Z7" s="3163"/>
      <c r="AA7" s="772" t="e">
        <f>D7/F7</f>
        <v>#DIV/0!</v>
      </c>
      <c r="AB7" s="772" t="e">
        <f>D7/H7</f>
        <v>#DIV/0!</v>
      </c>
      <c r="AC7" s="772" t="e">
        <f>D7/J7</f>
        <v>#DIV/0!</v>
      </c>
    </row>
    <row r="8" spans="1:29" s="116" customFormat="1" ht="15.75" thickBot="1">
      <c r="A8" s="407" t="s">
        <v>2503</v>
      </c>
      <c r="B8" s="408"/>
      <c r="C8" s="413" t="s">
        <v>2605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2" t="s">
        <v>2505</v>
      </c>
      <c r="Q8" s="3163"/>
      <c r="R8" s="769" t="s">
        <v>17</v>
      </c>
      <c r="S8" s="770">
        <f t="shared" si="0"/>
        <v>0</v>
      </c>
      <c r="T8" s="769" t="s">
        <v>17</v>
      </c>
      <c r="U8" s="770">
        <f t="shared" si="1"/>
        <v>0</v>
      </c>
      <c r="V8" s="769" t="s">
        <v>17</v>
      </c>
      <c r="W8" s="770">
        <f t="shared" si="2"/>
        <v>0</v>
      </c>
      <c r="X8" s="771"/>
      <c r="Y8" s="3162" t="s">
        <v>2505</v>
      </c>
      <c r="Z8" s="3163"/>
      <c r="AA8" s="772" t="e">
        <f t="shared" ref="AA8:AA34" si="3">D8/F8</f>
        <v>#DIV/0!</v>
      </c>
      <c r="AB8" s="772" t="e">
        <f t="shared" ref="AB8:AB34" si="4">D8/H8</f>
        <v>#DIV/0!</v>
      </c>
      <c r="AC8" s="772" t="e">
        <f t="shared" ref="AC8:AC34" si="5">D8/J8</f>
        <v>#DIV/0!</v>
      </c>
    </row>
    <row r="9" spans="1:29" s="116" customFormat="1">
      <c r="A9" s="414" t="s">
        <v>2506</v>
      </c>
      <c r="B9" s="70" t="s">
        <v>2507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6" t="s">
        <v>2508</v>
      </c>
      <c r="Q9" s="1796" t="str">
        <f t="shared" ref="Q9:Q14" si="6">B9</f>
        <v>用途</v>
      </c>
      <c r="R9" s="769" t="s">
        <v>17</v>
      </c>
      <c r="S9" s="770">
        <f t="shared" si="0"/>
        <v>100</v>
      </c>
      <c r="T9" s="769" t="s">
        <v>17</v>
      </c>
      <c r="U9" s="770">
        <f t="shared" si="1"/>
        <v>100</v>
      </c>
      <c r="V9" s="769" t="s">
        <v>17</v>
      </c>
      <c r="W9" s="770">
        <f t="shared" si="2"/>
        <v>100</v>
      </c>
      <c r="X9" s="771"/>
      <c r="Y9" s="3039" t="s">
        <v>2509</v>
      </c>
      <c r="Z9" s="54" t="str">
        <f t="shared" ref="Z9:Z14" si="7">Q9</f>
        <v>用途</v>
      </c>
      <c r="AA9" s="772">
        <f t="shared" si="3"/>
        <v>1</v>
      </c>
      <c r="AB9" s="772">
        <f t="shared" si="4"/>
        <v>1</v>
      </c>
      <c r="AC9" s="772">
        <f t="shared" si="5"/>
        <v>1</v>
      </c>
    </row>
    <row r="10" spans="1:29" s="426" customFormat="1" ht="27">
      <c r="A10" s="420"/>
      <c r="B10" s="421" t="s">
        <v>2510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6"/>
      <c r="Q10" s="179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6"/>
      <c r="Q11" s="1796">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6"/>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76"/>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99.75">
      <c r="A14" s="439" t="s">
        <v>2512</v>
      </c>
      <c r="B14" s="68" t="s">
        <v>2662</v>
      </c>
      <c r="C14" s="2694" t="str">
        <f>IF(B1="工业",估价对象房地状况!G4,估价对象房地状况!C6)</f>
        <v>估价对象周边道路状况较好、公共交通通达情况较好、停车便捷程度较好，综合评价交通便捷度较好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1" t="s">
        <v>2513</v>
      </c>
      <c r="Q14" s="1811" t="str">
        <f t="shared" si="6"/>
        <v>交通便捷度</v>
      </c>
      <c r="R14" s="773" t="s">
        <v>17</v>
      </c>
      <c r="S14" s="774">
        <f t="shared" si="0"/>
        <v>100</v>
      </c>
      <c r="T14" s="773" t="s">
        <v>17</v>
      </c>
      <c r="U14" s="774">
        <f t="shared" si="1"/>
        <v>100</v>
      </c>
      <c r="V14" s="773" t="s">
        <v>17</v>
      </c>
      <c r="W14" s="774">
        <f t="shared" si="2"/>
        <v>100</v>
      </c>
      <c r="X14" s="1814"/>
      <c r="Y14" s="3191" t="s">
        <v>2513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2"/>
      <c r="Q15" s="1811"/>
      <c r="R15" s="773"/>
      <c r="S15" s="774"/>
      <c r="T15" s="773"/>
      <c r="U15" s="774"/>
      <c r="V15" s="773"/>
      <c r="W15" s="774"/>
      <c r="X15" s="1814"/>
      <c r="Y15" s="3192"/>
      <c r="Z15" s="1815"/>
      <c r="AA15" s="1812">
        <v>1</v>
      </c>
      <c r="AB15" s="1812">
        <v>1</v>
      </c>
      <c r="AC15" s="1812">
        <v>1</v>
      </c>
    </row>
    <row r="16" spans="1:29" ht="42.75">
      <c r="A16" s="427"/>
      <c r="B16" s="450" t="s">
        <v>2641</v>
      </c>
      <c r="C16" s="2608"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2"/>
      <c r="Q16" s="1811" t="str">
        <f>B16</f>
        <v>公共配套设施</v>
      </c>
      <c r="R16" s="773" t="s">
        <v>17</v>
      </c>
      <c r="S16" s="774">
        <f>F16</f>
        <v>100</v>
      </c>
      <c r="T16" s="773" t="s">
        <v>17</v>
      </c>
      <c r="U16" s="774">
        <f>H16</f>
        <v>100</v>
      </c>
      <c r="V16" s="773" t="s">
        <v>17</v>
      </c>
      <c r="W16" s="774">
        <f>J16</f>
        <v>100</v>
      </c>
      <c r="X16" s="1814"/>
      <c r="Y16" s="3192"/>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2"/>
      <c r="M17" s="1133"/>
      <c r="N17" s="1133"/>
      <c r="O17" s="1141"/>
      <c r="P17" s="3192"/>
      <c r="Q17" s="1811"/>
      <c r="R17" s="773"/>
      <c r="S17" s="774"/>
      <c r="T17" s="773"/>
      <c r="U17" s="774"/>
      <c r="V17" s="773"/>
      <c r="W17" s="774"/>
      <c r="X17" s="1814"/>
      <c r="Y17" s="3192"/>
      <c r="Z17" s="1815"/>
      <c r="AA17" s="1812">
        <v>1</v>
      </c>
      <c r="AB17" s="1812">
        <v>1</v>
      </c>
      <c r="AC17" s="1812">
        <v>1</v>
      </c>
    </row>
    <row r="18" spans="1:29" ht="42.75">
      <c r="A18" s="427"/>
      <c r="B18" s="1386" t="s">
        <v>2642</v>
      </c>
      <c r="C18" s="2608"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2"/>
      <c r="Q18" s="1811" t="str">
        <f>B18</f>
        <v>基础设施水平</v>
      </c>
      <c r="R18" s="773" t="s">
        <v>17</v>
      </c>
      <c r="S18" s="774">
        <f>F18</f>
        <v>100</v>
      </c>
      <c r="T18" s="773" t="s">
        <v>17</v>
      </c>
      <c r="U18" s="774">
        <f>H18</f>
        <v>100</v>
      </c>
      <c r="V18" s="773" t="s">
        <v>17</v>
      </c>
      <c r="W18" s="774">
        <f>J18</f>
        <v>100</v>
      </c>
      <c r="X18" s="1814"/>
      <c r="Y18" s="3192"/>
      <c r="Z18" s="1815" t="str">
        <f>Q18</f>
        <v>基础设施水平</v>
      </c>
      <c r="AA18" s="1812">
        <f t="shared" ref="AA18" si="8">D18/F18</f>
        <v>1</v>
      </c>
      <c r="AB18" s="1812">
        <f t="shared" ref="AB18" si="9">D18/H18</f>
        <v>1</v>
      </c>
      <c r="AC18" s="1812">
        <f t="shared" ref="AC18" si="10">D18/J18</f>
        <v>1</v>
      </c>
    </row>
    <row r="19" spans="1:29" ht="15">
      <c r="A19" s="427"/>
      <c r="B19" s="1386"/>
      <c r="C19" s="2609"/>
      <c r="D19" s="449"/>
      <c r="E19" s="2609"/>
      <c r="F19" s="452"/>
      <c r="G19" s="2609"/>
      <c r="H19" s="447"/>
      <c r="I19" s="446"/>
      <c r="J19" s="447"/>
      <c r="K19" s="1385"/>
      <c r="L19" s="1142"/>
      <c r="M19" s="1133"/>
      <c r="N19" s="1133"/>
      <c r="O19" s="1141"/>
      <c r="P19" s="3192"/>
      <c r="Q19" s="1811"/>
      <c r="R19" s="773"/>
      <c r="S19" s="774"/>
      <c r="T19" s="773"/>
      <c r="U19" s="774"/>
      <c r="V19" s="773"/>
      <c r="W19" s="774"/>
      <c r="X19" s="1814"/>
      <c r="Y19" s="3192"/>
      <c r="Z19" s="1815"/>
      <c r="AA19" s="1812">
        <v>1</v>
      </c>
      <c r="AB19" s="1812">
        <v>1</v>
      </c>
      <c r="AC19" s="1812">
        <v>1</v>
      </c>
    </row>
    <row r="20" spans="1:29" ht="57">
      <c r="A20" s="427"/>
      <c r="B20" s="450" t="s">
        <v>2663</v>
      </c>
      <c r="C20" s="2608" t="str">
        <f>IF(B1="工业",估价对象房地状况!G7,估价对象房地状况!C9)</f>
        <v>区域自然环境：；人文环境；综合评价环境状况较好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2"/>
      <c r="Q20" s="1811" t="str">
        <f>B20</f>
        <v>自然及人文环境</v>
      </c>
      <c r="R20" s="773" t="s">
        <v>17</v>
      </c>
      <c r="S20" s="774">
        <f>F20</f>
        <v>100</v>
      </c>
      <c r="T20" s="773" t="s">
        <v>17</v>
      </c>
      <c r="U20" s="774">
        <f>H20</f>
        <v>100</v>
      </c>
      <c r="V20" s="773" t="s">
        <v>17</v>
      </c>
      <c r="W20" s="774">
        <f>J20</f>
        <v>100</v>
      </c>
      <c r="X20" s="1814"/>
      <c r="Y20" s="319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2"/>
      <c r="Q21" s="1811"/>
      <c r="R21" s="773"/>
      <c r="S21" s="774"/>
      <c r="T21" s="773"/>
      <c r="U21" s="774"/>
      <c r="V21" s="773"/>
      <c r="W21" s="774"/>
      <c r="X21" s="1814"/>
      <c r="Y21" s="3192"/>
      <c r="Z21" s="1815"/>
      <c r="AA21" s="1812">
        <v>1</v>
      </c>
      <c r="AB21" s="1812">
        <v>1</v>
      </c>
      <c r="AC21" s="1812">
        <v>1</v>
      </c>
    </row>
    <row r="22" spans="1:29" ht="15">
      <c r="A22" s="427"/>
      <c r="B22" s="450" t="s">
        <v>2664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2"/>
      <c r="Q22" s="1811" t="str">
        <f>B22</f>
        <v>楼层</v>
      </c>
      <c r="R22" s="773" t="s">
        <v>17</v>
      </c>
      <c r="S22" s="774">
        <f>F22</f>
        <v>100</v>
      </c>
      <c r="T22" s="773" t="s">
        <v>17</v>
      </c>
      <c r="U22" s="774">
        <f>H22</f>
        <v>100</v>
      </c>
      <c r="V22" s="773" t="s">
        <v>17</v>
      </c>
      <c r="W22" s="774">
        <f>J22</f>
        <v>100</v>
      </c>
      <c r="X22" s="1814"/>
      <c r="Y22" s="3192"/>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2"/>
      <c r="Q23" s="1811">
        <f>B23</f>
        <v>111</v>
      </c>
      <c r="R23" s="773" t="s">
        <v>17</v>
      </c>
      <c r="S23" s="774">
        <f>F23</f>
        <v>100</v>
      </c>
      <c r="T23" s="773" t="s">
        <v>17</v>
      </c>
      <c r="U23" s="774">
        <f>H23</f>
        <v>100</v>
      </c>
      <c r="V23" s="773" t="s">
        <v>17</v>
      </c>
      <c r="W23" s="774">
        <f>J23</f>
        <v>100</v>
      </c>
      <c r="X23" s="1814"/>
      <c r="Y23" s="3192"/>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2"/>
      <c r="Q24" s="1811">
        <f t="shared" ref="Q24:Q34" si="11">B24</f>
        <v>111</v>
      </c>
      <c r="R24" s="773" t="s">
        <v>17</v>
      </c>
      <c r="S24" s="774">
        <f>F24</f>
        <v>100</v>
      </c>
      <c r="T24" s="773" t="s">
        <v>17</v>
      </c>
      <c r="U24" s="774">
        <f>H24</f>
        <v>100</v>
      </c>
      <c r="V24" s="773" t="s">
        <v>17</v>
      </c>
      <c r="W24" s="774">
        <f>J24</f>
        <v>100</v>
      </c>
      <c r="X24" s="1814"/>
      <c r="Y24" s="3192"/>
      <c r="Z24" s="1815">
        <f>Q24</f>
        <v>111</v>
      </c>
      <c r="AA24" s="1812">
        <f t="shared" si="3"/>
        <v>1</v>
      </c>
      <c r="AB24" s="1812">
        <f t="shared" si="4"/>
        <v>1</v>
      </c>
      <c r="AC24" s="1812">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92"/>
      <c r="Q25" s="1796">
        <f t="shared" si="11"/>
        <v>111</v>
      </c>
      <c r="R25" s="769" t="s">
        <v>17</v>
      </c>
      <c r="S25" s="770">
        <f>F25</f>
        <v>100</v>
      </c>
      <c r="T25" s="769" t="s">
        <v>17</v>
      </c>
      <c r="U25" s="770">
        <f>H25</f>
        <v>100</v>
      </c>
      <c r="V25" s="769" t="s">
        <v>17</v>
      </c>
      <c r="W25" s="770">
        <f>J25</f>
        <v>100</v>
      </c>
      <c r="X25" s="771"/>
      <c r="Y25" s="3192"/>
      <c r="Z25" s="54">
        <f>Q25</f>
        <v>111</v>
      </c>
      <c r="AA25" s="1812">
        <f>D25/F25</f>
        <v>1</v>
      </c>
      <c r="AB25" s="1812">
        <f>D25/H25</f>
        <v>1</v>
      </c>
      <c r="AC25" s="1812">
        <f>D25/J25</f>
        <v>1</v>
      </c>
    </row>
    <row r="26" spans="1:29" ht="15">
      <c r="A26" s="465" t="s">
        <v>2516</v>
      </c>
      <c r="B26" s="70" t="s">
        <v>2667</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93" t="s">
        <v>2518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4" t="s">
        <v>2518</v>
      </c>
      <c r="Z26" s="1815" t="str">
        <f t="shared" ref="Z26:Z34" si="15">Q26</f>
        <v>公共部分装修</v>
      </c>
      <c r="AA26" s="1812">
        <f t="shared" si="3"/>
        <v>1</v>
      </c>
      <c r="AB26" s="1812">
        <f t="shared" si="4"/>
        <v>1</v>
      </c>
      <c r="AC26" s="1812">
        <f t="shared" si="5"/>
        <v>1</v>
      </c>
    </row>
    <row r="27" spans="1:29" s="470" customFormat="1" ht="15">
      <c r="A27" s="467"/>
      <c r="B27" s="421" t="s">
        <v>2668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2" t="e">
        <f t="shared" si="3"/>
        <v>#N/A</v>
      </c>
      <c r="AB27" s="1812" t="e">
        <f t="shared" si="4"/>
        <v>#N/A</v>
      </c>
      <c r="AC27" s="1812" t="e">
        <f t="shared" si="5"/>
        <v>#N/A</v>
      </c>
    </row>
    <row r="28" spans="1:29" ht="15">
      <c r="A28" s="471"/>
      <c r="B28" s="421" t="s">
        <v>2669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4"/>
      <c r="Q28" s="1811" t="str">
        <f t="shared" si="11"/>
        <v>物业等级</v>
      </c>
      <c r="R28" s="773" t="s">
        <v>17</v>
      </c>
      <c r="S28" s="774">
        <f t="shared" si="12"/>
        <v>100</v>
      </c>
      <c r="T28" s="773" t="s">
        <v>17</v>
      </c>
      <c r="U28" s="774">
        <f t="shared" si="13"/>
        <v>100</v>
      </c>
      <c r="V28" s="773" t="s">
        <v>17</v>
      </c>
      <c r="W28" s="774">
        <f t="shared" si="14"/>
        <v>100</v>
      </c>
      <c r="X28" s="1814"/>
      <c r="Y28" s="3194"/>
      <c r="Z28" s="1815" t="str">
        <f t="shared" si="15"/>
        <v>物业等级</v>
      </c>
      <c r="AA28" s="1812">
        <f t="shared" si="3"/>
        <v>1</v>
      </c>
      <c r="AB28" s="1812">
        <f t="shared" si="4"/>
        <v>1</v>
      </c>
      <c r="AC28" s="1812">
        <f t="shared" si="5"/>
        <v>1</v>
      </c>
    </row>
    <row r="29" spans="1:29" ht="15">
      <c r="A29" s="471"/>
      <c r="B29" s="421" t="s">
        <v>2690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4"/>
      <c r="Q29" s="1811" t="str">
        <f t="shared" si="11"/>
        <v>有无电梯</v>
      </c>
      <c r="R29" s="773" t="s">
        <v>17</v>
      </c>
      <c r="S29" s="774">
        <f t="shared" si="12"/>
        <v>100</v>
      </c>
      <c r="T29" s="773" t="s">
        <v>17</v>
      </c>
      <c r="U29" s="774">
        <f t="shared" si="13"/>
        <v>100</v>
      </c>
      <c r="V29" s="773" t="s">
        <v>17</v>
      </c>
      <c r="W29" s="774">
        <f t="shared" si="14"/>
        <v>100</v>
      </c>
      <c r="X29" s="1814"/>
      <c r="Y29" s="3194"/>
      <c r="Z29" s="1815" t="str">
        <f t="shared" si="15"/>
        <v>有无电梯</v>
      </c>
      <c r="AA29" s="1812">
        <f t="shared" si="3"/>
        <v>1</v>
      </c>
      <c r="AB29" s="1812">
        <f t="shared" si="4"/>
        <v>1</v>
      </c>
      <c r="AC29" s="1812">
        <f t="shared" si="5"/>
        <v>1</v>
      </c>
    </row>
    <row r="30" spans="1:29" ht="15">
      <c r="A30" s="471"/>
      <c r="B30" s="421" t="s">
        <v>2691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4"/>
      <c r="Q30" s="1811" t="str">
        <f t="shared" si="11"/>
        <v>建筑面积</v>
      </c>
      <c r="R30" s="773" t="s">
        <v>17</v>
      </c>
      <c r="S30" s="774" t="e">
        <f t="shared" si="12"/>
        <v>#N/A</v>
      </c>
      <c r="T30" s="773" t="s">
        <v>17</v>
      </c>
      <c r="U30" s="774" t="e">
        <f t="shared" si="13"/>
        <v>#N/A</v>
      </c>
      <c r="V30" s="773" t="s">
        <v>17</v>
      </c>
      <c r="W30" s="774" t="e">
        <f t="shared" si="14"/>
        <v>#N/A</v>
      </c>
      <c r="X30" s="1814"/>
      <c r="Y30" s="3194"/>
      <c r="Z30" s="1815" t="str">
        <f t="shared" si="15"/>
        <v>建筑面积</v>
      </c>
      <c r="AA30" s="1812" t="e">
        <f t="shared" si="3"/>
        <v>#N/A</v>
      </c>
      <c r="AB30" s="1812" t="e">
        <f t="shared" si="4"/>
        <v>#N/A</v>
      </c>
      <c r="AC30" s="1812" t="e">
        <f t="shared" si="5"/>
        <v>#N/A</v>
      </c>
    </row>
    <row r="31" spans="1:29" s="116" customFormat="1" ht="15">
      <c r="A31" s="472"/>
      <c r="B31" s="421" t="s">
        <v>2692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4"/>
      <c r="Q31" s="1796" t="str">
        <f t="shared" si="11"/>
        <v>是否封闭</v>
      </c>
      <c r="R31" s="769" t="s">
        <v>17</v>
      </c>
      <c r="S31" s="770">
        <f t="shared" si="12"/>
        <v>100</v>
      </c>
      <c r="T31" s="769" t="s">
        <v>17</v>
      </c>
      <c r="U31" s="770">
        <f t="shared" si="13"/>
        <v>100</v>
      </c>
      <c r="V31" s="769" t="s">
        <v>17</v>
      </c>
      <c r="W31" s="770">
        <f t="shared" si="14"/>
        <v>100</v>
      </c>
      <c r="X31" s="771"/>
      <c r="Y31" s="3194"/>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4" t="s">
        <v>2518</v>
      </c>
      <c r="Q32" s="1811">
        <f t="shared" si="11"/>
        <v>111</v>
      </c>
      <c r="R32" s="773" t="s">
        <v>17</v>
      </c>
      <c r="S32" s="774">
        <f t="shared" si="12"/>
        <v>100</v>
      </c>
      <c r="T32" s="773" t="s">
        <v>17</v>
      </c>
      <c r="U32" s="774">
        <f t="shared" si="13"/>
        <v>100</v>
      </c>
      <c r="V32" s="773" t="s">
        <v>17</v>
      </c>
      <c r="W32" s="774">
        <f t="shared" si="14"/>
        <v>100</v>
      </c>
      <c r="X32" s="1814"/>
      <c r="Y32" s="3194" t="s">
        <v>2518</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4"/>
      <c r="Q33" s="1811">
        <f t="shared" si="11"/>
        <v>111</v>
      </c>
      <c r="R33" s="773" t="s">
        <v>17</v>
      </c>
      <c r="S33" s="774">
        <f t="shared" si="12"/>
        <v>100</v>
      </c>
      <c r="T33" s="773" t="s">
        <v>17</v>
      </c>
      <c r="U33" s="774">
        <f t="shared" si="13"/>
        <v>100</v>
      </c>
      <c r="V33" s="773" t="s">
        <v>17</v>
      </c>
      <c r="W33" s="774">
        <f t="shared" si="14"/>
        <v>100</v>
      </c>
      <c r="X33" s="1814"/>
      <c r="Y33" s="3194"/>
      <c r="Z33" s="1815">
        <f t="shared" si="15"/>
        <v>111</v>
      </c>
      <c r="AA33" s="1812">
        <f t="shared" si="3"/>
        <v>1</v>
      </c>
      <c r="AB33" s="1812">
        <f t="shared" si="4"/>
        <v>1</v>
      </c>
      <c r="AC33" s="1812">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94"/>
      <c r="Q34" s="1811">
        <f t="shared" si="11"/>
        <v>111</v>
      </c>
      <c r="R34" s="773" t="s">
        <v>17</v>
      </c>
      <c r="S34" s="774">
        <f t="shared" si="12"/>
        <v>100</v>
      </c>
      <c r="T34" s="773" t="s">
        <v>17</v>
      </c>
      <c r="U34" s="774">
        <f t="shared" si="13"/>
        <v>100</v>
      </c>
      <c r="V34" s="773" t="s">
        <v>17</v>
      </c>
      <c r="W34" s="774">
        <f t="shared" si="14"/>
        <v>100</v>
      </c>
      <c r="X34" s="1814"/>
      <c r="Y34" s="3194"/>
      <c r="Z34" s="1815">
        <f t="shared" si="15"/>
        <v>111</v>
      </c>
      <c r="AA34" s="1812">
        <f t="shared" si="3"/>
        <v>1</v>
      </c>
      <c r="AB34" s="1812">
        <f t="shared" si="4"/>
        <v>1</v>
      </c>
      <c r="AC34" s="1812">
        <f t="shared" si="5"/>
        <v>1</v>
      </c>
    </row>
    <row r="35" spans="1:29" ht="15">
      <c r="A35" s="478" t="s">
        <v>2530</v>
      </c>
      <c r="B35" s="479"/>
      <c r="C35" s="1409" t="s">
        <v>1</v>
      </c>
      <c r="D35" s="1410"/>
      <c r="E35" s="1411"/>
      <c r="F35" s="1412"/>
      <c r="G35" s="1413"/>
      <c r="H35" s="1414"/>
      <c r="I35" s="1411"/>
      <c r="J35" s="1414"/>
      <c r="K35" s="782"/>
      <c r="L35" s="1145"/>
      <c r="M35" s="1146"/>
      <c r="N35" s="1133"/>
      <c r="O35" s="1146"/>
      <c r="P35" s="3176" t="str">
        <f>A35</f>
        <v>成交单价（元/平方米）</v>
      </c>
      <c r="Q35" s="3176"/>
      <c r="R35" s="3233">
        <f>E35</f>
        <v>0</v>
      </c>
      <c r="S35" s="3233"/>
      <c r="T35" s="3233">
        <f>G35</f>
        <v>0</v>
      </c>
      <c r="U35" s="3233"/>
      <c r="V35" s="3233">
        <f>I35</f>
        <v>0</v>
      </c>
      <c r="W35" s="3233"/>
      <c r="X35" s="758"/>
      <c r="Y35" s="780"/>
      <c r="Z35" s="758"/>
      <c r="AA35" s="758"/>
      <c r="AB35" s="758"/>
      <c r="AC35" s="758"/>
    </row>
    <row r="36" spans="1:29" ht="15.75" thickBot="1">
      <c r="A36" s="485" t="s">
        <v>2622</v>
      </c>
      <c r="B36" s="486"/>
      <c r="C36" s="1415" t="e">
        <f>R37</f>
        <v>#DIV/0!</v>
      </c>
      <c r="D36" s="1416"/>
      <c r="E36" s="1417" t="e">
        <f>R36</f>
        <v>#DIV/0!</v>
      </c>
      <c r="F36" s="1417"/>
      <c r="G36" s="1415" t="e">
        <f>T36</f>
        <v>#DIV/0!</v>
      </c>
      <c r="H36" s="1416"/>
      <c r="I36" s="1417" t="e">
        <f>V36</f>
        <v>#DIV/0!</v>
      </c>
      <c r="J36" s="1416"/>
      <c r="K36" s="783"/>
      <c r="L36" s="1145"/>
      <c r="M36" s="1146"/>
      <c r="N36" s="1133"/>
      <c r="O36" s="1146"/>
      <c r="P36" s="3176" t="str">
        <f>A36</f>
        <v>比较价值（元/平方米）</v>
      </c>
      <c r="Q36" s="3176"/>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8"/>
      <c r="Y36" s="758"/>
      <c r="Z36" s="758"/>
      <c r="AA36" s="758"/>
      <c r="AB36" s="758"/>
      <c r="AC36" s="758"/>
    </row>
    <row r="37" spans="1:29" ht="15.75" thickBot="1">
      <c r="A37" s="491" t="s">
        <v>2623</v>
      </c>
      <c r="B37" s="492"/>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2" t="e">
        <f>IF(F1="售价",ROUND(AVERAGE(R36:V36),0),ROUND(AVERAGE(R36:V36),1))</f>
        <v>#DIV/0!</v>
      </c>
      <c r="S37" s="3232"/>
      <c r="T37" s="3232"/>
      <c r="U37" s="3232"/>
      <c r="V37" s="3232"/>
      <c r="W37" s="323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2624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2625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2626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2627</v>
      </c>
      <c r="B45" s="758"/>
      <c r="C45" s="763"/>
      <c r="D45" s="763"/>
      <c r="E45" s="763"/>
      <c r="F45" s="764"/>
      <c r="G45" s="764"/>
      <c r="H45" s="763"/>
      <c r="I45" s="763"/>
      <c r="J45" s="763"/>
      <c r="K45" s="765"/>
      <c r="L45" s="766"/>
      <c r="M45" s="763"/>
      <c r="N45" s="763"/>
      <c r="O45" s="763"/>
      <c r="P45" s="502"/>
      <c r="Q45" s="503"/>
    </row>
    <row r="46" spans="1:29" s="507" customFormat="1" ht="15">
      <c r="A46" s="504" t="s">
        <v>2501</v>
      </c>
      <c r="B46" s="505"/>
      <c r="C46" s="1575" t="str">
        <f>YEAR(C7)&amp;"-"&amp;MONTH(C7)</f>
        <v>2018-4</v>
      </c>
      <c r="D46" s="1576">
        <f>EDATE(C46,-1)</f>
        <v>43160</v>
      </c>
      <c r="E46" s="1576">
        <f t="shared" ref="E46:O46" si="16">EDATE(D46,-1)</f>
        <v>43132</v>
      </c>
      <c r="F46" s="1576">
        <f t="shared" si="16"/>
        <v>43101</v>
      </c>
      <c r="G46" s="1576">
        <f t="shared" si="16"/>
        <v>43070</v>
      </c>
      <c r="H46" s="1576">
        <f t="shared" si="16"/>
        <v>43040</v>
      </c>
      <c r="I46" s="1576">
        <f t="shared" si="16"/>
        <v>43009</v>
      </c>
      <c r="J46" s="1576">
        <f t="shared" si="16"/>
        <v>42979</v>
      </c>
      <c r="K46" s="1576">
        <f t="shared" si="16"/>
        <v>42948</v>
      </c>
      <c r="L46" s="1576">
        <f t="shared" si="16"/>
        <v>42917</v>
      </c>
      <c r="M46" s="1576">
        <f t="shared" si="16"/>
        <v>42887</v>
      </c>
      <c r="N46" s="1576">
        <f t="shared" si="16"/>
        <v>42856</v>
      </c>
      <c r="O46" s="1576">
        <f t="shared" si="16"/>
        <v>42826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2538</v>
      </c>
      <c r="B48" s="515"/>
      <c r="C48" s="516"/>
      <c r="D48" s="517"/>
      <c r="E48" s="517"/>
      <c r="F48" s="517"/>
      <c r="G48" s="517"/>
      <c r="H48" s="517"/>
      <c r="I48" s="517"/>
      <c r="J48" s="517"/>
      <c r="K48" s="517"/>
      <c r="L48" s="517"/>
      <c r="M48" s="518"/>
      <c r="N48" s="517"/>
      <c r="O48" s="519"/>
      <c r="P48" s="503"/>
      <c r="Q48" s="503"/>
    </row>
    <row r="49" spans="1:17" s="116" customFormat="1" ht="15">
      <c r="A49" s="520" t="s">
        <v>2503</v>
      </c>
      <c r="B49" s="509"/>
      <c r="C49" s="521" t="s">
        <v>2605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2541</v>
      </c>
      <c r="B51" s="527" t="s">
        <v>2507</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2510</v>
      </c>
      <c r="C53" s="538" t="s">
        <v>2542</v>
      </c>
      <c r="D53" s="538" t="s">
        <v>2543</v>
      </c>
      <c r="E53" s="538" t="s">
        <v>2544</v>
      </c>
      <c r="F53" s="538" t="s">
        <v>2545</v>
      </c>
      <c r="G53" s="538" t="s">
        <v>2546</v>
      </c>
      <c r="H53" s="538" t="s">
        <v>2547</v>
      </c>
      <c r="I53" s="538" t="s">
        <v>2548</v>
      </c>
      <c r="J53" s="538"/>
      <c r="K53" s="539"/>
      <c r="L53" s="540"/>
      <c r="M53" s="541"/>
      <c r="N53" s="1154"/>
      <c r="O53" s="1154"/>
      <c r="P53" s="44"/>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2512</v>
      </c>
      <c r="B61" s="527" t="s">
        <v>2555</v>
      </c>
      <c r="C61" s="572" t="s">
        <v>2550</v>
      </c>
      <c r="D61" s="572" t="s">
        <v>2551</v>
      </c>
      <c r="E61" s="572" t="s">
        <v>2552</v>
      </c>
      <c r="F61" s="572" t="s">
        <v>2553</v>
      </c>
      <c r="G61" s="572" t="s">
        <v>2554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2693</v>
      </c>
      <c r="C63" s="577" t="s">
        <v>2550</v>
      </c>
      <c r="D63" s="577" t="s">
        <v>2551</v>
      </c>
      <c r="E63" s="577" t="s">
        <v>2552</v>
      </c>
      <c r="F63" s="577" t="s">
        <v>2553</v>
      </c>
      <c r="G63" s="577" t="s">
        <v>2554</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2642</v>
      </c>
      <c r="C65" s="659" t="s">
        <v>2628</v>
      </c>
      <c r="D65" s="659" t="s">
        <v>2629</v>
      </c>
      <c r="E65" s="659" t="s">
        <v>2630</v>
      </c>
      <c r="F65" s="659" t="s">
        <v>2631</v>
      </c>
      <c r="G65" s="659" t="s">
        <v>2632</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2562</v>
      </c>
      <c r="C67" s="577" t="s">
        <v>2550</v>
      </c>
      <c r="D67" s="577" t="s">
        <v>2551</v>
      </c>
      <c r="E67" s="577" t="s">
        <v>2552</v>
      </c>
      <c r="F67" s="577" t="s">
        <v>2553</v>
      </c>
      <c r="G67" s="577" t="s">
        <v>2554</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2682</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2516</v>
      </c>
      <c r="B77" s="527" t="s">
        <v>2569</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2685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2686</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2694</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2695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2696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2697</v>
      </c>
      <c r="B1" s="394"/>
      <c r="C1" s="395" t="s">
        <v>2747</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ROUND(IF(D3="",B2*10000/'数据-汇总表'!E3,B2*10000/D3),0)</f>
        <v>#DIV/0!</v>
      </c>
      <c r="C3" s="246" t="s">
        <v>2699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77" t="s">
        <v>2599</v>
      </c>
      <c r="D4" s="3178"/>
      <c r="E4" s="3179" t="s">
        <v>2600</v>
      </c>
      <c r="F4" s="3180"/>
      <c r="G4" s="3177" t="s">
        <v>2601</v>
      </c>
      <c r="H4" s="3178"/>
      <c r="I4" s="3177" t="s">
        <v>2602</v>
      </c>
      <c r="J4" s="3178"/>
      <c r="K4" s="609" t="s">
        <v>2603</v>
      </c>
      <c r="L4" s="1132"/>
      <c r="M4" s="1133"/>
      <c r="N4" s="1133"/>
      <c r="O4" s="1133"/>
      <c r="P4" s="3181" t="s">
        <v>2604</v>
      </c>
      <c r="Q4" s="3182"/>
      <c r="R4" s="3164" t="s">
        <v>2600</v>
      </c>
      <c r="S4" s="3165"/>
      <c r="T4" s="3164" t="s">
        <v>2601</v>
      </c>
      <c r="U4" s="3165"/>
      <c r="V4" s="3189" t="s">
        <v>2602</v>
      </c>
      <c r="W4" s="3189"/>
      <c r="X4" s="1814"/>
      <c r="Y4" s="3164" t="s">
        <v>2604</v>
      </c>
      <c r="Z4" s="3165"/>
      <c r="AA4" s="3159" t="s">
        <v>2600</v>
      </c>
      <c r="AB4" s="3160" t="s">
        <v>2601</v>
      </c>
      <c r="AC4" s="3159" t="s">
        <v>2602</v>
      </c>
    </row>
    <row r="5" spans="1:29" ht="15">
      <c r="A5" s="403"/>
      <c r="B5" s="404"/>
      <c r="C5" s="3173" t="s">
        <v>2495</v>
      </c>
      <c r="D5" s="3170"/>
      <c r="E5" s="3168" t="s">
        <v>2496</v>
      </c>
      <c r="F5" s="3169"/>
      <c r="G5" s="3173" t="s">
        <v>2497</v>
      </c>
      <c r="H5" s="3170"/>
      <c r="I5" s="3173" t="s">
        <v>2498</v>
      </c>
      <c r="J5" s="3170"/>
      <c r="K5" s="609"/>
      <c r="L5" s="1132"/>
      <c r="M5" s="1133"/>
      <c r="N5" s="1133"/>
      <c r="O5" s="1133"/>
      <c r="P5" s="3183"/>
      <c r="Q5" s="3184"/>
      <c r="R5" s="3166"/>
      <c r="S5" s="3167"/>
      <c r="T5" s="3166"/>
      <c r="U5" s="3167"/>
      <c r="V5" s="3189"/>
      <c r="W5" s="3189"/>
      <c r="X5" s="1814"/>
      <c r="Y5" s="3166"/>
      <c r="Z5" s="3167"/>
      <c r="AA5" s="3160"/>
      <c r="AB5" s="3160"/>
      <c r="AC5" s="3160"/>
    </row>
    <row r="6" spans="1:29" ht="15.75" thickBot="1">
      <c r="A6" s="405"/>
      <c r="B6" s="406"/>
      <c r="C6" s="3255" t="s">
        <v>2748</v>
      </c>
      <c r="D6" s="3256"/>
      <c r="E6" s="3257" t="s">
        <v>2748</v>
      </c>
      <c r="F6" s="3258"/>
      <c r="G6" s="3255" t="s">
        <v>2748</v>
      </c>
      <c r="H6" s="3256"/>
      <c r="I6" s="3255" t="s">
        <v>2748</v>
      </c>
      <c r="J6" s="3256"/>
      <c r="K6" s="609" t="s">
        <v>2500</v>
      </c>
      <c r="L6" s="1132"/>
      <c r="M6" s="1133"/>
      <c r="N6" s="1133"/>
      <c r="O6" s="1133"/>
      <c r="P6" s="3185"/>
      <c r="Q6" s="3186"/>
      <c r="R6" s="3166"/>
      <c r="S6" s="3167"/>
      <c r="T6" s="3187"/>
      <c r="U6" s="3188"/>
      <c r="V6" s="3189"/>
      <c r="W6" s="3189"/>
      <c r="X6" s="1814"/>
      <c r="Y6" s="3187"/>
      <c r="Z6" s="3188"/>
      <c r="AA6" s="3161"/>
      <c r="AB6" s="3161"/>
      <c r="AC6" s="3161"/>
    </row>
    <row r="7" spans="1:29" s="116" customFormat="1" ht="15.75" thickBot="1">
      <c r="A7" s="407" t="s">
        <v>2501</v>
      </c>
      <c r="B7" s="408"/>
      <c r="C7" s="409">
        <f>'数据-取费表'!B2</f>
        <v>43206</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62" t="s">
        <v>2502</v>
      </c>
      <c r="Q7" s="3190"/>
      <c r="R7" s="769" t="s">
        <v>17</v>
      </c>
      <c r="S7" s="770">
        <f t="shared" ref="S7:S15" si="0">F7</f>
        <v>0</v>
      </c>
      <c r="T7" s="769" t="s">
        <v>17</v>
      </c>
      <c r="U7" s="770">
        <f t="shared" ref="U7:U15" si="1">H7</f>
        <v>0</v>
      </c>
      <c r="V7" s="769" t="s">
        <v>17</v>
      </c>
      <c r="W7" s="770">
        <f t="shared" ref="W7:W15" si="2">J7</f>
        <v>0</v>
      </c>
      <c r="X7" s="771"/>
      <c r="Y7" s="3162" t="s">
        <v>2502</v>
      </c>
      <c r="Z7" s="3163"/>
      <c r="AA7" s="772" t="e">
        <f>D7/F7</f>
        <v>#DIV/0!</v>
      </c>
      <c r="AB7" s="772" t="e">
        <f>D7/H7</f>
        <v>#DIV/0!</v>
      </c>
      <c r="AC7" s="772" t="e">
        <f>D7/J7</f>
        <v>#DIV/0!</v>
      </c>
    </row>
    <row r="8" spans="1:29" s="116" customFormat="1" ht="15.75" thickBot="1">
      <c r="A8" s="407" t="s">
        <v>2503</v>
      </c>
      <c r="B8" s="408"/>
      <c r="C8" s="413" t="s">
        <v>2504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2" t="s">
        <v>2505</v>
      </c>
      <c r="Q8" s="3163"/>
      <c r="R8" s="769" t="s">
        <v>17</v>
      </c>
      <c r="S8" s="770">
        <f t="shared" si="0"/>
        <v>0</v>
      </c>
      <c r="T8" s="769" t="s">
        <v>17</v>
      </c>
      <c r="U8" s="770">
        <f t="shared" si="1"/>
        <v>0</v>
      </c>
      <c r="V8" s="769" t="s">
        <v>17</v>
      </c>
      <c r="W8" s="770">
        <f t="shared" si="2"/>
        <v>0</v>
      </c>
      <c r="X8" s="771"/>
      <c r="Y8" s="3162" t="s">
        <v>2505</v>
      </c>
      <c r="Z8" s="3163"/>
      <c r="AA8" s="772" t="e">
        <f t="shared" ref="AA8:AA40" si="3">D8/F8</f>
        <v>#DIV/0!</v>
      </c>
      <c r="AB8" s="772" t="e">
        <f t="shared" ref="AB8:AB40" si="4">D8/H8</f>
        <v>#DIV/0!</v>
      </c>
      <c r="AC8" s="772" t="e">
        <f t="shared" ref="AC8:AC40" si="5">D8/J8</f>
        <v>#DIV/0!</v>
      </c>
    </row>
    <row r="9" spans="1:29" s="116" customFormat="1">
      <c r="A9" s="414" t="s">
        <v>2506</v>
      </c>
      <c r="B9" s="70" t="s">
        <v>2507</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76" t="s">
        <v>2508</v>
      </c>
      <c r="Q9" s="1796" t="str">
        <f t="shared" ref="Q9:Q15" si="6">B9</f>
        <v>用途</v>
      </c>
      <c r="R9" s="769" t="s">
        <v>17</v>
      </c>
      <c r="S9" s="770">
        <f t="shared" si="0"/>
        <v>100</v>
      </c>
      <c r="T9" s="769" t="s">
        <v>17</v>
      </c>
      <c r="U9" s="770">
        <f t="shared" si="1"/>
        <v>100</v>
      </c>
      <c r="V9" s="769" t="s">
        <v>17</v>
      </c>
      <c r="W9" s="770">
        <f t="shared" si="2"/>
        <v>100</v>
      </c>
      <c r="X9" s="771"/>
      <c r="Y9" s="3039" t="s">
        <v>2509</v>
      </c>
      <c r="Z9" s="54" t="str">
        <f t="shared" ref="Z9:Z15" si="7">Q9</f>
        <v>用途</v>
      </c>
      <c r="AA9" s="772">
        <f t="shared" si="3"/>
        <v>1</v>
      </c>
      <c r="AB9" s="772">
        <f t="shared" si="4"/>
        <v>1</v>
      </c>
      <c r="AC9" s="772">
        <f t="shared" si="5"/>
        <v>1</v>
      </c>
    </row>
    <row r="10" spans="1:29" s="426" customFormat="1" ht="27">
      <c r="A10" s="420"/>
      <c r="B10" s="421" t="s">
        <v>2510</v>
      </c>
      <c r="C10" s="431"/>
      <c r="D10" s="135">
        <v>100</v>
      </c>
      <c r="E10" s="431"/>
      <c r="F10" s="135">
        <f>ROUND(100/'数据-取费表'!G16,0)</f>
        <v>119</v>
      </c>
      <c r="G10" s="431"/>
      <c r="H10" s="135">
        <f>ROUND(100/'数据-取费表'!G16,0)</f>
        <v>119</v>
      </c>
      <c r="I10" s="431"/>
      <c r="J10" s="135">
        <f>ROUND(100/'数据-取费表'!G16,0)</f>
        <v>119</v>
      </c>
      <c r="K10" s="671"/>
      <c r="L10" s="1137"/>
      <c r="M10" s="1138"/>
      <c r="N10" s="1138"/>
      <c r="O10" s="1139"/>
      <c r="P10" s="3176"/>
      <c r="Q10" s="1796" t="str">
        <f t="shared" si="6"/>
        <v>土地使用年限（年）</v>
      </c>
      <c r="R10" s="769" t="s">
        <v>17</v>
      </c>
      <c r="S10" s="770">
        <f t="shared" si="0"/>
        <v>119</v>
      </c>
      <c r="T10" s="769" t="s">
        <v>17</v>
      </c>
      <c r="U10" s="770">
        <f t="shared" si="1"/>
        <v>119</v>
      </c>
      <c r="V10" s="769" t="s">
        <v>17</v>
      </c>
      <c r="W10" s="770">
        <f t="shared" si="2"/>
        <v>119</v>
      </c>
      <c r="X10" s="771"/>
      <c r="Y10" s="3039"/>
      <c r="Z10" s="54" t="str">
        <f t="shared" si="7"/>
        <v>土地使用年限（年）</v>
      </c>
      <c r="AA10" s="772">
        <f t="shared" si="3"/>
        <v>0.84033613445378152</v>
      </c>
      <c r="AB10" s="772">
        <f t="shared" si="4"/>
        <v>0.84033613445378152</v>
      </c>
      <c r="AC10" s="772">
        <f t="shared" si="5"/>
        <v>0.84033613445378152</v>
      </c>
    </row>
    <row r="11" spans="1:29" ht="15">
      <c r="A11" s="427"/>
      <c r="B11" s="421" t="s">
        <v>2511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6"/>
      <c r="Q11" s="179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6"/>
      <c r="Q12" s="179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6"/>
      <c r="Q13" s="179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6"/>
      <c r="Q14" s="179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5">
      <c r="A15" s="439" t="s">
        <v>2512</v>
      </c>
      <c r="B15" s="628" t="s">
        <v>2749</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1" t="s">
        <v>2513</v>
      </c>
      <c r="Q15" s="1811" t="str">
        <f t="shared" si="6"/>
        <v>产业集聚程度</v>
      </c>
      <c r="R15" s="773" t="s">
        <v>17</v>
      </c>
      <c r="S15" s="774">
        <f t="shared" si="0"/>
        <v>100</v>
      </c>
      <c r="T15" s="773" t="s">
        <v>17</v>
      </c>
      <c r="U15" s="774">
        <f t="shared" si="1"/>
        <v>100</v>
      </c>
      <c r="V15" s="773" t="s">
        <v>17</v>
      </c>
      <c r="W15" s="774">
        <f t="shared" si="2"/>
        <v>100</v>
      </c>
      <c r="X15" s="1814"/>
      <c r="Y15" s="3191" t="s">
        <v>2513</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2"/>
      <c r="M16" s="1133"/>
      <c r="N16" s="1133"/>
      <c r="O16" s="1141"/>
      <c r="P16" s="3192"/>
      <c r="Q16" s="1811"/>
      <c r="R16" s="773"/>
      <c r="S16" s="774"/>
      <c r="T16" s="773"/>
      <c r="U16" s="774"/>
      <c r="V16" s="773"/>
      <c r="W16" s="774"/>
      <c r="X16" s="1814"/>
      <c r="Y16" s="3192"/>
      <c r="Z16" s="1815"/>
      <c r="AA16" s="1812">
        <v>1</v>
      </c>
      <c r="AB16" s="1812">
        <v>1</v>
      </c>
      <c r="AC16" s="1812">
        <v>1</v>
      </c>
    </row>
    <row r="17" spans="1:29" ht="15">
      <c r="A17" s="427"/>
      <c r="B17" s="630" t="s">
        <v>2662</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2"/>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2"/>
      <c r="M18" s="1133"/>
      <c r="N18" s="1133"/>
      <c r="O18" s="1141"/>
      <c r="P18" s="3192"/>
      <c r="Q18" s="1811"/>
      <c r="R18" s="773"/>
      <c r="S18" s="774"/>
      <c r="T18" s="773"/>
      <c r="U18" s="774"/>
      <c r="V18" s="773"/>
      <c r="W18" s="774"/>
      <c r="X18" s="1814"/>
      <c r="Y18" s="3192"/>
      <c r="Z18" s="1815"/>
      <c r="AA18" s="1812">
        <v>1</v>
      </c>
      <c r="AB18" s="1812">
        <v>1</v>
      </c>
      <c r="AC18" s="1812">
        <v>1</v>
      </c>
    </row>
    <row r="19" spans="1:29" ht="15">
      <c r="A19" s="427"/>
      <c r="B19" s="630" t="s">
        <v>2700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2"/>
      <c r="Q19" s="1811" t="str">
        <f t="shared" ref="Q19:Q33" si="8">B19</f>
        <v>区域土地利用方向</v>
      </c>
      <c r="R19" s="773" t="s">
        <v>17</v>
      </c>
      <c r="S19" s="774">
        <f>F19</f>
        <v>100</v>
      </c>
      <c r="T19" s="773" t="s">
        <v>17</v>
      </c>
      <c r="U19" s="774">
        <f>H19</f>
        <v>100</v>
      </c>
      <c r="V19" s="773" t="s">
        <v>17</v>
      </c>
      <c r="W19" s="774">
        <f>J19</f>
        <v>100</v>
      </c>
      <c r="X19" s="1814"/>
      <c r="Y19" s="3192"/>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2"/>
      <c r="M20" s="1133"/>
      <c r="N20" s="1133"/>
      <c r="O20" s="1141"/>
      <c r="P20" s="3192"/>
      <c r="Q20" s="1811"/>
      <c r="R20" s="773"/>
      <c r="S20" s="774"/>
      <c r="T20" s="773"/>
      <c r="U20" s="774"/>
      <c r="V20" s="773"/>
      <c r="W20" s="774"/>
      <c r="X20" s="1814"/>
      <c r="Y20" s="3192"/>
      <c r="Z20" s="1815"/>
      <c r="AA20" s="1812"/>
      <c r="AB20" s="1812"/>
      <c r="AC20" s="1812"/>
    </row>
    <row r="21" spans="1:29" ht="15">
      <c r="A21" s="403"/>
      <c r="B21" s="630" t="s">
        <v>2750</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2"/>
      <c r="Q21" s="1811" t="str">
        <f t="shared" si="8"/>
        <v>环境状况</v>
      </c>
      <c r="R21" s="773" t="s">
        <v>17</v>
      </c>
      <c r="S21" s="774">
        <f>F21</f>
        <v>100</v>
      </c>
      <c r="T21" s="773" t="s">
        <v>17</v>
      </c>
      <c r="U21" s="774">
        <f>H21</f>
        <v>100</v>
      </c>
      <c r="V21" s="773" t="s">
        <v>17</v>
      </c>
      <c r="W21" s="774">
        <f>J21</f>
        <v>100</v>
      </c>
      <c r="X21" s="1814"/>
      <c r="Y21" s="3192"/>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2"/>
      <c r="M22" s="1133"/>
      <c r="N22" s="1133"/>
      <c r="O22" s="1141"/>
      <c r="P22" s="3192"/>
      <c r="Q22" s="1811"/>
      <c r="R22" s="773"/>
      <c r="S22" s="774"/>
      <c r="T22" s="773"/>
      <c r="U22" s="774"/>
      <c r="V22" s="773"/>
      <c r="W22" s="774"/>
      <c r="X22" s="1814"/>
      <c r="Y22" s="3192"/>
      <c r="Z22" s="1815"/>
      <c r="AA22" s="1812">
        <v>1</v>
      </c>
      <c r="AB22" s="1812">
        <v>1</v>
      </c>
      <c r="AC22" s="1812">
        <v>1</v>
      </c>
    </row>
    <row r="23" spans="1:29" s="116" customFormat="1" ht="15">
      <c r="A23" s="648"/>
      <c r="B23" s="632" t="s">
        <v>2607</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2"/>
      <c r="Q23" s="1796" t="str">
        <f t="shared" si="8"/>
        <v>公共配套设施</v>
      </c>
      <c r="R23" s="769" t="s">
        <v>17</v>
      </c>
      <c r="S23" s="770">
        <f>F23</f>
        <v>100</v>
      </c>
      <c r="T23" s="769" t="s">
        <v>17</v>
      </c>
      <c r="U23" s="770">
        <f>H23</f>
        <v>100</v>
      </c>
      <c r="V23" s="769" t="s">
        <v>17</v>
      </c>
      <c r="W23" s="770">
        <f>J23</f>
        <v>100</v>
      </c>
      <c r="X23" s="771"/>
      <c r="Y23" s="3192"/>
      <c r="Z23" s="54" t="str">
        <f>Q23</f>
        <v>公共配套设施</v>
      </c>
      <c r="AA23" s="1812">
        <f>D23/F23</f>
        <v>1</v>
      </c>
      <c r="AB23" s="1812">
        <f>D23/H23</f>
        <v>1</v>
      </c>
      <c r="AC23" s="1812">
        <f>D23/J23</f>
        <v>1</v>
      </c>
    </row>
    <row r="24" spans="1:29" s="116" customFormat="1" ht="15">
      <c r="A24" s="648"/>
      <c r="B24" s="631"/>
      <c r="C24" s="2701"/>
      <c r="D24" s="447"/>
      <c r="E24" s="2612"/>
      <c r="F24" s="447"/>
      <c r="G24" s="2612"/>
      <c r="H24" s="447"/>
      <c r="I24" s="446"/>
      <c r="J24" s="447"/>
      <c r="K24" s="671"/>
      <c r="L24" s="1134"/>
      <c r="M24" s="1135"/>
      <c r="N24" s="1135"/>
      <c r="O24" s="1136"/>
      <c r="P24" s="3192"/>
      <c r="Q24" s="1796"/>
      <c r="R24" s="769"/>
      <c r="S24" s="770"/>
      <c r="T24" s="769"/>
      <c r="U24" s="770"/>
      <c r="V24" s="769"/>
      <c r="W24" s="770"/>
      <c r="X24" s="771"/>
      <c r="Y24" s="3192"/>
      <c r="Z24" s="54"/>
      <c r="AA24" s="772">
        <v>1</v>
      </c>
      <c r="AB24" s="772">
        <v>1</v>
      </c>
      <c r="AC24" s="772">
        <v>1</v>
      </c>
    </row>
    <row r="25" spans="1:29" s="116" customFormat="1" ht="15">
      <c r="A25" s="648"/>
      <c r="B25" s="632" t="s">
        <v>2608</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2"/>
      <c r="Q25" s="1796" t="str">
        <f t="shared" ref="Q25" si="9">B25</f>
        <v>基础设施水平</v>
      </c>
      <c r="R25" s="769" t="s">
        <v>17</v>
      </c>
      <c r="S25" s="770">
        <f>F25</f>
        <v>100</v>
      </c>
      <c r="T25" s="769" t="s">
        <v>17</v>
      </c>
      <c r="U25" s="770">
        <f>H25</f>
        <v>100</v>
      </c>
      <c r="V25" s="769" t="s">
        <v>17</v>
      </c>
      <c r="W25" s="770">
        <f>J25</f>
        <v>100</v>
      </c>
      <c r="X25" s="771"/>
      <c r="Y25" s="3192"/>
      <c r="Z25" s="54" t="str">
        <f>Q25</f>
        <v>基础设施水平</v>
      </c>
      <c r="AA25" s="1812">
        <f>D25/F25</f>
        <v>1</v>
      </c>
      <c r="AB25" s="1812">
        <f>D25/H25</f>
        <v>1</v>
      </c>
      <c r="AC25" s="1812">
        <f>D25/J25</f>
        <v>1</v>
      </c>
    </row>
    <row r="26" spans="1:29" s="116" customFormat="1" ht="15">
      <c r="A26" s="648"/>
      <c r="B26" s="631"/>
      <c r="C26" s="2701"/>
      <c r="D26" s="447"/>
      <c r="E26" s="2702"/>
      <c r="F26" s="447"/>
      <c r="G26" s="2702"/>
      <c r="H26" s="447"/>
      <c r="I26" s="2702"/>
      <c r="J26" s="447"/>
      <c r="K26" s="671"/>
      <c r="L26" s="1134"/>
      <c r="M26" s="1135"/>
      <c r="N26" s="1135"/>
      <c r="O26" s="1136"/>
      <c r="P26" s="3192"/>
      <c r="Q26" s="1796"/>
      <c r="R26" s="769"/>
      <c r="S26" s="770"/>
      <c r="T26" s="769"/>
      <c r="U26" s="770"/>
      <c r="V26" s="769"/>
      <c r="W26" s="770"/>
      <c r="X26" s="771"/>
      <c r="Y26" s="3192"/>
      <c r="Z26" s="54"/>
      <c r="AA26" s="772">
        <v>1</v>
      </c>
      <c r="AB26" s="772">
        <v>1</v>
      </c>
      <c r="AC26" s="772">
        <v>1</v>
      </c>
    </row>
    <row r="27" spans="1:29" ht="15">
      <c r="A27" s="427"/>
      <c r="B27" s="631" t="s">
        <v>2609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2"/>
      <c r="Z27" s="1815" t="str">
        <f t="shared" ref="Z27:Z40" si="13">Q27</f>
        <v>临街状况</v>
      </c>
      <c r="AA27" s="1812">
        <f t="shared" si="3"/>
        <v>1</v>
      </c>
      <c r="AB27" s="1812">
        <f t="shared" si="4"/>
        <v>1</v>
      </c>
      <c r="AC27" s="1812">
        <f t="shared" si="5"/>
        <v>1</v>
      </c>
    </row>
    <row r="28" spans="1:29" ht="27">
      <c r="A28" s="427"/>
      <c r="B28" s="632" t="s">
        <v>2644</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2"/>
      <c r="Q28" s="1811" t="str">
        <f t="shared" si="8"/>
        <v>毗邻道路的类型与等级</v>
      </c>
      <c r="R28" s="773" t="s">
        <v>17</v>
      </c>
      <c r="S28" s="774">
        <f t="shared" si="10"/>
        <v>100</v>
      </c>
      <c r="T28" s="773" t="s">
        <v>17</v>
      </c>
      <c r="U28" s="774">
        <f t="shared" si="11"/>
        <v>100</v>
      </c>
      <c r="V28" s="773" t="s">
        <v>17</v>
      </c>
      <c r="W28" s="774">
        <f t="shared" si="12"/>
        <v>100</v>
      </c>
      <c r="X28" s="1814"/>
      <c r="Y28" s="3192"/>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2"/>
      <c r="M29" s="1133"/>
      <c r="N29" s="1133"/>
      <c r="O29" s="1141"/>
      <c r="P29" s="3192"/>
      <c r="Q29" s="1811"/>
      <c r="R29" s="773"/>
      <c r="S29" s="774"/>
      <c r="T29" s="773"/>
      <c r="U29" s="774"/>
      <c r="V29" s="773"/>
      <c r="W29" s="774"/>
      <c r="X29" s="1814"/>
      <c r="Y29" s="3192"/>
      <c r="Z29" s="1815"/>
      <c r="AA29" s="1812">
        <v>1</v>
      </c>
      <c r="AB29" s="1812">
        <v>1</v>
      </c>
      <c r="AC29" s="1812">
        <v>1</v>
      </c>
    </row>
    <row r="30" spans="1:29" ht="15">
      <c r="A30" s="427"/>
      <c r="B30" s="653" t="s">
        <v>2702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2"/>
      <c r="Q30" s="1811" t="str">
        <f t="shared" si="8"/>
        <v>土地级别</v>
      </c>
      <c r="R30" s="773" t="s">
        <v>17</v>
      </c>
      <c r="S30" s="774">
        <f t="shared" si="10"/>
        <v>100</v>
      </c>
      <c r="T30" s="773" t="s">
        <v>17</v>
      </c>
      <c r="U30" s="774">
        <f t="shared" si="11"/>
        <v>100</v>
      </c>
      <c r="V30" s="773" t="s">
        <v>17</v>
      </c>
      <c r="W30" s="774">
        <f t="shared" si="12"/>
        <v>100</v>
      </c>
      <c r="X30" s="1814"/>
      <c r="Y30" s="3192"/>
      <c r="Z30" s="1815" t="str">
        <f t="shared" si="13"/>
        <v>土地级别</v>
      </c>
      <c r="AA30" s="1812">
        <f t="shared" si="3"/>
        <v>1</v>
      </c>
      <c r="AB30" s="1812">
        <f t="shared" si="4"/>
        <v>1</v>
      </c>
      <c r="AC30" s="1812">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2"/>
      <c r="Q31" s="1811">
        <f t="shared" si="8"/>
        <v>111</v>
      </c>
      <c r="R31" s="773" t="s">
        <v>17</v>
      </c>
      <c r="S31" s="774">
        <f t="shared" si="10"/>
        <v>100</v>
      </c>
      <c r="T31" s="773" t="s">
        <v>17</v>
      </c>
      <c r="U31" s="774">
        <f t="shared" si="11"/>
        <v>100</v>
      </c>
      <c r="V31" s="773" t="s">
        <v>17</v>
      </c>
      <c r="W31" s="774">
        <f t="shared" si="12"/>
        <v>100</v>
      </c>
      <c r="X31" s="1814"/>
      <c r="Y31" s="3192"/>
      <c r="Z31" s="1815">
        <f t="shared" si="13"/>
        <v>111</v>
      </c>
      <c r="AA31" s="1812">
        <f t="shared" si="3"/>
        <v>1</v>
      </c>
      <c r="AB31" s="1812">
        <f t="shared" si="4"/>
        <v>1</v>
      </c>
      <c r="AC31" s="1812">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3" t="s">
        <v>2518</v>
      </c>
      <c r="Q32" s="1811">
        <f t="shared" si="8"/>
        <v>111</v>
      </c>
      <c r="R32" s="773" t="s">
        <v>17</v>
      </c>
      <c r="S32" s="774">
        <f t="shared" si="10"/>
        <v>100</v>
      </c>
      <c r="T32" s="773" t="s">
        <v>17</v>
      </c>
      <c r="U32" s="774">
        <f t="shared" si="11"/>
        <v>100</v>
      </c>
      <c r="V32" s="773" t="s">
        <v>17</v>
      </c>
      <c r="W32" s="774">
        <f t="shared" si="12"/>
        <v>100</v>
      </c>
      <c r="X32" s="1814"/>
      <c r="Y32" s="3194" t="s">
        <v>2518</v>
      </c>
      <c r="Z32" s="1815">
        <f t="shared" si="13"/>
        <v>111</v>
      </c>
      <c r="AA32" s="1812">
        <f t="shared" si="3"/>
        <v>1</v>
      </c>
      <c r="AB32" s="1812">
        <f t="shared" si="4"/>
        <v>1</v>
      </c>
      <c r="AC32" s="1812">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4"/>
      <c r="Q33" s="1811">
        <f t="shared" si="8"/>
        <v>111</v>
      </c>
      <c r="R33" s="776" t="s">
        <v>17</v>
      </c>
      <c r="S33" s="777">
        <f t="shared" si="10"/>
        <v>100</v>
      </c>
      <c r="T33" s="776" t="s">
        <v>17</v>
      </c>
      <c r="U33" s="777">
        <f t="shared" si="11"/>
        <v>100</v>
      </c>
      <c r="V33" s="776" t="s">
        <v>17</v>
      </c>
      <c r="W33" s="777">
        <f t="shared" si="12"/>
        <v>100</v>
      </c>
      <c r="X33" s="778"/>
      <c r="Y33" s="3194"/>
      <c r="Z33" s="779">
        <f t="shared" si="13"/>
        <v>111</v>
      </c>
      <c r="AA33" s="1812">
        <f t="shared" si="3"/>
        <v>1</v>
      </c>
      <c r="AB33" s="1812">
        <f t="shared" si="4"/>
        <v>1</v>
      </c>
      <c r="AC33" s="1812">
        <f t="shared" si="5"/>
        <v>1</v>
      </c>
    </row>
    <row r="34" spans="1:29" ht="15">
      <c r="A34" s="439" t="s">
        <v>2516</v>
      </c>
      <c r="B34" s="455" t="s">
        <v>2703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4"/>
      <c r="Q34" s="1811" t="str">
        <f>B34</f>
        <v>宗地面积</v>
      </c>
      <c r="R34" s="773" t="s">
        <v>17</v>
      </c>
      <c r="S34" s="774" t="e">
        <f t="shared" si="10"/>
        <v>#N/A</v>
      </c>
      <c r="T34" s="773" t="s">
        <v>17</v>
      </c>
      <c r="U34" s="774" t="e">
        <f t="shared" si="11"/>
        <v>#N/A</v>
      </c>
      <c r="V34" s="773" t="s">
        <v>17</v>
      </c>
      <c r="W34" s="774" t="e">
        <f t="shared" si="12"/>
        <v>#N/A</v>
      </c>
      <c r="X34" s="1814"/>
      <c r="Y34" s="3194"/>
      <c r="Z34" s="1815" t="str">
        <f t="shared" si="13"/>
        <v>宗地面积</v>
      </c>
      <c r="AA34" s="1812" t="e">
        <f t="shared" si="3"/>
        <v>#N/A</v>
      </c>
      <c r="AB34" s="1812" t="e">
        <f t="shared" si="4"/>
        <v>#N/A</v>
      </c>
      <c r="AC34" s="1812" t="e">
        <f t="shared" si="5"/>
        <v>#N/A</v>
      </c>
    </row>
    <row r="35" spans="1:29" ht="15">
      <c r="A35" s="471"/>
      <c r="B35" s="421" t="s">
        <v>2704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94"/>
      <c r="Q35" s="1811" t="str">
        <f t="shared" ref="Q35:Q40" si="14">B35</f>
        <v>宗地形状</v>
      </c>
      <c r="R35" s="773" t="s">
        <v>17</v>
      </c>
      <c r="S35" s="774">
        <f t="shared" si="10"/>
        <v>100</v>
      </c>
      <c r="T35" s="773" t="s">
        <v>17</v>
      </c>
      <c r="U35" s="774">
        <f t="shared" si="11"/>
        <v>100</v>
      </c>
      <c r="V35" s="773" t="s">
        <v>17</v>
      </c>
      <c r="W35" s="774">
        <f t="shared" si="12"/>
        <v>100</v>
      </c>
      <c r="X35" s="1814"/>
      <c r="Y35" s="3194"/>
      <c r="Z35" s="1815" t="str">
        <f t="shared" si="13"/>
        <v>宗地形状</v>
      </c>
      <c r="AA35" s="1812">
        <f t="shared" si="3"/>
        <v>1</v>
      </c>
      <c r="AB35" s="1812">
        <f t="shared" si="4"/>
        <v>1</v>
      </c>
      <c r="AC35" s="1812">
        <f t="shared" si="5"/>
        <v>1</v>
      </c>
    </row>
    <row r="36" spans="1:29" s="116" customFormat="1" ht="15">
      <c r="A36" s="472"/>
      <c r="B36" s="421" t="s">
        <v>2706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94"/>
      <c r="Q36" s="1811" t="str">
        <f t="shared" si="14"/>
        <v>宗地开发程度</v>
      </c>
      <c r="R36" s="769" t="s">
        <v>17</v>
      </c>
      <c r="S36" s="770">
        <f t="shared" si="10"/>
        <v>100</v>
      </c>
      <c r="T36" s="769" t="s">
        <v>17</v>
      </c>
      <c r="U36" s="770">
        <f t="shared" si="11"/>
        <v>100</v>
      </c>
      <c r="V36" s="769" t="s">
        <v>17</v>
      </c>
      <c r="W36" s="770">
        <f t="shared" si="12"/>
        <v>100</v>
      </c>
      <c r="X36" s="771"/>
      <c r="Y36" s="3194"/>
      <c r="Z36" s="54" t="str">
        <f t="shared" si="13"/>
        <v>宗地开发程度</v>
      </c>
      <c r="AA36" s="772">
        <f t="shared" si="3"/>
        <v>1</v>
      </c>
      <c r="AB36" s="772">
        <f t="shared" si="4"/>
        <v>1</v>
      </c>
      <c r="AC36" s="772">
        <f t="shared" si="5"/>
        <v>1</v>
      </c>
    </row>
    <row r="37" spans="1:29" ht="15">
      <c r="A37" s="471"/>
      <c r="B37" s="421" t="s">
        <v>2707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94" t="s">
        <v>2518</v>
      </c>
      <c r="Q37" s="1811" t="str">
        <f t="shared" si="14"/>
        <v>工程地质条件</v>
      </c>
      <c r="R37" s="773" t="s">
        <v>17</v>
      </c>
      <c r="S37" s="774">
        <f t="shared" si="10"/>
        <v>100</v>
      </c>
      <c r="T37" s="773" t="s">
        <v>17</v>
      </c>
      <c r="U37" s="774">
        <f t="shared" si="11"/>
        <v>100</v>
      </c>
      <c r="V37" s="773" t="s">
        <v>17</v>
      </c>
      <c r="W37" s="774">
        <f t="shared" si="12"/>
        <v>100</v>
      </c>
      <c r="X37" s="1814"/>
      <c r="Y37" s="3194" t="s">
        <v>2518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4"/>
      <c r="Q38" s="1811">
        <f t="shared" si="14"/>
        <v>111</v>
      </c>
      <c r="R38" s="773" t="s">
        <v>17</v>
      </c>
      <c r="S38" s="774">
        <f t="shared" si="10"/>
        <v>100</v>
      </c>
      <c r="T38" s="773" t="s">
        <v>17</v>
      </c>
      <c r="U38" s="774">
        <f t="shared" si="11"/>
        <v>100</v>
      </c>
      <c r="V38" s="773" t="s">
        <v>17</v>
      </c>
      <c r="W38" s="774">
        <f t="shared" si="12"/>
        <v>100</v>
      </c>
      <c r="X38" s="1814"/>
      <c r="Y38" s="3194"/>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4"/>
      <c r="Q39" s="1811">
        <f t="shared" si="14"/>
        <v>111</v>
      </c>
      <c r="R39" s="773" t="s">
        <v>17</v>
      </c>
      <c r="S39" s="774">
        <f t="shared" si="10"/>
        <v>100</v>
      </c>
      <c r="T39" s="773" t="s">
        <v>17</v>
      </c>
      <c r="U39" s="774">
        <f t="shared" si="11"/>
        <v>100</v>
      </c>
      <c r="V39" s="773" t="s">
        <v>17</v>
      </c>
      <c r="W39" s="774">
        <f t="shared" si="12"/>
        <v>100</v>
      </c>
      <c r="X39" s="1814"/>
      <c r="Y39" s="3194"/>
      <c r="Z39" s="1815">
        <f t="shared" si="13"/>
        <v>111</v>
      </c>
      <c r="AA39" s="1812">
        <f t="shared" si="3"/>
        <v>1</v>
      </c>
      <c r="AB39" s="1812">
        <f t="shared" si="4"/>
        <v>1</v>
      </c>
      <c r="AC39" s="1812">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4"/>
      <c r="Q40" s="1811">
        <f t="shared" si="14"/>
        <v>111</v>
      </c>
      <c r="R40" s="776" t="s">
        <v>17</v>
      </c>
      <c r="S40" s="777">
        <f t="shared" si="10"/>
        <v>100</v>
      </c>
      <c r="T40" s="776" t="s">
        <v>17</v>
      </c>
      <c r="U40" s="777">
        <f t="shared" si="11"/>
        <v>100</v>
      </c>
      <c r="V40" s="776" t="s">
        <v>17</v>
      </c>
      <c r="W40" s="777">
        <f t="shared" si="12"/>
        <v>100</v>
      </c>
      <c r="X40" s="778"/>
      <c r="Y40" s="3194"/>
      <c r="Z40" s="779">
        <f t="shared" si="13"/>
        <v>111</v>
      </c>
      <c r="AA40" s="1812">
        <f t="shared" si="3"/>
        <v>1</v>
      </c>
      <c r="AB40" s="1812">
        <f t="shared" si="4"/>
        <v>1</v>
      </c>
      <c r="AC40" s="1812">
        <f t="shared" si="5"/>
        <v>1</v>
      </c>
    </row>
    <row r="41" spans="1:29" ht="15">
      <c r="A41" s="478" t="s">
        <v>2673</v>
      </c>
      <c r="B41" s="2705" t="s">
        <v>2751</v>
      </c>
      <c r="C41" s="681" t="s">
        <v>1</v>
      </c>
      <c r="D41" s="480"/>
      <c r="E41" s="481"/>
      <c r="F41" s="482"/>
      <c r="G41" s="483"/>
      <c r="H41" s="484"/>
      <c r="I41" s="481"/>
      <c r="J41" s="484"/>
      <c r="K41" s="782"/>
      <c r="L41" s="1145"/>
      <c r="M41" s="1133"/>
      <c r="N41" s="1133"/>
      <c r="O41" s="1146"/>
      <c r="P41" s="3176" t="str">
        <f>A41</f>
        <v>成交单价</v>
      </c>
      <c r="Q41" s="3176"/>
      <c r="R41" s="3189">
        <f>E41</f>
        <v>0</v>
      </c>
      <c r="S41" s="3189"/>
      <c r="T41" s="3189">
        <f>G41</f>
        <v>0</v>
      </c>
      <c r="U41" s="3189"/>
      <c r="V41" s="3189">
        <f>I41</f>
        <v>0</v>
      </c>
      <c r="W41" s="3189"/>
      <c r="X41" s="758"/>
      <c r="Y41" s="780"/>
      <c r="Z41" s="758"/>
      <c r="AA41" s="758"/>
      <c r="AB41" s="758"/>
      <c r="AC41" s="758"/>
    </row>
    <row r="42" spans="1:29" ht="15.75" thickBot="1">
      <c r="A42" s="485" t="s">
        <v>2622</v>
      </c>
      <c r="B42" s="682"/>
      <c r="C42" s="489" t="e">
        <f>R43</f>
        <v>#DIV/0!</v>
      </c>
      <c r="D42" s="488"/>
      <c r="E42" s="489" t="e">
        <f>R42</f>
        <v>#DIV/0!</v>
      </c>
      <c r="F42" s="490"/>
      <c r="G42" s="487" t="e">
        <f>T42</f>
        <v>#DIV/0!</v>
      </c>
      <c r="H42" s="488"/>
      <c r="I42" s="489" t="e">
        <f>V42</f>
        <v>#DIV/0!</v>
      </c>
      <c r="J42" s="488"/>
      <c r="K42" s="783"/>
      <c r="L42" s="1145"/>
      <c r="M42" s="1133"/>
      <c r="N42" s="1133"/>
      <c r="O42" s="1146"/>
      <c r="P42" s="3176" t="str">
        <f>A42</f>
        <v>比较价值（元/平方米）</v>
      </c>
      <c r="Q42" s="3176"/>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1" t="s">
        <v>2623</v>
      </c>
      <c r="B43" s="492"/>
      <c r="C43" s="493" t="e">
        <f>R43</f>
        <v>#DIV/0!</v>
      </c>
      <c r="D43" s="493"/>
      <c r="E43" s="493"/>
      <c r="F43" s="493"/>
      <c r="G43" s="493"/>
      <c r="H43" s="493"/>
      <c r="I43" s="493"/>
      <c r="J43" s="493"/>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2709</v>
      </c>
      <c r="B50" s="684" t="s">
        <v>2710</v>
      </c>
      <c r="C50" s="2706" t="s">
        <v>2711</v>
      </c>
      <c r="D50" s="2707" t="s">
        <v>2712</v>
      </c>
      <c r="E50" s="685" t="s">
        <v>2713</v>
      </c>
      <c r="F50" s="686" t="s">
        <v>2714</v>
      </c>
      <c r="G50" s="3177" t="s">
        <v>2715</v>
      </c>
      <c r="H50" s="3199"/>
      <c r="I50" s="1815" t="s">
        <v>2752</v>
      </c>
      <c r="J50" s="1815" t="str">
        <f>项目基本情况!F35</f>
        <v>廊坊市</v>
      </c>
      <c r="K50" s="2709" t="s">
        <v>2717</v>
      </c>
      <c r="L50" s="1108"/>
      <c r="M50" s="1146"/>
      <c r="N50" s="1146"/>
      <c r="O50" s="1146"/>
    </row>
    <row r="51" spans="1:17" s="691" customFormat="1">
      <c r="A51" s="687" t="s">
        <v>2718</v>
      </c>
      <c r="B51" s="688" t="e">
        <f>C43</f>
        <v>#DIV/0!</v>
      </c>
      <c r="C51" s="689">
        <v>1</v>
      </c>
      <c r="D51" s="1165">
        <v>1</v>
      </c>
      <c r="E51" s="689">
        <f>'数据-汇总表'!E8+'数据-汇总表'!E9</f>
        <v>12111.68</v>
      </c>
      <c r="F51" s="690" t="e">
        <f t="shared" ref="F51:F60" si="15">ROUND(B51*E51/10000,0)</f>
        <v>#DIV/0!</v>
      </c>
      <c r="G51" s="3200"/>
      <c r="H51" s="3176"/>
      <c r="I51" s="944">
        <v>1</v>
      </c>
      <c r="J51" s="944">
        <v>1</v>
      </c>
      <c r="K51" s="1147"/>
      <c r="L51" s="943"/>
      <c r="M51" s="943"/>
      <c r="N51" s="943"/>
      <c r="O51" s="943"/>
    </row>
    <row r="52" spans="1:17" s="691" customFormat="1">
      <c r="A52" s="692" t="s">
        <v>2719</v>
      </c>
      <c r="B52" s="261" t="e">
        <f>ROUND($C$43*C52*D52,0)</f>
        <v>#DIV/0!</v>
      </c>
      <c r="C52" s="199">
        <f t="shared" ref="C52:C60" si="16">IF($C$50="北京市系数",I52,J52)</f>
        <v>0</v>
      </c>
      <c r="D52" s="1166">
        <v>0.25</v>
      </c>
      <c r="E52" s="693"/>
      <c r="F52" s="690" t="e">
        <f t="shared" si="15"/>
        <v>#DIV/0!</v>
      </c>
      <c r="G52" s="3201" t="s">
        <v>2720</v>
      </c>
      <c r="H52" s="1106">
        <f>项目基本情况!B37</f>
        <v>0</v>
      </c>
      <c r="I52" s="944">
        <f>SUMIF(修正!A45:A56,H52,修正!B45:B56)</f>
        <v>0</v>
      </c>
      <c r="J52" s="945"/>
      <c r="K52" s="1146"/>
      <c r="L52" s="943"/>
      <c r="M52" s="943"/>
      <c r="N52" s="943"/>
      <c r="O52" s="943"/>
    </row>
    <row r="53" spans="1:17" s="691" customFormat="1">
      <c r="A53" s="692" t="s">
        <v>2721</v>
      </c>
      <c r="B53" s="261" t="e">
        <f t="shared" ref="B53:B60" si="17">ROUND($C$43*C53*D53,0)</f>
        <v>#DIV/0!</v>
      </c>
      <c r="C53" s="199">
        <f t="shared" si="16"/>
        <v>0</v>
      </c>
      <c r="D53" s="1166">
        <v>0.25</v>
      </c>
      <c r="E53" s="693"/>
      <c r="F53" s="690" t="e">
        <f t="shared" si="15"/>
        <v>#DIV/0!</v>
      </c>
      <c r="G53" s="3201"/>
      <c r="H53" s="1106">
        <f>项目基本情况!B37</f>
        <v>0</v>
      </c>
      <c r="I53" s="944">
        <f>SUMIF(修正!A45:A56,H53,修正!C45:C56)</f>
        <v>0</v>
      </c>
      <c r="J53" s="945"/>
      <c r="K53" s="1147"/>
      <c r="L53" s="943"/>
      <c r="M53" s="943"/>
      <c r="N53" s="943"/>
      <c r="O53" s="943"/>
    </row>
    <row r="54" spans="1:17" s="691" customFormat="1">
      <c r="A54" s="692" t="s">
        <v>2722</v>
      </c>
      <c r="B54" s="261" t="e">
        <f t="shared" si="17"/>
        <v>#DIV/0!</v>
      </c>
      <c r="C54" s="199">
        <f t="shared" si="16"/>
        <v>0</v>
      </c>
      <c r="D54" s="1166">
        <v>0.25</v>
      </c>
      <c r="E54" s="693"/>
      <c r="F54" s="690" t="e">
        <f t="shared" si="15"/>
        <v>#DIV/0!</v>
      </c>
      <c r="G54" s="3201"/>
      <c r="H54" s="1106">
        <f>项目基本情况!B37</f>
        <v>0</v>
      </c>
      <c r="I54" s="944">
        <f>SUMIF(修正!A45:A56,H54,修正!D45:D56)</f>
        <v>0</v>
      </c>
      <c r="J54" s="945"/>
      <c r="K54" s="1146"/>
      <c r="L54" s="943"/>
      <c r="M54" s="943"/>
      <c r="N54" s="943"/>
      <c r="O54" s="943"/>
    </row>
    <row r="55" spans="1:17" s="691" customFormat="1">
      <c r="A55" s="692" t="s">
        <v>2723</v>
      </c>
      <c r="B55" s="261" t="e">
        <f t="shared" si="17"/>
        <v>#DIV/0!</v>
      </c>
      <c r="C55" s="199">
        <f t="shared" si="16"/>
        <v>0</v>
      </c>
      <c r="D55" s="1166">
        <v>0.25</v>
      </c>
      <c r="E55" s="693"/>
      <c r="F55" s="690" t="e">
        <f t="shared" si="15"/>
        <v>#DIV/0!</v>
      </c>
      <c r="G55" s="3201"/>
      <c r="H55" s="1106">
        <f>项目基本情况!B37</f>
        <v>0</v>
      </c>
      <c r="I55" s="944">
        <f>SUMIF(修正!A45:A56,H55,修正!E45:E56)</f>
        <v>0</v>
      </c>
      <c r="J55" s="945"/>
      <c r="K55" s="1147"/>
      <c r="L55" s="943"/>
      <c r="M55" s="943"/>
      <c r="N55" s="943"/>
      <c r="O55" s="943"/>
    </row>
    <row r="56" spans="1:17" s="691" customFormat="1">
      <c r="A56" s="692" t="s">
        <v>2724</v>
      </c>
      <c r="B56" s="261" t="e">
        <f t="shared" si="17"/>
        <v>#DIV/0!</v>
      </c>
      <c r="C56" s="199">
        <f t="shared" si="16"/>
        <v>0</v>
      </c>
      <c r="D56" s="1166">
        <v>0.25</v>
      </c>
      <c r="E56" s="260">
        <f>'数据-汇总表'!E11</f>
        <v>0</v>
      </c>
      <c r="F56" s="690" t="e">
        <f t="shared" si="15"/>
        <v>#DIV/0!</v>
      </c>
      <c r="G56" s="2710" t="s">
        <v>2725</v>
      </c>
      <c r="H56" s="1106">
        <f>项目基本情况!C37</f>
        <v>0</v>
      </c>
      <c r="I56" s="944">
        <f>SUMIF(修正!A45:A56,H56,修正!F45:F56)</f>
        <v>0</v>
      </c>
      <c r="J56" s="945"/>
      <c r="K56" s="1146"/>
      <c r="L56" s="943"/>
      <c r="M56" s="943"/>
      <c r="N56" s="943"/>
      <c r="O56" s="943"/>
    </row>
    <row r="57" spans="1:17" s="691" customFormat="1">
      <c r="A57" s="692" t="s">
        <v>2726</v>
      </c>
      <c r="B57" s="261" t="e">
        <f t="shared" si="17"/>
        <v>#DIV/0!</v>
      </c>
      <c r="C57" s="199">
        <f t="shared" si="16"/>
        <v>0</v>
      </c>
      <c r="D57" s="1166">
        <v>0.25</v>
      </c>
      <c r="E57" s="260">
        <f>'数据-汇总表'!E12</f>
        <v>0</v>
      </c>
      <c r="F57" s="690" t="e">
        <f t="shared" si="15"/>
        <v>#DIV/0!</v>
      </c>
      <c r="G57" s="1111" t="s">
        <v>2727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2728</v>
      </c>
      <c r="B58" s="261" t="e">
        <f t="shared" si="17"/>
        <v>#DIV/0!</v>
      </c>
      <c r="C58" s="199">
        <f t="shared" si="16"/>
        <v>0</v>
      </c>
      <c r="D58" s="1166">
        <v>0.25</v>
      </c>
      <c r="E58" s="260">
        <f>'数据-汇总表'!E13</f>
        <v>0</v>
      </c>
      <c r="F58" s="690" t="e">
        <f t="shared" si="15"/>
        <v>#DIV/0!</v>
      </c>
      <c r="G58" s="1111" t="s">
        <v>2729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2730</v>
      </c>
      <c r="B59" s="261" t="e">
        <f t="shared" si="17"/>
        <v>#DIV/0!</v>
      </c>
      <c r="C59" s="199">
        <f t="shared" si="16"/>
        <v>0</v>
      </c>
      <c r="D59" s="1166">
        <v>0.25</v>
      </c>
      <c r="E59" s="260">
        <f>'数据-汇总表'!E14</f>
        <v>0</v>
      </c>
      <c r="F59" s="690" t="e">
        <f t="shared" si="15"/>
        <v>#DIV/0!</v>
      </c>
      <c r="G59" s="2710" t="s">
        <v>2720</v>
      </c>
      <c r="H59" s="1106">
        <f>项目基本情况!B37</f>
        <v>0</v>
      </c>
      <c r="I59" s="944">
        <f>SUMIF(修正!A45:A56,H59,修正!H45:H56)</f>
        <v>0</v>
      </c>
      <c r="J59" s="945"/>
      <c r="K59" s="1147"/>
      <c r="L59" s="943"/>
      <c r="M59" s="943"/>
      <c r="N59" s="943"/>
      <c r="O59" s="943"/>
    </row>
    <row r="60" spans="1:17" s="691" customFormat="1" ht="15" thickBot="1">
      <c r="A60" s="692" t="s">
        <v>2731</v>
      </c>
      <c r="B60" s="261" t="e">
        <f t="shared" si="17"/>
        <v>#DIV/0!</v>
      </c>
      <c r="C60" s="199">
        <f t="shared" si="16"/>
        <v>0</v>
      </c>
      <c r="D60" s="1166">
        <v>0.25</v>
      </c>
      <c r="E60" s="260">
        <f>'数据-汇总表'!E15</f>
        <v>0</v>
      </c>
      <c r="F60" s="690" t="e">
        <f t="shared" si="15"/>
        <v>#DIV/0!</v>
      </c>
      <c r="G60" s="2711" t="s">
        <v>2725</v>
      </c>
      <c r="H60" s="1116">
        <f>项目基本情况!C37</f>
        <v>0</v>
      </c>
      <c r="I60" s="944">
        <f>SUMIF(修正!A45:A56,H60,修正!H45:H56)</f>
        <v>0</v>
      </c>
      <c r="J60" s="945"/>
      <c r="K60" s="1146"/>
      <c r="L60" s="943"/>
      <c r="M60" s="943"/>
      <c r="N60" s="943"/>
      <c r="O60" s="943"/>
    </row>
    <row r="61" spans="1:17" s="691" customFormat="1" ht="15" thickBot="1">
      <c r="A61" s="694" t="s">
        <v>2732</v>
      </c>
      <c r="B61" s="695" t="s">
        <v>27</v>
      </c>
      <c r="C61" s="695" t="s">
        <v>28</v>
      </c>
      <c r="D61" s="695" t="s">
        <v>1027</v>
      </c>
      <c r="E61" s="695">
        <f>IF(B41="楼面地价",SUM(E51:E60),'数据-汇总表'!D3)</f>
        <v>9365.7099999999991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2627</v>
      </c>
      <c r="B64" s="758"/>
      <c r="C64" s="763"/>
      <c r="D64" s="763"/>
      <c r="E64" s="763"/>
      <c r="F64" s="764"/>
      <c r="G64" s="764"/>
      <c r="H64" s="763"/>
      <c r="I64" s="763"/>
      <c r="J64" s="763"/>
      <c r="K64" s="765"/>
      <c r="L64" s="766"/>
      <c r="M64" s="763"/>
      <c r="N64" s="763"/>
      <c r="O64" s="1161"/>
      <c r="P64" s="502"/>
      <c r="Q64" s="503"/>
    </row>
    <row r="65" spans="1:17" s="507" customFormat="1" ht="15">
      <c r="A65" s="2712" t="s">
        <v>2733</v>
      </c>
      <c r="B65" s="1361"/>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7" t="s">
        <v>2753</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2538</v>
      </c>
      <c r="B67" s="515"/>
      <c r="C67" s="516"/>
      <c r="D67" s="517"/>
      <c r="E67" s="517"/>
      <c r="F67" s="517"/>
      <c r="G67" s="517"/>
      <c r="H67" s="517"/>
      <c r="I67" s="517"/>
      <c r="J67" s="517"/>
      <c r="K67" s="517"/>
      <c r="L67" s="517"/>
      <c r="M67" s="518"/>
      <c r="N67" s="518"/>
      <c r="O67" s="519"/>
      <c r="P67" s="503"/>
      <c r="Q67" s="503"/>
    </row>
    <row r="68" spans="1:17" s="116" customFormat="1" ht="15">
      <c r="A68" s="520" t="s">
        <v>2503</v>
      </c>
      <c r="B68" s="509"/>
      <c r="C68" s="521" t="s">
        <v>2605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2541</v>
      </c>
      <c r="B70" s="527" t="s">
        <v>2507</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2510</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2511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2512</v>
      </c>
      <c r="B83" s="527" t="s">
        <v>2658</v>
      </c>
      <c r="C83" s="572" t="s">
        <v>2550</v>
      </c>
      <c r="D83" s="572" t="s">
        <v>2551</v>
      </c>
      <c r="E83" s="572" t="s">
        <v>2552</v>
      </c>
      <c r="F83" s="572" t="s">
        <v>2553</v>
      </c>
      <c r="G83" s="572" t="s">
        <v>2554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2555</v>
      </c>
      <c r="C85" s="577" t="s">
        <v>2550</v>
      </c>
      <c r="D85" s="577" t="s">
        <v>2551</v>
      </c>
      <c r="E85" s="577" t="s">
        <v>2552</v>
      </c>
      <c r="F85" s="577" t="s">
        <v>2553</v>
      </c>
      <c r="G85" s="577" t="s">
        <v>2554</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2736</v>
      </c>
      <c r="C87" s="572" t="s">
        <v>2550</v>
      </c>
      <c r="D87" s="572" t="s">
        <v>2551</v>
      </c>
      <c r="E87" s="572" t="s">
        <v>2552</v>
      </c>
      <c r="F87" s="572" t="s">
        <v>2553</v>
      </c>
      <c r="G87" s="572" t="s">
        <v>2554</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2737</v>
      </c>
      <c r="C89" s="572" t="s">
        <v>2550</v>
      </c>
      <c r="D89" s="572" t="s">
        <v>2551</v>
      </c>
      <c r="E89" s="572" t="s">
        <v>2552</v>
      </c>
      <c r="F89" s="572" t="s">
        <v>2553</v>
      </c>
      <c r="G89" s="572" t="s">
        <v>2554</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2607</v>
      </c>
      <c r="C91" s="572" t="s">
        <v>2550</v>
      </c>
      <c r="D91" s="572" t="s">
        <v>2551</v>
      </c>
      <c r="E91" s="572" t="s">
        <v>2552</v>
      </c>
      <c r="F91" s="572" t="s">
        <v>2553</v>
      </c>
      <c r="G91" s="572" t="s">
        <v>2554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2754</v>
      </c>
      <c r="C93" s="659" t="s">
        <v>2628</v>
      </c>
      <c r="D93" s="659" t="s">
        <v>2629</v>
      </c>
      <c r="E93" s="659" t="s">
        <v>2630</v>
      </c>
      <c r="F93" s="659" t="s">
        <v>2631</v>
      </c>
      <c r="G93" s="659" t="s">
        <v>2632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2738</v>
      </c>
      <c r="D95" s="538" t="s">
        <v>2739</v>
      </c>
      <c r="E95" s="538" t="s">
        <v>2740</v>
      </c>
      <c r="F95" s="538" t="s">
        <v>2741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2644</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2702</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2516</v>
      </c>
      <c r="B107" s="527" t="s">
        <v>2742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2743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2745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2746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2755</v>
      </c>
      <c r="B1" s="240"/>
      <c r="C1" s="244" t="s">
        <v>2756</v>
      </c>
      <c r="D1" s="387">
        <f>SUM(D29:D30,D33:D39)</f>
        <v>0</v>
      </c>
      <c r="E1" s="2718"/>
      <c r="F1" s="2718"/>
      <c r="G1" s="2718"/>
      <c r="H1" s="2718"/>
      <c r="I1" s="2718"/>
      <c r="J1" s="2718"/>
      <c r="K1" s="1372"/>
      <c r="L1" s="2719" t="s">
        <v>2757</v>
      </c>
      <c r="M1" s="1082">
        <f>SUMPRODUCT((区片价!B5:B9=I2)*(区片价!C3:F3=E2)*(区片价!C5:F9))</f>
        <v>0</v>
      </c>
      <c r="N1" s="1085">
        <f>SUMPRODUCT((因素修正幅度!B5:B9=I2)*(因素修正幅度!C3:F3=E2)*(因素修正幅度!C5:F9))</f>
        <v>0</v>
      </c>
      <c r="O1" s="2720"/>
      <c r="P1" s="2720"/>
      <c r="Q1" s="1372"/>
      <c r="R1" s="1603" t="s">
        <v>2758</v>
      </c>
      <c r="S1" s="1603" t="s">
        <v>2759</v>
      </c>
      <c r="T1" s="1603" t="s">
        <v>2760</v>
      </c>
      <c r="U1" s="1603" t="s">
        <v>2761</v>
      </c>
      <c r="V1" s="1603" t="s">
        <v>2762</v>
      </c>
      <c r="W1" s="1607"/>
      <c r="X1" s="1607"/>
      <c r="Y1" s="1607"/>
      <c r="Z1" s="1607"/>
      <c r="AA1" s="1607"/>
      <c r="AB1" s="1607"/>
      <c r="AC1" s="1608"/>
      <c r="AD1" s="1609"/>
      <c r="AE1" s="1609"/>
      <c r="AF1" s="1609"/>
      <c r="AG1" s="1609"/>
      <c r="AH1" s="1609"/>
      <c r="AI1" s="1609"/>
      <c r="AJ1" s="1610"/>
    </row>
    <row r="2" spans="1:36" ht="15.75">
      <c r="A2" s="244" t="s">
        <v>2763</v>
      </c>
      <c r="B2" s="247" t="e">
        <f>C26</f>
        <v>#DIV/0!</v>
      </c>
      <c r="C2" s="2722" t="s">
        <v>2764</v>
      </c>
      <c r="D2" s="2723" t="s">
        <v>2765</v>
      </c>
      <c r="E2" s="2724"/>
      <c r="F2" s="2723" t="s">
        <v>2766</v>
      </c>
      <c r="G2" s="2725">
        <f>IF(E2="商业",项目基本情况!B37,IF(E2="办公",项目基本情况!C37,IF(E2="住宅",项目基本情况!D37,项目基本情况!E37)))</f>
        <v>0</v>
      </c>
      <c r="H2" s="2723" t="s">
        <v>2767</v>
      </c>
      <c r="I2" s="2725">
        <f>IF(E2="商业",项目基本情况!B38,IF(E2="办公",项目基本情况!C38,IF(E2="住宅",项目基本情况!D38,项目基本情况!E38)))</f>
        <v>0</v>
      </c>
      <c r="J2" s="2726"/>
      <c r="K2" s="1372"/>
      <c r="L2" s="2727" t="s">
        <v>2768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2769</v>
      </c>
      <c r="B3" s="247" t="e">
        <f>ROUND(B2*10000/D1,0)</f>
        <v>#DIV/0!</v>
      </c>
      <c r="C3" s="2722" t="s">
        <v>2770</v>
      </c>
      <c r="D3" s="2723" t="s">
        <v>2771</v>
      </c>
      <c r="E3" s="2728"/>
      <c r="F3" s="2729" t="s">
        <v>2772</v>
      </c>
      <c r="G3" s="915">
        <f>IF(F3="宗地容积率",'数据-汇总表'!I4,IF(F3="估价对象容积率",'数据-汇总表'!I6,'数据-汇总表'!I7))</f>
        <v>1.29</v>
      </c>
      <c r="H3" s="197" t="s">
        <v>2773</v>
      </c>
      <c r="I3" s="946"/>
      <c r="J3" s="2726" t="s">
        <v>2774</v>
      </c>
      <c r="K3" s="1372"/>
      <c r="L3" s="2727" t="s">
        <v>2775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3"/>
      <c r="B4" s="3274"/>
      <c r="C4" s="3274"/>
      <c r="D4" s="3275"/>
      <c r="E4" s="3275"/>
      <c r="F4" s="3275"/>
      <c r="G4" s="3275"/>
      <c r="H4" s="3275"/>
      <c r="I4" s="3275"/>
      <c r="J4" s="3276"/>
      <c r="K4" s="1372"/>
      <c r="L4" s="2727" t="s">
        <v>2776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805</v>
      </c>
      <c r="B5" s="2731" t="s">
        <v>2777</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2778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2779</v>
      </c>
      <c r="B6" s="2741" t="s">
        <v>2780</v>
      </c>
      <c r="C6" s="917">
        <f>SUMIF(L1:L12,G2,M1:M12)</f>
        <v>0</v>
      </c>
      <c r="D6" s="2742" t="s">
        <v>2781</v>
      </c>
      <c r="E6" s="2743"/>
      <c r="F6" s="2743"/>
      <c r="G6" s="2744"/>
      <c r="H6" s="2744"/>
      <c r="I6" s="2744"/>
      <c r="J6" s="2745"/>
      <c r="K6" s="1843"/>
      <c r="L6" s="2727" t="s">
        <v>2782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259" t="str">
        <f>IF(E2="商业",IF(C8="不临58条商业街","",2),"")</f>
        <v/>
      </c>
      <c r="B7" s="2746" t="s">
        <v>2783</v>
      </c>
      <c r="C7" s="918" t="e">
        <f>IF(C8="不临58条商业街",1,ROUND(1+(1.6*E8+1.2*E9+0.8*E10+0.4*E11)*C9,4))</f>
        <v>#DIV/0!</v>
      </c>
      <c r="D7" s="2747" t="s">
        <v>2784</v>
      </c>
      <c r="E7" s="947"/>
      <c r="F7" s="2748"/>
      <c r="G7" s="2749"/>
      <c r="H7" s="2749"/>
      <c r="I7" s="2749"/>
      <c r="J7" s="2750"/>
      <c r="K7" s="1843"/>
      <c r="L7" s="2727" t="s">
        <v>2785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2786</v>
      </c>
      <c r="X7" s="1605">
        <f>G2</f>
        <v>0</v>
      </c>
      <c r="Y7" s="1605" t="s">
        <v>2787</v>
      </c>
      <c r="Z7" s="1606">
        <f>G3</f>
        <v>1.29</v>
      </c>
      <c r="AA7" s="1607"/>
      <c r="AB7" s="1607"/>
      <c r="AC7" s="1608"/>
      <c r="AD7" s="1609"/>
      <c r="AE7" s="1609"/>
      <c r="AF7" s="1609"/>
      <c r="AG7" s="1609"/>
      <c r="AH7" s="1609"/>
      <c r="AI7" s="1609"/>
      <c r="AJ7" s="1610"/>
    </row>
    <row r="8" spans="1:36" ht="15">
      <c r="A8" s="3260"/>
      <c r="B8" s="197" t="s">
        <v>2788</v>
      </c>
      <c r="C8" s="2751"/>
      <c r="D8" s="919" t="s">
        <v>138</v>
      </c>
      <c r="E8" s="920" t="e">
        <f>ROUND(C11/E7,4)</f>
        <v>#DIV/0!</v>
      </c>
      <c r="F8" s="2752" t="s">
        <v>2789</v>
      </c>
      <c r="G8" s="2753"/>
      <c r="H8" s="2753"/>
      <c r="I8" s="2753"/>
      <c r="J8" s="2754"/>
      <c r="K8" s="1372"/>
      <c r="L8" s="2727" t="s">
        <v>2790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70" t="s">
        <v>2791</v>
      </c>
      <c r="X8" s="3271"/>
      <c r="Y8" s="1611" t="s">
        <v>2792</v>
      </c>
      <c r="Z8" s="1611" t="s">
        <v>2793</v>
      </c>
      <c r="AA8" s="1611" t="s">
        <v>2794</v>
      </c>
      <c r="AB8" s="1611" t="s">
        <v>2795</v>
      </c>
      <c r="AC8" s="1611" t="s">
        <v>2796</v>
      </c>
      <c r="AD8" s="1611" t="s">
        <v>2797</v>
      </c>
      <c r="AE8" s="1611" t="s">
        <v>2798</v>
      </c>
      <c r="AF8" s="1611" t="s">
        <v>2799</v>
      </c>
      <c r="AG8" s="1611" t="s">
        <v>2800</v>
      </c>
      <c r="AH8" s="1611" t="s">
        <v>2801</v>
      </c>
      <c r="AI8" s="1611" t="s">
        <v>2802</v>
      </c>
      <c r="AJ8" s="1611" t="s">
        <v>2803</v>
      </c>
    </row>
    <row r="9" spans="1:36" ht="15">
      <c r="A9" s="3260"/>
      <c r="B9" s="197" t="s">
        <v>2804</v>
      </c>
      <c r="C9" s="921">
        <f>SUMIF(修正!C59:C119,C8,修正!E59:E119)</f>
        <v>0</v>
      </c>
      <c r="D9" s="199" t="s">
        <v>139</v>
      </c>
      <c r="E9" s="199" t="e">
        <f>ROUND(C11/E7,4)</f>
        <v>#DIV/0!</v>
      </c>
      <c r="F9" s="2752" t="s">
        <v>2805</v>
      </c>
      <c r="G9" s="2753"/>
      <c r="H9" s="2753"/>
      <c r="I9" s="2753"/>
      <c r="J9" s="2754"/>
      <c r="K9" s="1372"/>
      <c r="L9" s="2727" t="s">
        <v>2806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72" t="s">
        <v>2807</v>
      </c>
      <c r="X9" s="1612" t="s">
        <v>2808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0"/>
      <c r="B10" s="197" t="s">
        <v>2809</v>
      </c>
      <c r="C10" s="199">
        <f>SUMIF(修正!C59:C119,C8,修正!F59:F119)</f>
        <v>0</v>
      </c>
      <c r="D10" s="199" t="s">
        <v>140</v>
      </c>
      <c r="E10" s="199" t="e">
        <f>ROUND(C11/E7,4)</f>
        <v>#DIV/0!</v>
      </c>
      <c r="F10" s="2752" t="s">
        <v>2810</v>
      </c>
      <c r="G10" s="2753"/>
      <c r="H10" s="2753"/>
      <c r="I10" s="2753"/>
      <c r="J10" s="2754"/>
      <c r="K10" s="1372"/>
      <c r="L10" s="2727" t="s">
        <v>2811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7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0"/>
      <c r="B11" s="2755" t="s">
        <v>2812</v>
      </c>
      <c r="C11" s="922">
        <f>C10/4</f>
        <v>0</v>
      </c>
      <c r="D11" s="922" t="s">
        <v>141</v>
      </c>
      <c r="E11" s="922" t="e">
        <f>ROUND(C11/E7,4)</f>
        <v>#DIV/0!</v>
      </c>
      <c r="F11" s="2756" t="s">
        <v>2813</v>
      </c>
      <c r="G11" s="2757"/>
      <c r="H11" s="2757"/>
      <c r="I11" s="2757"/>
      <c r="J11" s="2758"/>
      <c r="K11" s="1372"/>
      <c r="L11" s="2727" t="s">
        <v>2814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72" t="s">
        <v>2815</v>
      </c>
      <c r="X11" s="1615" t="s">
        <v>2816</v>
      </c>
      <c r="Y11" s="1616">
        <f>$G$3</f>
        <v>1.29</v>
      </c>
      <c r="Z11" s="1616">
        <f t="shared" ref="Z11:AJ11" si="3">$G$3</f>
        <v>1.29</v>
      </c>
      <c r="AA11" s="1616">
        <f t="shared" si="3"/>
        <v>1.29</v>
      </c>
      <c r="AB11" s="1616">
        <f t="shared" si="3"/>
        <v>1.29</v>
      </c>
      <c r="AC11" s="1616">
        <f t="shared" si="3"/>
        <v>1.29</v>
      </c>
      <c r="AD11" s="1616">
        <f t="shared" si="3"/>
        <v>1.29</v>
      </c>
      <c r="AE11" s="1616">
        <f t="shared" si="3"/>
        <v>1.29</v>
      </c>
      <c r="AF11" s="1616">
        <f t="shared" si="3"/>
        <v>1.29</v>
      </c>
      <c r="AG11" s="1616">
        <f t="shared" si="3"/>
        <v>1.29</v>
      </c>
      <c r="AH11" s="1616">
        <f t="shared" si="3"/>
        <v>1.29</v>
      </c>
      <c r="AI11" s="1616">
        <f t="shared" si="3"/>
        <v>1.29</v>
      </c>
      <c r="AJ11" s="1616">
        <f t="shared" si="3"/>
        <v>1.29</v>
      </c>
    </row>
    <row r="12" spans="1:36" ht="25.5" thickBot="1">
      <c r="A12" s="3259" t="s">
        <v>2817</v>
      </c>
      <c r="B12" s="2759" t="s">
        <v>2818</v>
      </c>
      <c r="C12" s="918">
        <f>ROUND(C15*D15*E15*F15*G15*H15*I15*J15,4)</f>
        <v>1</v>
      </c>
      <c r="D12" s="2760" t="s">
        <v>2819</v>
      </c>
      <c r="E12" s="2761"/>
      <c r="F12" s="2761"/>
      <c r="G12" s="2762"/>
      <c r="H12" s="2762"/>
      <c r="I12" s="2762"/>
      <c r="J12" s="2763"/>
      <c r="K12" s="1372"/>
      <c r="L12" s="2764" t="s">
        <v>2820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72"/>
      <c r="X12" s="1617" t="s">
        <v>2821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7"/>
      <c r="B13" s="2765" t="s">
        <v>2822</v>
      </c>
      <c r="C13" s="2766" t="s">
        <v>2823</v>
      </c>
      <c r="D13" s="1809" t="s">
        <v>2824</v>
      </c>
      <c r="E13" s="1809" t="s">
        <v>2825</v>
      </c>
      <c r="F13" s="29" t="s">
        <v>2826</v>
      </c>
      <c r="G13" s="2767" t="s">
        <v>2827</v>
      </c>
      <c r="H13" s="2767" t="s">
        <v>2827</v>
      </c>
      <c r="I13" s="2767" t="s">
        <v>2827</v>
      </c>
      <c r="J13" s="2768" t="s">
        <v>2827</v>
      </c>
      <c r="K13" s="1372"/>
      <c r="L13" s="1372"/>
      <c r="M13" s="1372"/>
      <c r="N13" s="1372"/>
      <c r="O13" s="1372"/>
      <c r="P13" s="1372"/>
      <c r="Q13" s="1372"/>
      <c r="R13" s="1603">
        <v>12</v>
      </c>
      <c r="S13" s="1604"/>
      <c r="T13" s="1603" t="e">
        <f t="shared" si="0"/>
        <v>#DIV/0!</v>
      </c>
      <c r="U13" s="1604"/>
      <c r="V13" s="1603" t="e">
        <f t="shared" si="1"/>
        <v>#DIV/0!</v>
      </c>
      <c r="W13" s="3272"/>
      <c r="X13" s="1617"/>
      <c r="Y13" s="1614">
        <f>(-0.163*(Y12^2)-0.59*Y12+7617)*(10^(-4))/Y11</f>
        <v>0.59046511627906983</v>
      </c>
      <c r="Z13" s="1614">
        <f t="shared" ref="Z13:AJ13" si="5">(-0.163*(Z12^2)-0.59*Z12+7617)*(10^(-4))/Z11</f>
        <v>0.59046511627906983</v>
      </c>
      <c r="AA13" s="1614">
        <f t="shared" si="5"/>
        <v>0.59046511627906983</v>
      </c>
      <c r="AB13" s="1614">
        <f t="shared" si="5"/>
        <v>0.59046511627906983</v>
      </c>
      <c r="AC13" s="1614">
        <f t="shared" si="5"/>
        <v>0.59046511627906983</v>
      </c>
      <c r="AD13" s="1614">
        <f t="shared" si="5"/>
        <v>0.59046511627906983</v>
      </c>
      <c r="AE13" s="1614">
        <f t="shared" si="5"/>
        <v>0.59046511627906983</v>
      </c>
      <c r="AF13" s="1614">
        <f t="shared" si="5"/>
        <v>0.59046511627906983</v>
      </c>
      <c r="AG13" s="1614">
        <f t="shared" si="5"/>
        <v>0.59046511627906983</v>
      </c>
      <c r="AH13" s="1614">
        <f t="shared" si="5"/>
        <v>0.59046511627906983</v>
      </c>
      <c r="AI13" s="1614">
        <f t="shared" si="5"/>
        <v>0.59046511627906983</v>
      </c>
      <c r="AJ13" s="1614">
        <f t="shared" si="5"/>
        <v>0.59046511627906983</v>
      </c>
    </row>
    <row r="14" spans="1:36" ht="15">
      <c r="A14" s="3277"/>
      <c r="B14" s="2769"/>
      <c r="C14" s="2770"/>
      <c r="D14" s="2771"/>
      <c r="E14" s="2771"/>
      <c r="F14" s="2772"/>
      <c r="G14" s="2773" t="s">
        <v>2828</v>
      </c>
      <c r="H14" s="2774"/>
      <c r="I14" s="2775"/>
      <c r="J14" s="2776"/>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8"/>
      <c r="B15" s="2777" t="s">
        <v>2829</v>
      </c>
      <c r="C15" s="228">
        <f>IF(C14="有",1.1,1)</f>
        <v>1</v>
      </c>
      <c r="D15" s="228">
        <f>IF(D14="有",1.1,1)</f>
        <v>1</v>
      </c>
      <c r="E15" s="228">
        <f>IF(E14="有",1.1,1)</f>
        <v>1</v>
      </c>
      <c r="F15" s="228">
        <f>IF(F14="500米范围内",1.2,IF(F14="500-1000米",1.1,1))</f>
        <v>1</v>
      </c>
      <c r="G15" s="948">
        <v>1</v>
      </c>
      <c r="H15" s="948">
        <v>1</v>
      </c>
      <c r="I15" s="948">
        <v>1</v>
      </c>
      <c r="J15" s="949">
        <v>1</v>
      </c>
      <c r="K15" s="1372"/>
      <c r="L15" s="2778" t="s">
        <v>2765</v>
      </c>
      <c r="M15" s="919" t="s">
        <v>2830</v>
      </c>
      <c r="N15" s="919" t="s">
        <v>2831</v>
      </c>
      <c r="O15" s="919" t="s">
        <v>2832</v>
      </c>
      <c r="P15" s="2779" t="s">
        <v>2833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9" t="s">
        <v>2834</v>
      </c>
      <c r="B16" s="2746" t="s">
        <v>2835</v>
      </c>
      <c r="C16" s="1802" t="e">
        <f>ROUND(SUM(G17:J17)/C17,0)</f>
        <v>#DIV/0!</v>
      </c>
      <c r="D16" s="2780" t="s">
        <v>2836</v>
      </c>
      <c r="E16" s="2781"/>
      <c r="F16" s="2782"/>
      <c r="G16" s="2783"/>
      <c r="H16" s="2783"/>
      <c r="I16" s="2783"/>
      <c r="J16" s="2784"/>
      <c r="K16" s="1372"/>
      <c r="L16" s="2785" t="s">
        <v>2837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0"/>
      <c r="B17" s="2786" t="s">
        <v>2838</v>
      </c>
      <c r="C17" s="923">
        <f>SUMPRODUCT((修正!A2:A5=E2)*(修正!B1:M1=G2)*(修正!B2:M5))</f>
        <v>0</v>
      </c>
      <c r="D17" s="2787" t="s">
        <v>2839</v>
      </c>
      <c r="E17" s="922" t="str">
        <f>IF(OR(G2="八级",G2="九级",G2="十级",G2="十一级",G2="十二级"),"五通一平","七通一平")</f>
        <v>七通一平</v>
      </c>
      <c r="F17" s="923" t="s">
        <v>2840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2841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806</v>
      </c>
      <c r="B18" s="2791" t="s">
        <v>2842</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807</v>
      </c>
      <c r="B19" s="2791" t="s">
        <v>2843</v>
      </c>
      <c r="C19" s="926" t="e">
        <f>ROUND(IF(H19="按公示增长率计算",SUMPRODUCT((地价!A3:A21=YEAR(G19)&amp;"-"&amp;ROUNDUP(MONTH(G19)/3,0))*(地价!X2:AB2=E2)*(地价!X3:AB21)),IF(H19="地价指数",M20/M19,(1+I19)^O19)),4)</f>
        <v>#DIV/0!</v>
      </c>
      <c r="D19" s="2798" t="s">
        <v>2844</v>
      </c>
      <c r="E19" s="927">
        <v>41640</v>
      </c>
      <c r="F19" s="2798" t="s">
        <v>2845</v>
      </c>
      <c r="G19" s="928">
        <f>'数据-取费表'!B2</f>
        <v>43206</v>
      </c>
      <c r="H19" s="2799" t="s">
        <v>2846</v>
      </c>
      <c r="I19" s="929" t="str">
        <f>IF(H19="季度增幅（自定义）",SUMIF(N21:N24,E2,O21:O24),"")</f>
        <v/>
      </c>
      <c r="J19" s="2796"/>
      <c r="K19" s="1379"/>
      <c r="L19" s="2800" t="s">
        <v>2847</v>
      </c>
      <c r="M19" s="1735">
        <f>ROUND(SUMIF(地价!B2:F2,E2,地价!B21:F21),0)</f>
        <v>0</v>
      </c>
      <c r="N19" s="2801" t="s">
        <v>2848</v>
      </c>
      <c r="O19" s="930">
        <f>ROUNDDOWN(DATEDIF(E19,G19,"M")/3,0)</f>
        <v>17</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808</v>
      </c>
      <c r="B20" s="2806" t="s">
        <v>2849</v>
      </c>
      <c r="C20" s="931" t="e">
        <f>ROUND(POWER(1+G20,J20-I20)*(POWER(1+G20,I20)-1)/(POWER(1+G20,J20)-1),4)</f>
        <v>#DIV/0!</v>
      </c>
      <c r="D20" s="2807" t="s">
        <v>2850</v>
      </c>
      <c r="E20" s="1769">
        <f ca="1">存贷款利率!D4/100</f>
        <v>4.3499999999999997E-2</v>
      </c>
      <c r="F20" s="2807" t="s">
        <v>2841</v>
      </c>
      <c r="G20" s="936">
        <f>SUMIF(M15:P15,E2,M17:P17)</f>
        <v>0</v>
      </c>
      <c r="H20" s="2807" t="s">
        <v>2851</v>
      </c>
      <c r="I20" s="937" t="e">
        <f>SUMIF('数据-取费表'!C6:C15,E2,'数据-取费表'!F6:F15)/COUNTIF('数据-取费表'!C6:C15,E2)</f>
        <v>#DIV/0!</v>
      </c>
      <c r="J20" s="938">
        <f>IF(E2="住宅",70,IF(E2="商业",40,50))</f>
        <v>50</v>
      </c>
      <c r="K20" s="1379"/>
      <c r="L20" s="2808" t="s">
        <v>2852</v>
      </c>
      <c r="M20" s="1736">
        <f>ROUND(SUMPRODUCT((地价!A4:A21=YEAR(G19)&amp;"-"&amp;ROUNDUP(MONTH(G19)/3,0))*(地价!B2:F2=E2)*(地价!B4:F21)),0)</f>
        <v>0</v>
      </c>
      <c r="N20" s="2809" t="s">
        <v>2853</v>
      </c>
      <c r="O20" s="2810" t="s">
        <v>2854</v>
      </c>
      <c r="P20" s="2811" t="s">
        <v>2855</v>
      </c>
      <c r="R20" s="1378"/>
      <c r="S20" s="1378"/>
      <c r="T20" s="1373"/>
      <c r="U20" s="1373"/>
      <c r="V20" s="1373"/>
      <c r="W20" s="1372"/>
      <c r="X20" s="1372"/>
      <c r="Y20" s="1372"/>
      <c r="Z20" s="1379"/>
      <c r="AA20" s="1380"/>
      <c r="AB20" s="1380"/>
      <c r="AC20" s="1380"/>
      <c r="AD20" s="1380"/>
      <c r="AE20" s="1380"/>
      <c r="AF20" s="1380"/>
    </row>
    <row r="21" spans="1:37" s="2739" customFormat="1" ht="15">
      <c r="A21" s="2812" t="s">
        <v>809</v>
      </c>
      <c r="B21" s="2813" t="s">
        <v>2856</v>
      </c>
      <c r="C21" s="939">
        <f>IF(B21="容积率修正",IF(G3&lt;=10,D22,J22),C23)</f>
        <v>0</v>
      </c>
      <c r="D21" s="2814"/>
      <c r="E21" s="2814"/>
      <c r="F21" s="2814"/>
      <c r="G21" s="2814"/>
      <c r="H21" s="2814"/>
      <c r="I21" s="2814"/>
      <c r="J21" s="2815"/>
      <c r="K21" s="1379"/>
      <c r="N21" s="2816" t="s">
        <v>2857</v>
      </c>
      <c r="O21" s="1563"/>
      <c r="P21" s="1564">
        <f>SUMPRODUCT((地价!A3:A21=YEAR(G19)&amp;"-"&amp;ROUNDUP(MONTH(G19)/3,0))*(地价!AD2:AH2=N21)*(地价!AD3:AH21))</f>
        <v>0</v>
      </c>
      <c r="R21" s="1378"/>
      <c r="S21" s="1378"/>
      <c r="T21" s="1373"/>
      <c r="U21" s="1373"/>
      <c r="V21" s="1373"/>
      <c r="W21" s="1372"/>
      <c r="X21" s="1372"/>
      <c r="Y21" s="1372"/>
      <c r="Z21" s="1379"/>
      <c r="AA21" s="1380"/>
      <c r="AB21" s="1380"/>
      <c r="AC21" s="1380"/>
      <c r="AD21" s="1380"/>
      <c r="AE21" s="1380"/>
      <c r="AF21" s="1380"/>
    </row>
    <row r="22" spans="1:37" s="2739" customFormat="1" ht="14.25">
      <c r="A22" s="2665" t="s">
        <v>2858</v>
      </c>
      <c r="B22" s="2817" t="s">
        <v>2859</v>
      </c>
      <c r="C22" s="1811" t="s">
        <v>2860</v>
      </c>
      <c r="D22" s="1811">
        <f>IF(E22=G22,F22,IF(G3&lt;=10,ROUND(F22+(H22-F22)*(G3-E22)/(G22-E22),4),"——"))</f>
        <v>0</v>
      </c>
      <c r="E22" s="915">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154</v>
      </c>
      <c r="J22" s="940" t="str">
        <f>IF(G3&gt;10,D113,"——")</f>
        <v>——</v>
      </c>
      <c r="K22" s="1379"/>
      <c r="N22" s="2816" t="s">
        <v>2861</v>
      </c>
      <c r="O22" s="1563"/>
      <c r="P22" s="1564">
        <f>SUMPRODUCT((地价!A3:A21=YEAR(G19)&amp;"-"&amp;ROUNDUP(MONTH(G19)/3,0))*(地价!AD2:AH2=N22)*(地价!AD3:AH21))</f>
        <v>0</v>
      </c>
      <c r="R22" s="1378"/>
      <c r="S22" s="1378"/>
      <c r="T22" s="1373"/>
      <c r="U22" s="1373"/>
      <c r="V22" s="1373"/>
      <c r="W22" s="1372"/>
      <c r="X22" s="1372"/>
      <c r="Y22" s="1372"/>
      <c r="Z22" s="1379"/>
      <c r="AA22" s="1380"/>
      <c r="AB22" s="1380"/>
      <c r="AC22" s="1380"/>
      <c r="AD22" s="1380"/>
      <c r="AE22" s="1380"/>
      <c r="AF22" s="1380"/>
    </row>
    <row r="23" spans="1:37" ht="27.75" thickBot="1">
      <c r="A23" s="2665" t="s">
        <v>2862</v>
      </c>
      <c r="B23" s="2818" t="s">
        <v>2863</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2864</v>
      </c>
      <c r="O23" s="1563"/>
      <c r="P23" s="1564">
        <f>SUMPRODUCT((地价!A3:A21=YEAR(G19)&amp;"-"&amp;ROUNDUP(MONTH(G19)/3,0))*(地价!AD2:AH2=N23)*(地价!AD3:AH21))</f>
        <v>0</v>
      </c>
      <c r="R23" s="1378"/>
      <c r="S23" s="1378"/>
      <c r="T23" s="1373"/>
      <c r="U23" s="1373"/>
      <c r="V23" s="1373"/>
      <c r="W23" s="1372"/>
      <c r="X23" s="1372"/>
      <c r="Y23" s="1372"/>
      <c r="Z23" s="1379"/>
      <c r="AA23" s="1380"/>
      <c r="AB23" s="1380"/>
      <c r="AC23" s="1380"/>
      <c r="AD23" s="1380"/>
      <c r="AK23" s="2797"/>
    </row>
    <row r="24" spans="1:37" s="2739" customFormat="1" ht="15.75" thickBot="1">
      <c r="A24" s="2805" t="s">
        <v>810</v>
      </c>
      <c r="B24" s="2791" t="s">
        <v>2865</v>
      </c>
      <c r="C24" s="926">
        <f>SUMIF(A45:A88,E2,B45:B88)</f>
        <v>0</v>
      </c>
      <c r="D24" s="2794"/>
      <c r="E24" s="2824"/>
      <c r="F24" s="2824"/>
      <c r="G24" s="2824"/>
      <c r="H24" s="2824"/>
      <c r="I24" s="2824"/>
      <c r="J24" s="2825"/>
      <c r="K24" s="1379"/>
      <c r="N24" s="2826" t="s">
        <v>2866</v>
      </c>
      <c r="O24" s="1565"/>
      <c r="P24" s="1566">
        <f>SUMPRODUCT((地价!A3:A21=YEAR(G19)&amp;"-"&amp;ROUNDUP(MONTH(G19)/3,0))*(地价!AD2:AH2=N24)*(地价!AD3:AH21))</f>
        <v>0</v>
      </c>
      <c r="R24" s="1378"/>
      <c r="S24" s="1378"/>
      <c r="T24" s="1373"/>
      <c r="U24" s="1373"/>
      <c r="V24" s="1373"/>
      <c r="W24" s="1372"/>
      <c r="X24" s="1372"/>
      <c r="Y24" s="1372"/>
      <c r="Z24" s="1379"/>
      <c r="AA24" s="1380"/>
      <c r="AB24" s="1380"/>
      <c r="AC24" s="1380"/>
      <c r="AD24" s="1380"/>
      <c r="AE24" s="1380"/>
      <c r="AF24" s="1380"/>
    </row>
    <row r="25" spans="1:37" ht="15.75" thickBot="1">
      <c r="A25" s="2805" t="s">
        <v>811</v>
      </c>
      <c r="B25" s="2827" t="s">
        <v>2867</v>
      </c>
      <c r="C25" s="932"/>
      <c r="D25" s="2749"/>
      <c r="E25" s="2749"/>
      <c r="F25" s="2828"/>
      <c r="G25" s="2749"/>
      <c r="H25" s="2749"/>
      <c r="I25" s="2749"/>
      <c r="J25" s="2750"/>
      <c r="K25" s="1372"/>
      <c r="N25" s="2829" t="s">
        <v>2868</v>
      </c>
      <c r="O25" s="1567"/>
      <c r="P25" s="1566">
        <f>SUMPRODUCT((地价!A3:A21=YEAR(G19)&amp;"-"&amp;ROUNDUP(MONTH(G19)/3,0))*(地价!AD2:AH2=N25)*(地价!AD3:AH21))</f>
        <v>0</v>
      </c>
      <c r="R25" s="1378"/>
      <c r="S25" s="1378"/>
      <c r="T25" s="1373"/>
      <c r="U25" s="1373"/>
      <c r="V25" s="1373"/>
      <c r="W25" s="1372"/>
      <c r="X25" s="1372"/>
      <c r="Y25" s="1372"/>
      <c r="Z25" s="1379"/>
      <c r="AA25" s="1380"/>
      <c r="AB25" s="1380"/>
      <c r="AC25" s="1380"/>
      <c r="AD25" s="1380"/>
    </row>
    <row r="26" spans="1:37" ht="15">
      <c r="A26" s="2830"/>
      <c r="B26" s="2817" t="s">
        <v>2869</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2870</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2871</v>
      </c>
      <c r="C28" s="2841" t="s">
        <v>2872</v>
      </c>
      <c r="D28" s="2841" t="s">
        <v>2873</v>
      </c>
      <c r="E28" s="2842" t="s">
        <v>2874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2875</v>
      </c>
      <c r="C29" s="205" t="e">
        <f>ROUND(C5*C18*C19*C20*C21*C24,0)</f>
        <v>#DIV/0!</v>
      </c>
      <c r="D29" s="2846"/>
      <c r="E29" s="944" t="e">
        <f>ROUND(C29*D29/10000,0)</f>
        <v>#DIV/0!</v>
      </c>
      <c r="F29" s="2847" t="s">
        <v>2876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2877</v>
      </c>
      <c r="C30" s="228" t="e">
        <f>ROUND(IF(E2="工业",C29*M39,C29*M38),0)</f>
        <v>#DIV/0!</v>
      </c>
      <c r="D30" s="2852"/>
      <c r="E30" s="944" t="e">
        <f>ROUND(C30*D30/10000,0)</f>
        <v>#DIV/0!</v>
      </c>
      <c r="F30" s="2853" t="s">
        <v>2878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2879</v>
      </c>
      <c r="C31" s="2858" t="s">
        <v>2880</v>
      </c>
      <c r="D31" s="2762"/>
      <c r="E31" s="2858"/>
      <c r="F31" s="2858"/>
      <c r="G31" s="2760" t="s">
        <v>2881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2872</v>
      </c>
      <c r="D32" s="497" t="s">
        <v>2873</v>
      </c>
      <c r="E32" s="497" t="s">
        <v>2874</v>
      </c>
      <c r="F32" s="387" t="s">
        <v>2882</v>
      </c>
      <c r="G32" s="2861" t="s">
        <v>2872</v>
      </c>
      <c r="H32" s="2861" t="s">
        <v>2873</v>
      </c>
      <c r="I32" s="2861" t="s">
        <v>2874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67" t="s">
        <v>2883</v>
      </c>
      <c r="B33" s="2862" t="s">
        <v>2884</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6" t="s">
        <v>2885</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6" t="s">
        <v>2886</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69"/>
      <c r="B36" s="2766" t="s">
        <v>2887</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2888</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2"/>
      <c r="L37" s="2865" t="s">
        <v>2889</v>
      </c>
      <c r="M37" s="2866"/>
      <c r="N37" s="1372"/>
      <c r="O37" s="1372"/>
      <c r="P37" s="1372"/>
      <c r="Q37" s="1372"/>
      <c r="R37" s="1372"/>
      <c r="S37" s="1372"/>
      <c r="T37" s="1372"/>
      <c r="U37" s="1372"/>
      <c r="V37" s="1372"/>
      <c r="W37" s="1372"/>
      <c r="X37" s="1372"/>
      <c r="Y37" s="1372"/>
      <c r="Z37" s="1373"/>
    </row>
    <row r="38" spans="1:37">
      <c r="A38" s="2864"/>
      <c r="B38" s="2766" t="s">
        <v>2890</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2"/>
      <c r="L38" s="1888" t="s">
        <v>2891</v>
      </c>
      <c r="M38" s="2867">
        <v>0.25</v>
      </c>
      <c r="N38" s="1372"/>
      <c r="O38" s="1372"/>
      <c r="P38" s="1372"/>
      <c r="Q38" s="1372"/>
      <c r="R38" s="1372"/>
      <c r="S38" s="1372"/>
      <c r="T38" s="1372"/>
      <c r="U38" s="1372"/>
      <c r="V38" s="1372"/>
      <c r="W38" s="1372"/>
      <c r="X38" s="1372"/>
      <c r="Y38" s="1372"/>
      <c r="Z38" s="1373"/>
    </row>
    <row r="39" spans="1:37" ht="13.5" thickBot="1">
      <c r="A39" s="2850"/>
      <c r="B39" s="2868" t="s">
        <v>2892</v>
      </c>
      <c r="C39" s="228" t="e">
        <f>ROUND(C5*C19*C20*C24*F39,0)</f>
        <v>#DIV/0!</v>
      </c>
      <c r="D39" s="2852"/>
      <c r="E39" s="228" t="e">
        <f t="shared" si="7"/>
        <v>#DIV/0!</v>
      </c>
      <c r="F39" s="934">
        <f>SUMIF(修正!A45:A56,G2,修正!H45:H56)</f>
        <v>0</v>
      </c>
      <c r="G39" s="228" t="e">
        <f t="shared" si="6"/>
        <v>#DIV/0!</v>
      </c>
      <c r="H39" s="228">
        <f t="shared" si="8"/>
        <v>0</v>
      </c>
      <c r="I39" s="228" t="e">
        <f t="shared" si="9"/>
        <v>#DIV/0!</v>
      </c>
      <c r="J39" s="2869"/>
      <c r="K39" s="1372"/>
      <c r="L39" s="2870" t="s">
        <v>2833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2893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2894</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2895</v>
      </c>
      <c r="B47" s="1810" t="s">
        <v>2896</v>
      </c>
      <c r="C47" s="1810" t="s">
        <v>2897</v>
      </c>
      <c r="D47" s="1810" t="s">
        <v>2898</v>
      </c>
      <c r="E47" s="818" t="s">
        <v>2899</v>
      </c>
      <c r="F47" s="2880" t="s">
        <v>2900</v>
      </c>
      <c r="G47" s="1810" t="s">
        <v>753</v>
      </c>
      <c r="H47" s="2881" t="s">
        <v>2901</v>
      </c>
      <c r="I47" s="1810" t="s">
        <v>2902</v>
      </c>
      <c r="J47" s="602" t="s">
        <v>2550</v>
      </c>
      <c r="K47" s="602" t="s">
        <v>2551</v>
      </c>
      <c r="L47" s="602" t="s">
        <v>2552</v>
      </c>
      <c r="M47" s="602" t="s">
        <v>2553</v>
      </c>
      <c r="N47" s="602" t="s">
        <v>2554</v>
      </c>
      <c r="AA47" s="1373"/>
      <c r="AB47" s="1373"/>
      <c r="AC47" s="1373"/>
      <c r="AD47" s="1373"/>
      <c r="AE47" s="1373"/>
      <c r="AF47" s="1373"/>
      <c r="AG47" s="1373"/>
      <c r="AH47" s="1373"/>
      <c r="AI47" s="1373"/>
      <c r="AJ47" s="1373"/>
      <c r="AK47" s="1373"/>
    </row>
    <row r="48" spans="1:37" s="1372" customFormat="1" ht="51">
      <c r="A48" s="2879" t="s">
        <v>2903</v>
      </c>
      <c r="B48" s="2882" t="str">
        <f>估价对象房地状况!C4</f>
        <v>估价对象位于美林君渡小区，周边商业氛围成熟，人流量较大，商业繁华度较好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2904</v>
      </c>
      <c r="B49" s="2883" t="str">
        <f>估价对象房地状况!C18</f>
        <v>估价对象周边道路状况较好、公共交通通达情况较好、停车便捷程度较好，综合评价交通便捷度较好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2905</v>
      </c>
      <c r="B50" s="2883" t="str">
        <f>估价对象房地状况!C19</f>
        <v>较一致</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2906</v>
      </c>
      <c r="B51" s="2884" t="s">
        <v>2907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2908</v>
      </c>
      <c r="B52" s="2883" t="str">
        <f>估价对象房地状况!C24</f>
        <v>次干道-燕顺路</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2909</v>
      </c>
      <c r="B53" s="2885" t="s">
        <v>2910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2911</v>
      </c>
      <c r="B54" s="1726" t="str">
        <f>估价对象房地状况!C21</f>
        <v>估价对象所在区域公共配套设施齐备情况较好</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2912</v>
      </c>
      <c r="B55" s="2883" t="str">
        <f>估价对象房地状况!C22</f>
        <v>估价对象所在区域基础设施水平较好</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2913</v>
      </c>
      <c r="B56" s="2888" t="str">
        <f>估价对象房地状况!C20</f>
        <v>区域自然环境：；人文环境；综合评价环境状况较好</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2914</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2895</v>
      </c>
      <c r="B58" s="1810"/>
      <c r="C58" s="1810" t="s">
        <v>2897</v>
      </c>
      <c r="D58" s="1810" t="s">
        <v>2898</v>
      </c>
      <c r="E58" s="818" t="s">
        <v>2899</v>
      </c>
      <c r="F58" s="2880" t="s">
        <v>2915</v>
      </c>
      <c r="G58" s="1810" t="s">
        <v>753</v>
      </c>
      <c r="H58" s="2881" t="s">
        <v>2901</v>
      </c>
      <c r="I58" s="1810" t="s">
        <v>2902</v>
      </c>
      <c r="J58" s="602" t="s">
        <v>2550</v>
      </c>
      <c r="K58" s="602" t="s">
        <v>2551</v>
      </c>
      <c r="L58" s="602" t="s">
        <v>2552</v>
      </c>
      <c r="M58" s="602" t="s">
        <v>2553</v>
      </c>
      <c r="N58" s="602" t="s">
        <v>2554</v>
      </c>
      <c r="AA58" s="1373"/>
      <c r="AB58" s="1373"/>
      <c r="AC58" s="1373"/>
      <c r="AD58" s="1373"/>
      <c r="AE58" s="1373"/>
      <c r="AF58" s="1373"/>
      <c r="AG58" s="1373"/>
      <c r="AH58" s="1373"/>
      <c r="AI58" s="1373"/>
      <c r="AJ58" s="1373"/>
      <c r="AK58" s="1373"/>
    </row>
    <row r="59" spans="1:37" s="1372" customFormat="1" ht="24">
      <c r="A59" s="2879" t="s">
        <v>2916</v>
      </c>
      <c r="B59" s="2882">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2904</v>
      </c>
      <c r="B60" s="2883" t="str">
        <f>估价对象房地状况!C18</f>
        <v>估价对象周边道路状况较好、公共交通通达情况较好、停车便捷程度较好，综合评价交通便捷度较好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2905</v>
      </c>
      <c r="B61" s="2883" t="str">
        <f>估价对象房地状况!C19</f>
        <v>较一致</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2906</v>
      </c>
      <c r="B62" s="2884" t="s">
        <v>2907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2908</v>
      </c>
      <c r="B63" s="2883" t="str">
        <f>估价对象房地状况!C24</f>
        <v>次干道-燕顺路</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2909</v>
      </c>
      <c r="B64" s="2885" t="s">
        <v>2910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2911</v>
      </c>
      <c r="B65" s="1726" t="str">
        <f>估价对象房地状况!C21</f>
        <v>估价对象所在区域公共配套设施齐备情况较好</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2912</v>
      </c>
      <c r="B66" s="1726" t="str">
        <f>估价对象房地状况!C22</f>
        <v>估价对象所在区域基础设施水平较好</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2913</v>
      </c>
      <c r="B67" s="2889" t="str">
        <f>估价对象房地状况!C20</f>
        <v>区域自然环境：；人文环境；综合评价环境状况较好</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2917</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2895</v>
      </c>
      <c r="B69" s="1810"/>
      <c r="C69" s="1810" t="s">
        <v>2897</v>
      </c>
      <c r="D69" s="1810" t="s">
        <v>2898</v>
      </c>
      <c r="E69" s="818" t="s">
        <v>2899</v>
      </c>
      <c r="F69" s="2880" t="s">
        <v>2915</v>
      </c>
      <c r="G69" s="1810" t="s">
        <v>753</v>
      </c>
      <c r="H69" s="2881" t="s">
        <v>2901</v>
      </c>
      <c r="I69" s="1810" t="s">
        <v>2902</v>
      </c>
      <c r="J69" s="602" t="s">
        <v>2550</v>
      </c>
      <c r="K69" s="602" t="s">
        <v>2551</v>
      </c>
      <c r="L69" s="602" t="s">
        <v>2552</v>
      </c>
      <c r="M69" s="602" t="s">
        <v>2553</v>
      </c>
      <c r="N69" s="602" t="s">
        <v>2554</v>
      </c>
      <c r="AA69" s="1373"/>
      <c r="AB69" s="1373"/>
      <c r="AC69" s="1373"/>
      <c r="AD69" s="1373"/>
      <c r="AE69" s="1373"/>
      <c r="AF69" s="1373"/>
      <c r="AG69" s="1373"/>
      <c r="AH69" s="1373"/>
      <c r="AI69" s="1373"/>
      <c r="AJ69" s="1373"/>
      <c r="AK69" s="1373"/>
    </row>
    <row r="70" spans="1:37" s="1372" customFormat="1" ht="24">
      <c r="A70" s="2879" t="s">
        <v>2918</v>
      </c>
      <c r="B70" s="2882">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2904</v>
      </c>
      <c r="B71" s="2883" t="str">
        <f>估价对象房地状况!C18</f>
        <v>估价对象周边道路状况较好、公共交通通达情况较好、停车便捷程度较好，综合评价交通便捷度较好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2905</v>
      </c>
      <c r="B72" s="2883" t="str">
        <f>估价对象房地状况!C19</f>
        <v>较一致</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2919</v>
      </c>
      <c r="B73" s="2883" t="str">
        <f>估价对象房地状况!C24</f>
        <v>次干道-燕顺路</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2911</v>
      </c>
      <c r="B74" s="1726" t="str">
        <f>估价对象房地状况!C21</f>
        <v>估价对象所在区域公共配套设施齐备情况较好</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2912</v>
      </c>
      <c r="B75" s="1726" t="str">
        <f>估价对象房地状况!C22</f>
        <v>估价对象所在区域基础设施水平较好</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2909</v>
      </c>
      <c r="B76" s="2885" t="s">
        <v>2910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2913</v>
      </c>
      <c r="B77" s="2882" t="str">
        <f>估价对象房地状况!C20</f>
        <v>区域自然环境：；人文环境；综合评价环境状况较好</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2920</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2921</v>
      </c>
      <c r="B79" s="2876">
        <f>1+E81</f>
        <v>1</v>
      </c>
      <c r="C79" s="813"/>
      <c r="D79" s="813"/>
      <c r="E79" s="814"/>
      <c r="F79" s="2878"/>
      <c r="G79" s="6"/>
      <c r="H79" s="6"/>
      <c r="I79" s="6"/>
      <c r="J79" s="7"/>
      <c r="K79" s="7"/>
      <c r="L79" s="7"/>
      <c r="M79" s="7"/>
      <c r="N79" s="7"/>
      <c r="Z79" s="2721"/>
      <c r="AA79" s="2797"/>
      <c r="AG79" s="1374"/>
      <c r="AK79" s="2797"/>
    </row>
    <row r="80" spans="1:37" ht="24.75">
      <c r="A80" s="2879" t="s">
        <v>2895</v>
      </c>
      <c r="B80" s="1810"/>
      <c r="C80" s="1810" t="s">
        <v>2897</v>
      </c>
      <c r="D80" s="1810" t="s">
        <v>2898</v>
      </c>
      <c r="E80" s="818" t="s">
        <v>2899</v>
      </c>
      <c r="F80" s="2880" t="s">
        <v>2915</v>
      </c>
      <c r="G80" s="1810" t="s">
        <v>753</v>
      </c>
      <c r="H80" s="2881" t="s">
        <v>2901</v>
      </c>
      <c r="I80" s="1810" t="s">
        <v>2902</v>
      </c>
      <c r="J80" s="602" t="s">
        <v>2550</v>
      </c>
      <c r="K80" s="602" t="s">
        <v>2551</v>
      </c>
      <c r="L80" s="602" t="s">
        <v>2552</v>
      </c>
      <c r="M80" s="602" t="s">
        <v>2553</v>
      </c>
      <c r="N80" s="602" t="s">
        <v>2554</v>
      </c>
      <c r="Z80" s="2721"/>
      <c r="AA80" s="2797"/>
      <c r="AG80" s="1374"/>
      <c r="AK80" s="2797"/>
    </row>
    <row r="81" spans="1:37" ht="24">
      <c r="A81" s="2879" t="s">
        <v>2922</v>
      </c>
      <c r="B81" s="2883">
        <f>估价对象房地状况!G15</f>
        <v>0</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4.25">
      <c r="A82" s="2879" t="s">
        <v>2904</v>
      </c>
      <c r="B82" s="2883">
        <f>估价对象房地状况!G16</f>
        <v>0</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2905</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2919</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2911</v>
      </c>
      <c r="B85" s="1726">
        <f>估价对象房地状况!G19</f>
        <v>0</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2912</v>
      </c>
      <c r="B86" s="1726">
        <f>估价对象房地状况!G20</f>
        <v>0</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2909</v>
      </c>
      <c r="B87" s="2885" t="s">
        <v>2923</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5" thickBot="1">
      <c r="A88" s="2887" t="s">
        <v>2924</v>
      </c>
      <c r="B88" s="2892">
        <f>估价对象房地状况!G18</f>
        <v>0</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61" t="s">
        <v>2925</v>
      </c>
      <c r="B90" s="3261"/>
      <c r="C90" s="3261"/>
      <c r="D90" s="3261"/>
      <c r="E90" s="3261"/>
      <c r="F90" s="3261"/>
      <c r="G90" s="3261"/>
      <c r="H90" s="3261"/>
      <c r="I90" s="3261"/>
      <c r="J90" s="3261"/>
      <c r="K90" s="2893"/>
      <c r="L90" s="2893"/>
      <c r="M90" s="2893"/>
      <c r="N90" s="2893"/>
    </row>
    <row r="91" spans="1:37">
      <c r="A91" s="3263" t="s">
        <v>2926</v>
      </c>
      <c r="B91" s="3263" t="s">
        <v>2927</v>
      </c>
      <c r="C91" s="2847" t="s">
        <v>2928</v>
      </c>
      <c r="D91" s="2848"/>
      <c r="E91" s="2848"/>
      <c r="F91" s="2848"/>
      <c r="G91" s="2848"/>
      <c r="H91" s="2848"/>
      <c r="I91" s="2848"/>
      <c r="J91" s="2894"/>
      <c r="K91" s="2895"/>
      <c r="L91" s="2895"/>
      <c r="M91" s="2895"/>
      <c r="N91" s="2895"/>
    </row>
    <row r="92" spans="1:37">
      <c r="A92" s="3263"/>
      <c r="B92" s="3263"/>
      <c r="C92" s="944" t="s">
        <v>2792</v>
      </c>
      <c r="D92" s="944" t="s">
        <v>2793</v>
      </c>
      <c r="E92" s="944" t="s">
        <v>2794</v>
      </c>
      <c r="F92" s="944" t="s">
        <v>2795</v>
      </c>
      <c r="G92" s="944" t="s">
        <v>2796</v>
      </c>
      <c r="H92" s="944" t="s">
        <v>2797</v>
      </c>
      <c r="I92" s="944" t="s">
        <v>2798</v>
      </c>
      <c r="J92" s="944" t="s">
        <v>2799</v>
      </c>
      <c r="K92" s="944" t="s">
        <v>2800</v>
      </c>
      <c r="L92" s="944" t="s">
        <v>2801</v>
      </c>
      <c r="M92" s="944" t="s">
        <v>2802</v>
      </c>
      <c r="N92" s="944" t="s">
        <v>2803</v>
      </c>
    </row>
    <row r="93" spans="1:37">
      <c r="A93" s="3264" t="s">
        <v>2929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5"/>
      <c r="B99" s="2896" t="s">
        <v>2808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4" t="s">
        <v>2930</v>
      </c>
      <c r="B101" s="2900" t="s">
        <v>2931</v>
      </c>
      <c r="C101" s="2901">
        <f>$G$3</f>
        <v>1.29</v>
      </c>
      <c r="D101" s="2901">
        <f t="shared" ref="D101:N101" si="31">$G$3</f>
        <v>1.29</v>
      </c>
      <c r="E101" s="2901">
        <f t="shared" si="31"/>
        <v>1.29</v>
      </c>
      <c r="F101" s="2901">
        <f t="shared" si="31"/>
        <v>1.29</v>
      </c>
      <c r="G101" s="2901">
        <f t="shared" si="31"/>
        <v>1.29</v>
      </c>
      <c r="H101" s="2901">
        <f t="shared" si="31"/>
        <v>1.29</v>
      </c>
      <c r="I101" s="2901">
        <f t="shared" si="31"/>
        <v>1.29</v>
      </c>
      <c r="J101" s="2901">
        <f t="shared" si="31"/>
        <v>1.29</v>
      </c>
      <c r="K101" s="2901">
        <f t="shared" si="31"/>
        <v>1.29</v>
      </c>
      <c r="L101" s="2901">
        <f t="shared" si="31"/>
        <v>1.29</v>
      </c>
      <c r="M101" s="2901">
        <f t="shared" si="31"/>
        <v>1.29</v>
      </c>
      <c r="N101" s="2901">
        <f t="shared" si="31"/>
        <v>1.29</v>
      </c>
    </row>
    <row r="102" spans="1:14">
      <c r="A102" s="3265"/>
      <c r="B102" s="2896">
        <v>1</v>
      </c>
      <c r="C102" s="2897">
        <f>1.9362/C101</f>
        <v>1.5009302325581395</v>
      </c>
      <c r="D102" s="2897">
        <f>1.9362/D101</f>
        <v>1.5009302325581395</v>
      </c>
      <c r="E102" s="2897">
        <f>1.8629/E101</f>
        <v>1.4441085271317828</v>
      </c>
      <c r="F102" s="2897">
        <f>1.8629/F101</f>
        <v>1.4441085271317828</v>
      </c>
      <c r="G102" s="2897">
        <f>1.8629/G101</f>
        <v>1.4441085271317828</v>
      </c>
      <c r="H102" s="2897">
        <f>1.8629/H101</f>
        <v>1.4441085271317828</v>
      </c>
      <c r="I102" s="2897">
        <f>1.8629/I101</f>
        <v>1.4441085271317828</v>
      </c>
      <c r="J102" s="2897">
        <f>1.942/J101</f>
        <v>1.5054263565891473</v>
      </c>
      <c r="K102" s="2897">
        <f>1.942/K101</f>
        <v>1.5054263565891473</v>
      </c>
      <c r="L102" s="2897">
        <f>1.942/L101</f>
        <v>1.5054263565891473</v>
      </c>
      <c r="M102" s="2897">
        <f>1.942/M101</f>
        <v>1.5054263565891473</v>
      </c>
      <c r="N102" s="2897">
        <f>1.942/N101</f>
        <v>1.5054263565891473</v>
      </c>
    </row>
    <row r="103" spans="1:14">
      <c r="A103" s="3265"/>
      <c r="B103" s="2896">
        <v>2</v>
      </c>
      <c r="C103" s="2897">
        <f>1.4198/C101</f>
        <v>1.1006201550387595</v>
      </c>
      <c r="D103" s="2897">
        <f>1.4198/D101</f>
        <v>1.1006201550387595</v>
      </c>
      <c r="E103" s="2897">
        <f>1.3372/E101</f>
        <v>1.0365891472868216</v>
      </c>
      <c r="F103" s="2897">
        <f>1.3372/F101</f>
        <v>1.0365891472868216</v>
      </c>
      <c r="G103" s="2897">
        <f>1.3372/G101</f>
        <v>1.0365891472868216</v>
      </c>
      <c r="H103" s="2897">
        <f>1.3372/H101</f>
        <v>1.0365891472868216</v>
      </c>
      <c r="I103" s="2897">
        <f>1.3372/I101</f>
        <v>1.0365891472868216</v>
      </c>
      <c r="J103" s="2897">
        <f>1.2799/J101</f>
        <v>0.99217054263565896</v>
      </c>
      <c r="K103" s="2897">
        <f>1.2799/K101</f>
        <v>0.99217054263565896</v>
      </c>
      <c r="L103" s="2897">
        <f>1.2799/L101</f>
        <v>0.99217054263565896</v>
      </c>
      <c r="M103" s="2897">
        <f>1.2799/M101</f>
        <v>0.99217054263565896</v>
      </c>
      <c r="N103" s="2897">
        <f>1.2799/N101</f>
        <v>0.99217054263565896</v>
      </c>
    </row>
    <row r="104" spans="1:14">
      <c r="A104" s="3265"/>
      <c r="B104" s="2896">
        <v>3</v>
      </c>
      <c r="C104" s="2897">
        <f>1.1594/C101</f>
        <v>0.89875968992248056</v>
      </c>
      <c r="D104" s="2897">
        <f>1.1594/D101</f>
        <v>0.89875968992248056</v>
      </c>
      <c r="E104" s="2897">
        <f>1.0788/E101</f>
        <v>0.83627906976744182</v>
      </c>
      <c r="F104" s="2897">
        <f>1.0788/F101</f>
        <v>0.83627906976744182</v>
      </c>
      <c r="G104" s="2897">
        <f>1.0788/G101</f>
        <v>0.83627906976744182</v>
      </c>
      <c r="H104" s="2897">
        <f>1.0788/H101</f>
        <v>0.83627906976744182</v>
      </c>
      <c r="I104" s="2897">
        <f>1.0788/I101</f>
        <v>0.83627906976744182</v>
      </c>
      <c r="J104" s="2897">
        <f>1.0072/J101</f>
        <v>0.78077519379844962</v>
      </c>
      <c r="K104" s="2897">
        <f>1.0072/K101</f>
        <v>0.78077519379844962</v>
      </c>
      <c r="L104" s="2897">
        <f>1.0072/L101</f>
        <v>0.78077519379844962</v>
      </c>
      <c r="M104" s="2897">
        <f>1.0072/M101</f>
        <v>0.78077519379844962</v>
      </c>
      <c r="N104" s="2897">
        <f>1.0072/N101</f>
        <v>0.78077519379844962</v>
      </c>
    </row>
    <row r="105" spans="1:14">
      <c r="A105" s="3265"/>
      <c r="B105" s="2896">
        <v>4</v>
      </c>
      <c r="C105" s="2897">
        <f>0.9622/C101</f>
        <v>0.74589147286821711</v>
      </c>
      <c r="D105" s="2897">
        <f>0.9622/D101</f>
        <v>0.74589147286821711</v>
      </c>
      <c r="E105" s="2897">
        <f>0.8656/E101</f>
        <v>0.67100775193798445</v>
      </c>
      <c r="F105" s="2897">
        <f>0.8656/F101</f>
        <v>0.67100775193798445</v>
      </c>
      <c r="G105" s="2897">
        <f>0.8656/G101</f>
        <v>0.67100775193798445</v>
      </c>
      <c r="H105" s="2897">
        <f>0.8656/H101</f>
        <v>0.67100775193798445</v>
      </c>
      <c r="I105" s="2897">
        <f>0.8656/I101</f>
        <v>0.67100775193798445</v>
      </c>
      <c r="J105" s="2897">
        <f>0.7525/J101</f>
        <v>0.58333333333333326</v>
      </c>
      <c r="K105" s="2897">
        <f>0.7525/K101</f>
        <v>0.58333333333333326</v>
      </c>
      <c r="L105" s="2897">
        <f>0.7525/L101</f>
        <v>0.58333333333333326</v>
      </c>
      <c r="M105" s="2897">
        <f>0.7525/M101</f>
        <v>0.58333333333333326</v>
      </c>
      <c r="N105" s="2897">
        <f>0.7525/N101</f>
        <v>0.58333333333333326</v>
      </c>
    </row>
    <row r="106" spans="1:14">
      <c r="A106" s="3265"/>
      <c r="B106" s="2896">
        <v>5</v>
      </c>
      <c r="C106" s="2897">
        <f>0.8417/C101</f>
        <v>0.65248062015503872</v>
      </c>
      <c r="D106" s="2897">
        <f>0.8417/D101</f>
        <v>0.65248062015503872</v>
      </c>
      <c r="E106" s="2897">
        <f>0.7371/E101</f>
        <v>0.57139534883720922</v>
      </c>
      <c r="F106" s="2897">
        <f>0.7371/F101</f>
        <v>0.57139534883720922</v>
      </c>
      <c r="G106" s="2897">
        <f>0.7371/G101</f>
        <v>0.57139534883720922</v>
      </c>
      <c r="H106" s="2897">
        <f>0.7371/H101</f>
        <v>0.57139534883720922</v>
      </c>
      <c r="I106" s="2897">
        <f>0.7371/I101</f>
        <v>0.57139534883720922</v>
      </c>
      <c r="J106" s="2897">
        <f>0.5659/J101</f>
        <v>0.43868217054263564</v>
      </c>
      <c r="K106" s="2897">
        <f>0.5659/K101</f>
        <v>0.43868217054263564</v>
      </c>
      <c r="L106" s="2897">
        <f>0.5659/L101</f>
        <v>0.43868217054263564</v>
      </c>
      <c r="M106" s="2897">
        <f>0.5659/M101</f>
        <v>0.43868217054263564</v>
      </c>
      <c r="N106" s="2897">
        <f>0.5659/N101</f>
        <v>0.43868217054263564</v>
      </c>
    </row>
    <row r="107" spans="1:14">
      <c r="A107" s="3265"/>
      <c r="B107" s="2896">
        <v>6</v>
      </c>
      <c r="C107" s="2897">
        <f>0.7608/C101</f>
        <v>0.58976744186046515</v>
      </c>
      <c r="D107" s="2897">
        <f>0.7608/D101</f>
        <v>0.58976744186046515</v>
      </c>
      <c r="E107" s="2897">
        <f>0.6482/E101</f>
        <v>0.50248062015503869</v>
      </c>
      <c r="F107" s="2897">
        <f>0.6482/F101</f>
        <v>0.50248062015503869</v>
      </c>
      <c r="G107" s="2897">
        <f>0.6482/G101</f>
        <v>0.50248062015503869</v>
      </c>
      <c r="H107" s="2897">
        <f>0.6482/H101</f>
        <v>0.50248062015503869</v>
      </c>
      <c r="I107" s="2897">
        <f>0.6482/I101</f>
        <v>0.50248062015503869</v>
      </c>
      <c r="J107" s="2897">
        <f>0.4525/J101</f>
        <v>0.35077519379844962</v>
      </c>
      <c r="K107" s="2897">
        <f>0.4525/K101</f>
        <v>0.35077519379844962</v>
      </c>
      <c r="L107" s="2897">
        <f>0.4525/L101</f>
        <v>0.35077519379844962</v>
      </c>
      <c r="M107" s="2897">
        <f>0.4525/M101</f>
        <v>0.35077519379844962</v>
      </c>
      <c r="N107" s="2897">
        <f>0.4525/N101</f>
        <v>0.35077519379844962</v>
      </c>
    </row>
    <row r="108" spans="1:14">
      <c r="A108" s="3265"/>
      <c r="B108" s="3093" t="s">
        <v>2932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6"/>
      <c r="B109" s="3094"/>
      <c r="C109" s="2899">
        <f>(-0.163*(C108^2)-0.59*C108+7617)*(10^(-4))/C101</f>
        <v>0.59046511627906983</v>
      </c>
      <c r="D109" s="2899">
        <f>(-0.163*(D108^2)-0.59*D108+7617)*(10^(-4))/D101</f>
        <v>0.59046511627906983</v>
      </c>
      <c r="E109" s="2899">
        <f>(-0.161*(E108^2)-7.509*E108+6533)*(10^(-4))/E101</f>
        <v>0.50643410852713178</v>
      </c>
      <c r="F109" s="2899">
        <f>(-0.161*(F108^2)-7.509*F108+6533)*(10^(-4))/F101</f>
        <v>0.50643410852713178</v>
      </c>
      <c r="G109" s="2899">
        <f>(-0.161*(G108^2)-7.509*G108+6533)*(10^(-4))/G101</f>
        <v>0.50643410852713178</v>
      </c>
      <c r="H109" s="2899">
        <f>(-0.161*(H108^2)-7.509*H108+6533)*(10^(-4))/H101</f>
        <v>0.50643410852713178</v>
      </c>
      <c r="I109" s="2899">
        <f>(-0.161*(I108^2)-7.509*I108+6533)*(10^(-4))/I101</f>
        <v>0.50643410852713178</v>
      </c>
      <c r="J109" s="2899">
        <f>(-0.214*(J108^2)-21.991*J108+4665)*(10^(-4))/J101</f>
        <v>0.36162790697674418</v>
      </c>
      <c r="K109" s="2899">
        <f>(-0.214*(K108^2)-21.991*K108+4665)*(10^(-4))/K101</f>
        <v>0.36162790697674418</v>
      </c>
      <c r="L109" s="2899">
        <f>(-0.214*(L108^2)-21.991*L108+4665)*(10^(-4))/L101</f>
        <v>0.36162790697674418</v>
      </c>
      <c r="M109" s="2899">
        <f>(-0.214*(M108^2)-21.991*M108+4665)*(10^(-4))/M101</f>
        <v>0.36162790697674418</v>
      </c>
      <c r="N109" s="2899">
        <f>(-0.214*(N108^2)-21.991*N108+4665)*(10^(-4))/N101</f>
        <v>0.36162790697674418</v>
      </c>
    </row>
    <row r="110" spans="1:14">
      <c r="A110" s="3262" t="s">
        <v>2933</v>
      </c>
      <c r="B110" s="3262"/>
      <c r="C110" s="3262"/>
      <c r="D110" s="3262"/>
      <c r="E110" s="3262"/>
      <c r="F110" s="3262"/>
      <c r="G110" s="3262"/>
      <c r="H110" s="3262"/>
      <c r="I110" s="3262"/>
      <c r="J110" s="3262"/>
      <c r="K110" s="2902"/>
      <c r="L110" s="2902"/>
      <c r="M110" s="2902"/>
      <c r="N110" s="2902"/>
    </row>
    <row r="112" spans="1:14" ht="13.5" thickBot="1"/>
    <row r="113" spans="1:13" ht="25.5" thickBot="1">
      <c r="A113" s="902" t="s">
        <v>2934</v>
      </c>
      <c r="B113" s="1289">
        <f>G3</f>
        <v>1.29</v>
      </c>
      <c r="C113" s="903" t="s">
        <v>2935</v>
      </c>
      <c r="D113" s="904">
        <f>SUMPRODUCT((A115:A118=F113)*(B114:M114=H113)*B115:M118)</f>
        <v>0</v>
      </c>
      <c r="E113" s="2725" t="s">
        <v>2765</v>
      </c>
      <c r="F113" s="2904">
        <f>E2</f>
        <v>0</v>
      </c>
      <c r="G113" s="2725" t="s">
        <v>2766</v>
      </c>
      <c r="H113" s="2904">
        <f>G2</f>
        <v>0</v>
      </c>
      <c r="I113" s="2725"/>
      <c r="J113" s="2905"/>
      <c r="K113" s="2905"/>
      <c r="L113" s="2905"/>
      <c r="M113" s="2905"/>
    </row>
    <row r="114" spans="1:13">
      <c r="A114" s="907"/>
      <c r="B114" s="2906" t="s">
        <v>2936</v>
      </c>
      <c r="C114" s="2906" t="s">
        <v>2937</v>
      </c>
      <c r="D114" s="2906" t="s">
        <v>2938</v>
      </c>
      <c r="E114" s="2907" t="s">
        <v>2939</v>
      </c>
      <c r="F114" s="2907" t="s">
        <v>2940</v>
      </c>
      <c r="G114" s="2907" t="s">
        <v>2941</v>
      </c>
      <c r="H114" s="2908" t="s">
        <v>2942</v>
      </c>
      <c r="I114" s="2908" t="s">
        <v>2943</v>
      </c>
      <c r="J114" s="2909" t="s">
        <v>2944</v>
      </c>
      <c r="K114" s="2909" t="s">
        <v>2945</v>
      </c>
      <c r="L114" s="2909" t="s">
        <v>2946</v>
      </c>
      <c r="M114" s="2910" t="s">
        <v>2947</v>
      </c>
    </row>
    <row r="115" spans="1:13">
      <c r="A115" s="908" t="s">
        <v>2830</v>
      </c>
      <c r="B115" s="909">
        <f>ROUND(0.9335-0.0094*B113,4)</f>
        <v>0.9214</v>
      </c>
      <c r="C115" s="909">
        <f>B115</f>
        <v>0.9214</v>
      </c>
      <c r="D115" s="909">
        <f>ROUND(0.8331-0.0109*B113,4)</f>
        <v>0.81899999999999995</v>
      </c>
      <c r="E115" s="909">
        <f>D115</f>
        <v>0.81899999999999995</v>
      </c>
      <c r="F115" s="909">
        <f>E115</f>
        <v>0.81899999999999995</v>
      </c>
      <c r="G115" s="909">
        <f>F115</f>
        <v>0.81899999999999995</v>
      </c>
      <c r="H115" s="909">
        <f>G115</f>
        <v>0.81899999999999995</v>
      </c>
      <c r="I115" s="909">
        <f>ROUND(0.689-0.0155*B113,4)</f>
        <v>0.66900000000000004</v>
      </c>
      <c r="J115" s="909">
        <f t="shared" ref="J115:M118" si="33">I115</f>
        <v>0.66900000000000004</v>
      </c>
      <c r="K115" s="909">
        <f t="shared" si="33"/>
        <v>0.66900000000000004</v>
      </c>
      <c r="L115" s="909">
        <f t="shared" si="33"/>
        <v>0.66900000000000004</v>
      </c>
      <c r="M115" s="910">
        <f t="shared" si="33"/>
        <v>0.66900000000000004</v>
      </c>
    </row>
    <row r="116" spans="1:13">
      <c r="A116" s="908" t="s">
        <v>2831</v>
      </c>
      <c r="B116" s="909">
        <f>ROUND(0.949-0.012*B113,4)</f>
        <v>0.9335</v>
      </c>
      <c r="C116" s="909">
        <f>B116</f>
        <v>0.9335</v>
      </c>
      <c r="D116" s="909">
        <f>ROUND(0.8567-0.013*B113,4)</f>
        <v>0.83989999999999998</v>
      </c>
      <c r="E116" s="909">
        <f t="shared" ref="E116:H117" si="34">D116</f>
        <v>0.83989999999999998</v>
      </c>
      <c r="F116" s="909">
        <f t="shared" si="34"/>
        <v>0.83989999999999998</v>
      </c>
      <c r="G116" s="909">
        <f t="shared" si="34"/>
        <v>0.83989999999999998</v>
      </c>
      <c r="H116" s="909">
        <f t="shared" si="34"/>
        <v>0.83989999999999998</v>
      </c>
      <c r="I116" s="909">
        <f>ROUND(0.7694-0.014*B113,4)</f>
        <v>0.75129999999999997</v>
      </c>
      <c r="J116" s="909">
        <f t="shared" si="33"/>
        <v>0.75129999999999997</v>
      </c>
      <c r="K116" s="909">
        <f t="shared" si="33"/>
        <v>0.75129999999999997</v>
      </c>
      <c r="L116" s="909">
        <f t="shared" si="33"/>
        <v>0.75129999999999997</v>
      </c>
      <c r="M116" s="910">
        <f t="shared" si="33"/>
        <v>0.75129999999999997</v>
      </c>
    </row>
    <row r="117" spans="1:13">
      <c r="A117" s="908" t="s">
        <v>2832</v>
      </c>
      <c r="B117" s="909">
        <f>ROUND(0.8808-0.006*B113,4)</f>
        <v>0.87309999999999999</v>
      </c>
      <c r="C117" s="909">
        <f>B117</f>
        <v>0.87309999999999999</v>
      </c>
      <c r="D117" s="909">
        <f>ROUND(0.8748-0.008*B113,4)</f>
        <v>0.86450000000000005</v>
      </c>
      <c r="E117" s="909">
        <f t="shared" si="34"/>
        <v>0.86450000000000005</v>
      </c>
      <c r="F117" s="909">
        <f t="shared" si="34"/>
        <v>0.86450000000000005</v>
      </c>
      <c r="G117" s="909">
        <f t="shared" si="34"/>
        <v>0.86450000000000005</v>
      </c>
      <c r="H117" s="909">
        <f t="shared" si="34"/>
        <v>0.86450000000000005</v>
      </c>
      <c r="I117" s="909">
        <f>ROUND(0.7412-0.0095*B113,4)</f>
        <v>0.72889999999999999</v>
      </c>
      <c r="J117" s="909">
        <f t="shared" si="33"/>
        <v>0.72889999999999999</v>
      </c>
      <c r="K117" s="909">
        <f t="shared" si="33"/>
        <v>0.72889999999999999</v>
      </c>
      <c r="L117" s="909">
        <f t="shared" si="33"/>
        <v>0.72889999999999999</v>
      </c>
      <c r="M117" s="910">
        <f t="shared" si="33"/>
        <v>0.72889999999999999</v>
      </c>
    </row>
    <row r="118" spans="1:13" ht="13.5" thickBot="1">
      <c r="A118" s="713" t="s">
        <v>2833</v>
      </c>
      <c r="B118" s="911">
        <f>ROUND(0.7275-0.01*B113,4)</f>
        <v>0.71460000000000001</v>
      </c>
      <c r="C118" s="911">
        <f>B118</f>
        <v>0.71460000000000001</v>
      </c>
      <c r="D118" s="911">
        <f>ROUND(0.7043-0.012*B113,4)</f>
        <v>0.68879999999999997</v>
      </c>
      <c r="E118" s="911">
        <f>D118</f>
        <v>0.68879999999999997</v>
      </c>
      <c r="F118" s="911">
        <f>E118</f>
        <v>0.68879999999999997</v>
      </c>
      <c r="G118" s="911">
        <f>ROUND(0.6299-0.0122*B113,4)</f>
        <v>0.61419999999999997</v>
      </c>
      <c r="H118" s="911">
        <f>G118</f>
        <v>0.61419999999999997</v>
      </c>
      <c r="I118" s="911">
        <f>ROUND(0.5667-0.0136*B113,4)</f>
        <v>0.54920000000000002</v>
      </c>
      <c r="J118" s="911">
        <f t="shared" si="33"/>
        <v>0.54920000000000002</v>
      </c>
      <c r="K118" s="911">
        <f t="shared" si="33"/>
        <v>0.54920000000000002</v>
      </c>
      <c r="L118" s="911">
        <f t="shared" si="33"/>
        <v>0.54920000000000002</v>
      </c>
      <c r="M118" s="912">
        <f t="shared" si="33"/>
        <v>0.54920000000000002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279" t="s">
        <v>182</v>
      </c>
      <c r="B18" s="881" t="s">
        <v>559</v>
      </c>
      <c r="C18" s="882" t="s">
        <v>560</v>
      </c>
      <c r="D18" s="883"/>
      <c r="E18" s="881">
        <v>1</v>
      </c>
      <c r="F18" s="884" t="s">
        <v>561</v>
      </c>
      <c r="G18" s="885"/>
      <c r="H18" s="877"/>
      <c r="I18" s="877"/>
    </row>
    <row r="19" spans="1:9" s="886" customFormat="1" ht="19.5" customHeight="1">
      <c r="A19" s="3279"/>
      <c r="B19" s="3279" t="s">
        <v>562</v>
      </c>
      <c r="C19" s="882" t="s">
        <v>563</v>
      </c>
      <c r="D19" s="883"/>
      <c r="E19" s="881">
        <v>0.9</v>
      </c>
      <c r="F19" s="884" t="s">
        <v>564</v>
      </c>
      <c r="G19" s="885"/>
      <c r="H19" s="877"/>
      <c r="I19" s="877"/>
    </row>
    <row r="20" spans="1:9" s="886" customFormat="1" ht="19.5" customHeight="1">
      <c r="A20" s="3279"/>
      <c r="B20" s="3279"/>
      <c r="C20" s="882" t="s">
        <v>565</v>
      </c>
      <c r="D20" s="883"/>
      <c r="E20" s="881">
        <v>1.1000000000000001</v>
      </c>
      <c r="F20" s="884" t="s">
        <v>566</v>
      </c>
      <c r="G20" s="885"/>
      <c r="H20" s="877"/>
      <c r="I20" s="877"/>
    </row>
    <row r="21" spans="1:9" s="886" customFormat="1" ht="19.5" customHeight="1">
      <c r="A21" s="3279"/>
      <c r="B21" s="3279"/>
      <c r="C21" s="882" t="s">
        <v>567</v>
      </c>
      <c r="D21" s="883"/>
      <c r="E21" s="881">
        <v>0.8</v>
      </c>
      <c r="F21" s="884" t="s">
        <v>568</v>
      </c>
      <c r="G21" s="885"/>
      <c r="H21" s="877"/>
      <c r="I21" s="877"/>
    </row>
    <row r="22" spans="1:9" s="886" customFormat="1" ht="19.5" customHeight="1">
      <c r="A22" s="3279"/>
      <c r="B22" s="3279"/>
      <c r="C22" s="882" t="s">
        <v>569</v>
      </c>
      <c r="D22" s="883"/>
      <c r="E22" s="881">
        <v>0.5</v>
      </c>
      <c r="F22" s="884"/>
      <c r="G22" s="885"/>
      <c r="H22" s="877"/>
      <c r="I22" s="877"/>
    </row>
    <row r="23" spans="1:9" s="886" customFormat="1" ht="19.5" customHeight="1">
      <c r="A23" s="3279" t="s">
        <v>183</v>
      </c>
      <c r="B23" s="881" t="s">
        <v>559</v>
      </c>
      <c r="C23" s="882" t="s">
        <v>570</v>
      </c>
      <c r="D23" s="883"/>
      <c r="E23" s="881">
        <v>1</v>
      </c>
      <c r="F23" s="884" t="s">
        <v>571</v>
      </c>
      <c r="G23" s="885"/>
      <c r="H23" s="877"/>
      <c r="I23" s="877"/>
    </row>
    <row r="24" spans="1:9" s="886" customFormat="1" ht="19.5" customHeight="1">
      <c r="A24" s="3279"/>
      <c r="B24" s="3279" t="s">
        <v>562</v>
      </c>
      <c r="C24" s="882" t="s">
        <v>572</v>
      </c>
      <c r="D24" s="883"/>
      <c r="E24" s="881">
        <v>0.5</v>
      </c>
      <c r="F24" s="884"/>
      <c r="G24" s="885"/>
      <c r="H24" s="877"/>
      <c r="I24" s="877"/>
    </row>
    <row r="25" spans="1:9" s="886" customFormat="1" ht="19.5" customHeight="1">
      <c r="A25" s="3279"/>
      <c r="B25" s="3279"/>
      <c r="C25" s="882" t="s">
        <v>573</v>
      </c>
      <c r="D25" s="883"/>
      <c r="E25" s="881">
        <v>1.1000000000000001</v>
      </c>
      <c r="F25" s="884"/>
      <c r="G25" s="885"/>
      <c r="H25" s="877"/>
      <c r="I25" s="877"/>
    </row>
    <row r="26" spans="1:9" s="886" customFormat="1" ht="19.5" customHeight="1">
      <c r="A26" s="3279"/>
      <c r="B26" s="3279"/>
      <c r="C26" s="882" t="s">
        <v>574</v>
      </c>
      <c r="D26" s="883"/>
      <c r="E26" s="881">
        <v>1.1000000000000001</v>
      </c>
      <c r="F26" s="884"/>
      <c r="G26" s="885"/>
      <c r="H26" s="877"/>
      <c r="I26" s="877"/>
    </row>
    <row r="27" spans="1:9" s="886" customFormat="1" ht="19.5" customHeight="1">
      <c r="A27" s="3279"/>
      <c r="B27" s="3279"/>
      <c r="C27" s="882" t="s">
        <v>575</v>
      </c>
      <c r="D27" s="883"/>
      <c r="E27" s="881">
        <v>0.9</v>
      </c>
      <c r="F27" s="884" t="s">
        <v>576</v>
      </c>
      <c r="G27" s="885"/>
      <c r="H27" s="877"/>
      <c r="I27" s="877"/>
    </row>
    <row r="28" spans="1:9" s="886" customFormat="1" ht="19.5" customHeight="1">
      <c r="A28" s="3279"/>
      <c r="B28" s="3279"/>
      <c r="C28" s="882" t="s">
        <v>577</v>
      </c>
      <c r="D28" s="883"/>
      <c r="E28" s="881">
        <v>0.9</v>
      </c>
      <c r="F28" s="884" t="s">
        <v>578</v>
      </c>
      <c r="G28" s="885"/>
      <c r="H28" s="877"/>
      <c r="I28" s="877"/>
    </row>
    <row r="29" spans="1:9" s="886" customFormat="1" ht="19.5" customHeight="1">
      <c r="A29" s="3279"/>
      <c r="B29" s="3279"/>
      <c r="C29" s="882" t="s">
        <v>579</v>
      </c>
      <c r="D29" s="883"/>
      <c r="E29" s="881">
        <v>0.9</v>
      </c>
      <c r="F29" s="884" t="s">
        <v>580</v>
      </c>
      <c r="G29" s="885"/>
      <c r="H29" s="877"/>
      <c r="I29" s="877"/>
    </row>
    <row r="30" spans="1:9" s="886" customFormat="1" ht="19.5" customHeight="1">
      <c r="A30" s="3279"/>
      <c r="B30" s="3279"/>
      <c r="C30" s="882" t="s">
        <v>581</v>
      </c>
      <c r="D30" s="883"/>
      <c r="E30" s="881">
        <v>0.9</v>
      </c>
      <c r="F30" s="884" t="s">
        <v>582</v>
      </c>
      <c r="G30" s="885"/>
      <c r="H30" s="877"/>
      <c r="I30" s="877"/>
    </row>
    <row r="31" spans="1:9" s="886" customFormat="1" ht="19.5" customHeight="1">
      <c r="A31" s="3279"/>
      <c r="B31" s="3279"/>
      <c r="C31" s="882" t="s">
        <v>583</v>
      </c>
      <c r="D31" s="883"/>
      <c r="E31" s="881">
        <v>0.8</v>
      </c>
      <c r="F31" s="884" t="s">
        <v>584</v>
      </c>
      <c r="G31" s="885"/>
      <c r="H31" s="877"/>
      <c r="I31" s="877"/>
    </row>
    <row r="32" spans="1:9" s="886" customFormat="1" ht="19.5" customHeight="1">
      <c r="A32" s="3279"/>
      <c r="B32" s="3279"/>
      <c r="C32" s="882" t="s">
        <v>585</v>
      </c>
      <c r="D32" s="883"/>
      <c r="E32" s="881">
        <v>0.8</v>
      </c>
      <c r="F32" s="884" t="s">
        <v>586</v>
      </c>
      <c r="G32" s="885"/>
      <c r="H32" s="877"/>
      <c r="I32" s="877"/>
    </row>
    <row r="33" spans="1:9" s="886" customFormat="1" ht="19.5" customHeight="1">
      <c r="A33" s="3279" t="s">
        <v>184</v>
      </c>
      <c r="B33" s="881" t="s">
        <v>559</v>
      </c>
      <c r="C33" s="882" t="s">
        <v>587</v>
      </c>
      <c r="D33" s="883"/>
      <c r="E33" s="881">
        <v>1</v>
      </c>
      <c r="F33" s="884" t="s">
        <v>588</v>
      </c>
      <c r="G33" s="885"/>
      <c r="H33" s="877"/>
      <c r="I33" s="877"/>
    </row>
    <row r="34" spans="1:9" s="886" customFormat="1" ht="19.5" customHeight="1">
      <c r="A34" s="3279"/>
      <c r="B34" s="881" t="s">
        <v>562</v>
      </c>
      <c r="C34" s="882" t="s">
        <v>589</v>
      </c>
      <c r="D34" s="883"/>
      <c r="E34" s="881">
        <v>1.5</v>
      </c>
      <c r="F34" s="884" t="s">
        <v>590</v>
      </c>
      <c r="G34" s="885"/>
      <c r="H34" s="877"/>
      <c r="I34" s="877"/>
    </row>
    <row r="35" spans="1:9" s="886" customFormat="1" ht="19.5" customHeight="1">
      <c r="A35" s="3279" t="s">
        <v>185</v>
      </c>
      <c r="B35" s="881" t="s">
        <v>559</v>
      </c>
      <c r="C35" s="882" t="s">
        <v>591</v>
      </c>
      <c r="D35" s="883"/>
      <c r="E35" s="881">
        <v>1</v>
      </c>
      <c r="F35" s="884" t="s">
        <v>592</v>
      </c>
      <c r="G35" s="885"/>
      <c r="H35" s="877"/>
      <c r="I35" s="877"/>
    </row>
    <row r="36" spans="1:9" s="886" customFormat="1" ht="19.5" customHeight="1">
      <c r="A36" s="3279"/>
      <c r="B36" s="3279" t="s">
        <v>562</v>
      </c>
      <c r="C36" s="882" t="s">
        <v>593</v>
      </c>
      <c r="D36" s="883"/>
      <c r="E36" s="881">
        <v>1</v>
      </c>
      <c r="F36" s="884" t="s">
        <v>594</v>
      </c>
      <c r="G36" s="885"/>
      <c r="H36" s="877"/>
      <c r="I36" s="877"/>
    </row>
    <row r="37" spans="1:9" s="886" customFormat="1" ht="19.5" customHeight="1">
      <c r="A37" s="3279"/>
      <c r="B37" s="3279"/>
      <c r="C37" s="882" t="s">
        <v>595</v>
      </c>
      <c r="D37" s="883"/>
      <c r="E37" s="881">
        <v>1.5</v>
      </c>
      <c r="F37" s="884" t="s">
        <v>596</v>
      </c>
      <c r="G37" s="885"/>
      <c r="H37" s="877"/>
      <c r="I37" s="877"/>
    </row>
    <row r="38" spans="1:9" s="886" customFormat="1" ht="19.5" customHeight="1">
      <c r="A38" s="3279"/>
      <c r="B38" s="3279"/>
      <c r="C38" s="882" t="s">
        <v>597</v>
      </c>
      <c r="D38" s="883"/>
      <c r="E38" s="881">
        <v>1</v>
      </c>
      <c r="F38" s="884" t="s">
        <v>598</v>
      </c>
      <c r="G38" s="885"/>
      <c r="H38" s="877"/>
      <c r="I38" s="877"/>
    </row>
    <row r="39" spans="1:9" s="886" customFormat="1" ht="19.5" customHeight="1">
      <c r="A39" s="3279"/>
      <c r="B39" s="3279"/>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279" t="s">
        <v>613</v>
      </c>
      <c r="C61" s="817" t="s">
        <v>614</v>
      </c>
      <c r="D61" s="817" t="s">
        <v>615</v>
      </c>
      <c r="E61" s="894">
        <v>0.5</v>
      </c>
      <c r="F61" s="881">
        <v>80</v>
      </c>
    </row>
    <row r="62" spans="1:8" s="877" customFormat="1" ht="24">
      <c r="A62" s="881">
        <v>2</v>
      </c>
      <c r="B62" s="3279"/>
      <c r="C62" s="817" t="s">
        <v>616</v>
      </c>
      <c r="D62" s="817" t="s">
        <v>617</v>
      </c>
      <c r="E62" s="894">
        <v>0.5</v>
      </c>
      <c r="F62" s="881">
        <v>80</v>
      </c>
    </row>
    <row r="63" spans="1:8" s="877" customFormat="1" ht="36">
      <c r="A63" s="881">
        <v>3</v>
      </c>
      <c r="B63" s="3279"/>
      <c r="C63" s="817" t="s">
        <v>618</v>
      </c>
      <c r="D63" s="817" t="s">
        <v>619</v>
      </c>
      <c r="E63" s="894">
        <v>0.5</v>
      </c>
      <c r="F63" s="881">
        <v>80</v>
      </c>
    </row>
    <row r="64" spans="1:8" s="877" customFormat="1" ht="36">
      <c r="A64" s="881">
        <v>4</v>
      </c>
      <c r="B64" s="3279"/>
      <c r="C64" s="817" t="s">
        <v>620</v>
      </c>
      <c r="D64" s="817" t="s">
        <v>621</v>
      </c>
      <c r="E64" s="894">
        <v>0.4</v>
      </c>
      <c r="F64" s="881">
        <v>60</v>
      </c>
    </row>
    <row r="65" spans="1:6" s="877" customFormat="1" ht="36">
      <c r="A65" s="881">
        <v>5</v>
      </c>
      <c r="B65" s="3279"/>
      <c r="C65" s="817" t="s">
        <v>622</v>
      </c>
      <c r="D65" s="817" t="s">
        <v>623</v>
      </c>
      <c r="E65" s="894">
        <v>0.2</v>
      </c>
      <c r="F65" s="881">
        <v>30</v>
      </c>
    </row>
    <row r="66" spans="1:6" s="877" customFormat="1" ht="36">
      <c r="A66" s="881">
        <v>6</v>
      </c>
      <c r="B66" s="3279"/>
      <c r="C66" s="817" t="s">
        <v>624</v>
      </c>
      <c r="D66" s="817" t="s">
        <v>625</v>
      </c>
      <c r="E66" s="894">
        <v>0.3</v>
      </c>
      <c r="F66" s="881">
        <v>50</v>
      </c>
    </row>
    <row r="67" spans="1:6" s="877" customFormat="1" ht="36">
      <c r="A67" s="881">
        <v>7</v>
      </c>
      <c r="B67" s="3279"/>
      <c r="C67" s="817" t="s">
        <v>626</v>
      </c>
      <c r="D67" s="817" t="s">
        <v>627</v>
      </c>
      <c r="E67" s="894">
        <v>0.2</v>
      </c>
      <c r="F67" s="881">
        <v>30</v>
      </c>
    </row>
    <row r="68" spans="1:6" s="877" customFormat="1" ht="36">
      <c r="A68" s="881">
        <v>8</v>
      </c>
      <c r="B68" s="3279"/>
      <c r="C68" s="817" t="s">
        <v>628</v>
      </c>
      <c r="D68" s="817" t="s">
        <v>629</v>
      </c>
      <c r="E68" s="894">
        <v>0.2</v>
      </c>
      <c r="F68" s="881">
        <v>30</v>
      </c>
    </row>
    <row r="69" spans="1:6" s="877" customFormat="1" ht="36">
      <c r="A69" s="881">
        <v>9</v>
      </c>
      <c r="B69" s="3279"/>
      <c r="C69" s="817" t="s">
        <v>630</v>
      </c>
      <c r="D69" s="817" t="s">
        <v>631</v>
      </c>
      <c r="E69" s="894">
        <v>0.2</v>
      </c>
      <c r="F69" s="881">
        <v>30</v>
      </c>
    </row>
    <row r="70" spans="1:6" s="877" customFormat="1" ht="48">
      <c r="A70" s="881">
        <v>10</v>
      </c>
      <c r="B70" s="3279"/>
      <c r="C70" s="817" t="s">
        <v>632</v>
      </c>
      <c r="D70" s="817" t="s">
        <v>633</v>
      </c>
      <c r="E70" s="894">
        <v>0.2</v>
      </c>
      <c r="F70" s="881">
        <v>30</v>
      </c>
    </row>
    <row r="71" spans="1:6" s="877" customFormat="1" ht="48">
      <c r="A71" s="881">
        <v>11</v>
      </c>
      <c r="B71" s="3279"/>
      <c r="C71" s="817" t="s">
        <v>634</v>
      </c>
      <c r="D71" s="817" t="s">
        <v>635</v>
      </c>
      <c r="E71" s="894">
        <v>0.2</v>
      </c>
      <c r="F71" s="881">
        <v>30</v>
      </c>
    </row>
    <row r="72" spans="1:6" s="877" customFormat="1" ht="36">
      <c r="A72" s="881">
        <v>12</v>
      </c>
      <c r="B72" s="3279"/>
      <c r="C72" s="817" t="s">
        <v>636</v>
      </c>
      <c r="D72" s="817" t="s">
        <v>637</v>
      </c>
      <c r="E72" s="894">
        <v>0.5</v>
      </c>
      <c r="F72" s="881">
        <v>80</v>
      </c>
    </row>
    <row r="73" spans="1:6" s="877" customFormat="1" ht="24">
      <c r="A73" s="881">
        <v>13</v>
      </c>
      <c r="B73" s="3279"/>
      <c r="C73" s="817" t="s">
        <v>638</v>
      </c>
      <c r="D73" s="817" t="s">
        <v>639</v>
      </c>
      <c r="E73" s="894">
        <v>0.4</v>
      </c>
      <c r="F73" s="881">
        <v>60</v>
      </c>
    </row>
    <row r="74" spans="1:6" s="877" customFormat="1" ht="24">
      <c r="A74" s="881">
        <v>14</v>
      </c>
      <c r="B74" s="3279"/>
      <c r="C74" s="817" t="s">
        <v>640</v>
      </c>
      <c r="D74" s="817" t="s">
        <v>641</v>
      </c>
      <c r="E74" s="894">
        <v>0.2</v>
      </c>
      <c r="F74" s="881">
        <v>30</v>
      </c>
    </row>
    <row r="75" spans="1:6" s="877" customFormat="1" ht="24">
      <c r="A75" s="881">
        <v>15</v>
      </c>
      <c r="B75" s="3279"/>
      <c r="C75" s="817" t="s">
        <v>642</v>
      </c>
      <c r="D75" s="817" t="s">
        <v>643</v>
      </c>
      <c r="E75" s="894">
        <v>0.2</v>
      </c>
      <c r="F75" s="881">
        <v>30</v>
      </c>
    </row>
    <row r="76" spans="1:6" s="877" customFormat="1" ht="24">
      <c r="A76" s="881">
        <v>16</v>
      </c>
      <c r="B76" s="3279" t="s">
        <v>644</v>
      </c>
      <c r="C76" s="817" t="s">
        <v>645</v>
      </c>
      <c r="D76" s="817" t="s">
        <v>646</v>
      </c>
      <c r="E76" s="894">
        <v>0.5</v>
      </c>
      <c r="F76" s="881">
        <v>80</v>
      </c>
    </row>
    <row r="77" spans="1:6" s="877" customFormat="1" ht="24">
      <c r="A77" s="881">
        <v>17</v>
      </c>
      <c r="B77" s="3279"/>
      <c r="C77" s="817" t="s">
        <v>647</v>
      </c>
      <c r="D77" s="817" t="s">
        <v>648</v>
      </c>
      <c r="E77" s="894">
        <v>0.5</v>
      </c>
      <c r="F77" s="881">
        <v>80</v>
      </c>
    </row>
    <row r="78" spans="1:6" s="877" customFormat="1" ht="24">
      <c r="A78" s="881">
        <v>18</v>
      </c>
      <c r="B78" s="3279"/>
      <c r="C78" s="817" t="s">
        <v>649</v>
      </c>
      <c r="D78" s="817" t="s">
        <v>650</v>
      </c>
      <c r="E78" s="894">
        <v>0.2</v>
      </c>
      <c r="F78" s="881">
        <v>30</v>
      </c>
    </row>
    <row r="79" spans="1:6" s="877" customFormat="1" ht="24">
      <c r="A79" s="881">
        <v>19</v>
      </c>
      <c r="B79" s="3279"/>
      <c r="C79" s="817" t="s">
        <v>651</v>
      </c>
      <c r="D79" s="817" t="s">
        <v>652</v>
      </c>
      <c r="E79" s="894">
        <v>0.5</v>
      </c>
      <c r="F79" s="881">
        <v>80</v>
      </c>
    </row>
    <row r="80" spans="1:6" s="877" customFormat="1" ht="36">
      <c r="A80" s="881">
        <v>20</v>
      </c>
      <c r="B80" s="3279"/>
      <c r="C80" s="817" t="s">
        <v>653</v>
      </c>
      <c r="D80" s="817" t="s">
        <v>654</v>
      </c>
      <c r="E80" s="894">
        <v>0.2</v>
      </c>
      <c r="F80" s="881">
        <v>30</v>
      </c>
    </row>
    <row r="81" spans="1:6" s="877" customFormat="1" ht="36">
      <c r="A81" s="881">
        <v>21</v>
      </c>
      <c r="B81" s="3279"/>
      <c r="C81" s="817" t="s">
        <v>655</v>
      </c>
      <c r="D81" s="817" t="s">
        <v>656</v>
      </c>
      <c r="E81" s="894">
        <v>0.2</v>
      </c>
      <c r="F81" s="881">
        <v>30</v>
      </c>
    </row>
    <row r="82" spans="1:6" s="877" customFormat="1" ht="48">
      <c r="A82" s="881">
        <v>22</v>
      </c>
      <c r="B82" s="3279"/>
      <c r="C82" s="817" t="s">
        <v>657</v>
      </c>
      <c r="D82" s="817" t="s">
        <v>658</v>
      </c>
      <c r="E82" s="894">
        <v>0.2</v>
      </c>
      <c r="F82" s="881">
        <v>30</v>
      </c>
    </row>
    <row r="83" spans="1:6" s="877" customFormat="1" ht="48">
      <c r="A83" s="881">
        <v>23</v>
      </c>
      <c r="B83" s="3279"/>
      <c r="C83" s="817" t="s">
        <v>659</v>
      </c>
      <c r="D83" s="817" t="s">
        <v>660</v>
      </c>
      <c r="E83" s="894">
        <v>0.2</v>
      </c>
      <c r="F83" s="881">
        <v>30</v>
      </c>
    </row>
    <row r="84" spans="1:6" s="877" customFormat="1" ht="36">
      <c r="A84" s="881">
        <v>24</v>
      </c>
      <c r="B84" s="3279"/>
      <c r="C84" s="817" t="s">
        <v>661</v>
      </c>
      <c r="D84" s="817" t="s">
        <v>662</v>
      </c>
      <c r="E84" s="894">
        <v>0.2</v>
      </c>
      <c r="F84" s="881">
        <v>30</v>
      </c>
    </row>
    <row r="85" spans="1:6" s="877" customFormat="1" ht="36">
      <c r="A85" s="881">
        <v>25</v>
      </c>
      <c r="B85" s="3279"/>
      <c r="C85" s="817" t="s">
        <v>663</v>
      </c>
      <c r="D85" s="817" t="s">
        <v>664</v>
      </c>
      <c r="E85" s="894">
        <v>0.5</v>
      </c>
      <c r="F85" s="881">
        <v>80</v>
      </c>
    </row>
    <row r="86" spans="1:6" s="877" customFormat="1" ht="36">
      <c r="A86" s="881">
        <v>26</v>
      </c>
      <c r="B86" s="3279"/>
      <c r="C86" s="817" t="s">
        <v>665</v>
      </c>
      <c r="D86" s="817" t="s">
        <v>666</v>
      </c>
      <c r="E86" s="894">
        <v>0.2</v>
      </c>
      <c r="F86" s="881">
        <v>30</v>
      </c>
    </row>
    <row r="87" spans="1:6" s="877" customFormat="1" ht="36">
      <c r="A87" s="881">
        <v>27</v>
      </c>
      <c r="B87" s="3279"/>
      <c r="C87" s="817" t="s">
        <v>667</v>
      </c>
      <c r="D87" s="817" t="s">
        <v>668</v>
      </c>
      <c r="E87" s="894">
        <v>0.2</v>
      </c>
      <c r="F87" s="881">
        <v>30</v>
      </c>
    </row>
    <row r="88" spans="1:6" s="877" customFormat="1" ht="36">
      <c r="A88" s="881">
        <v>28</v>
      </c>
      <c r="B88" s="3279"/>
      <c r="C88" s="817" t="s">
        <v>669</v>
      </c>
      <c r="D88" s="817" t="s">
        <v>670</v>
      </c>
      <c r="E88" s="894">
        <v>0.2</v>
      </c>
      <c r="F88" s="881">
        <v>30</v>
      </c>
    </row>
    <row r="89" spans="1:6" s="877" customFormat="1" ht="24">
      <c r="A89" s="881">
        <v>29</v>
      </c>
      <c r="B89" s="3279"/>
      <c r="C89" s="817" t="s">
        <v>671</v>
      </c>
      <c r="D89" s="817" t="s">
        <v>672</v>
      </c>
      <c r="E89" s="894">
        <v>0.2</v>
      </c>
      <c r="F89" s="881">
        <v>30</v>
      </c>
    </row>
    <row r="90" spans="1:6" s="877" customFormat="1" ht="24">
      <c r="A90" s="881">
        <v>30</v>
      </c>
      <c r="B90" s="3279"/>
      <c r="C90" s="817" t="s">
        <v>673</v>
      </c>
      <c r="D90" s="817" t="s">
        <v>674</v>
      </c>
      <c r="E90" s="894">
        <v>0.2</v>
      </c>
      <c r="F90" s="881">
        <v>30</v>
      </c>
    </row>
    <row r="91" spans="1:6" s="877" customFormat="1" ht="36">
      <c r="A91" s="881">
        <v>31</v>
      </c>
      <c r="B91" s="3279"/>
      <c r="C91" s="817" t="s">
        <v>675</v>
      </c>
      <c r="D91" s="817" t="s">
        <v>676</v>
      </c>
      <c r="E91" s="894">
        <v>0.2</v>
      </c>
      <c r="F91" s="881">
        <v>30</v>
      </c>
    </row>
    <row r="92" spans="1:6" s="877" customFormat="1" ht="24">
      <c r="A92" s="881">
        <v>32</v>
      </c>
      <c r="B92" s="3279" t="s">
        <v>677</v>
      </c>
      <c r="C92" s="881" t="s">
        <v>678</v>
      </c>
      <c r="D92" s="817" t="s">
        <v>679</v>
      </c>
      <c r="E92" s="894">
        <v>0.2</v>
      </c>
      <c r="F92" s="881">
        <v>30</v>
      </c>
    </row>
    <row r="93" spans="1:6" s="877" customFormat="1" ht="36">
      <c r="A93" s="881">
        <v>33</v>
      </c>
      <c r="B93" s="3279"/>
      <c r="C93" s="881" t="s">
        <v>680</v>
      </c>
      <c r="D93" s="817" t="s">
        <v>681</v>
      </c>
      <c r="E93" s="894">
        <v>0.2</v>
      </c>
      <c r="F93" s="881">
        <v>30</v>
      </c>
    </row>
    <row r="94" spans="1:6" s="877" customFormat="1" ht="48">
      <c r="A94" s="881">
        <v>34</v>
      </c>
      <c r="B94" s="3279"/>
      <c r="C94" s="881" t="s">
        <v>682</v>
      </c>
      <c r="D94" s="817" t="s">
        <v>683</v>
      </c>
      <c r="E94" s="894">
        <v>0.2</v>
      </c>
      <c r="F94" s="881">
        <v>30</v>
      </c>
    </row>
    <row r="95" spans="1:6" s="877" customFormat="1" ht="36">
      <c r="A95" s="881">
        <v>35</v>
      </c>
      <c r="B95" s="3279"/>
      <c r="C95" s="881" t="s">
        <v>684</v>
      </c>
      <c r="D95" s="817" t="s">
        <v>685</v>
      </c>
      <c r="E95" s="894">
        <v>0.2</v>
      </c>
      <c r="F95" s="881">
        <v>30</v>
      </c>
    </row>
    <row r="96" spans="1:6" s="877" customFormat="1" ht="48">
      <c r="A96" s="881">
        <v>36</v>
      </c>
      <c r="B96" s="3279"/>
      <c r="C96" s="817" t="s">
        <v>686</v>
      </c>
      <c r="D96" s="817" t="s">
        <v>687</v>
      </c>
      <c r="E96" s="894">
        <v>0.2</v>
      </c>
      <c r="F96" s="881">
        <v>30</v>
      </c>
    </row>
    <row r="97" spans="1:6" s="877" customFormat="1" ht="36">
      <c r="A97" s="881">
        <v>37</v>
      </c>
      <c r="B97" s="3279"/>
      <c r="C97" s="881" t="s">
        <v>688</v>
      </c>
      <c r="D97" s="817" t="s">
        <v>689</v>
      </c>
      <c r="E97" s="894">
        <v>0.2</v>
      </c>
      <c r="F97" s="881">
        <v>30</v>
      </c>
    </row>
    <row r="98" spans="1:6" s="877" customFormat="1" ht="36">
      <c r="A98" s="881">
        <v>38</v>
      </c>
      <c r="B98" s="3279"/>
      <c r="C98" s="881" t="s">
        <v>690</v>
      </c>
      <c r="D98" s="817" t="s">
        <v>691</v>
      </c>
      <c r="E98" s="894">
        <v>0.2</v>
      </c>
      <c r="F98" s="881">
        <v>30</v>
      </c>
    </row>
    <row r="99" spans="1:6" s="877" customFormat="1" ht="36">
      <c r="A99" s="881">
        <v>39</v>
      </c>
      <c r="B99" s="3279" t="s">
        <v>692</v>
      </c>
      <c r="C99" s="881" t="s">
        <v>693</v>
      </c>
      <c r="D99" s="817" t="s">
        <v>694</v>
      </c>
      <c r="E99" s="894">
        <v>0.3</v>
      </c>
      <c r="F99" s="881">
        <v>50</v>
      </c>
    </row>
    <row r="100" spans="1:6" s="877" customFormat="1" ht="24">
      <c r="A100" s="881">
        <v>40</v>
      </c>
      <c r="B100" s="3279"/>
      <c r="C100" s="881" t="s">
        <v>695</v>
      </c>
      <c r="D100" s="817" t="s">
        <v>696</v>
      </c>
      <c r="E100" s="894">
        <v>0.2</v>
      </c>
      <c r="F100" s="881">
        <v>30</v>
      </c>
    </row>
    <row r="101" spans="1:6" s="877" customFormat="1" ht="36">
      <c r="A101" s="881">
        <v>41</v>
      </c>
      <c r="B101" s="3279"/>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279" t="s">
        <v>707</v>
      </c>
      <c r="C105" s="881" t="s">
        <v>708</v>
      </c>
      <c r="D105" s="817" t="s">
        <v>709</v>
      </c>
      <c r="E105" s="894">
        <v>0.2</v>
      </c>
      <c r="F105" s="881">
        <v>30</v>
      </c>
    </row>
    <row r="106" spans="1:6" s="877" customFormat="1" ht="36">
      <c r="A106" s="881">
        <v>46</v>
      </c>
      <c r="B106" s="3279"/>
      <c r="C106" s="881" t="s">
        <v>710</v>
      </c>
      <c r="D106" s="817" t="s">
        <v>711</v>
      </c>
      <c r="E106" s="894">
        <v>0.2</v>
      </c>
      <c r="F106" s="881">
        <v>30</v>
      </c>
    </row>
    <row r="107" spans="1:6" s="877" customFormat="1" ht="36">
      <c r="A107" s="881">
        <v>47</v>
      </c>
      <c r="B107" s="3279" t="s">
        <v>712</v>
      </c>
      <c r="C107" s="881" t="s">
        <v>713</v>
      </c>
      <c r="D107" s="817" t="s">
        <v>714</v>
      </c>
      <c r="E107" s="894">
        <v>0.3</v>
      </c>
      <c r="F107" s="881">
        <v>50</v>
      </c>
    </row>
    <row r="108" spans="1:6" s="877" customFormat="1" ht="36">
      <c r="A108" s="881">
        <v>48</v>
      </c>
      <c r="B108" s="3279"/>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279" t="s">
        <v>723</v>
      </c>
      <c r="C111" s="881" t="s">
        <v>724</v>
      </c>
      <c r="D111" s="817" t="s">
        <v>725</v>
      </c>
      <c r="E111" s="894">
        <v>0.2</v>
      </c>
      <c r="F111" s="881">
        <v>30</v>
      </c>
    </row>
    <row r="112" spans="1:6" s="877" customFormat="1" ht="24">
      <c r="A112" s="881">
        <v>52</v>
      </c>
      <c r="B112" s="3279"/>
      <c r="C112" s="881" t="s">
        <v>726</v>
      </c>
      <c r="D112" s="817" t="s">
        <v>727</v>
      </c>
      <c r="E112" s="894">
        <v>0.2</v>
      </c>
      <c r="F112" s="881">
        <v>30</v>
      </c>
    </row>
    <row r="113" spans="1:6" s="877" customFormat="1" ht="24">
      <c r="A113" s="881">
        <v>53</v>
      </c>
      <c r="B113" s="3279"/>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279" t="s">
        <v>736</v>
      </c>
      <c r="C116" s="881" t="s">
        <v>737</v>
      </c>
      <c r="D116" s="817" t="s">
        <v>738</v>
      </c>
      <c r="E116" s="894">
        <v>0.2</v>
      </c>
      <c r="F116" s="881">
        <v>30</v>
      </c>
    </row>
    <row r="117" spans="1:6" ht="36">
      <c r="A117" s="881">
        <v>57</v>
      </c>
      <c r="B117" s="3279"/>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2956</v>
      </c>
    </row>
    <row r="2" spans="1:5" ht="15.75">
      <c r="A2" s="2911" t="s">
        <v>2948</v>
      </c>
      <c r="B2" s="2912" t="e">
        <f ca="1">SUMIF(B6:B13,"&lt;&gt;#ref!",B6:B13)</f>
        <v>#DIV/0!</v>
      </c>
      <c r="C2" s="2911" t="s">
        <v>2949</v>
      </c>
      <c r="D2" s="2911" t="s">
        <v>2950</v>
      </c>
      <c r="E2" s="2912" t="e">
        <f ca="1">SUM(E6:E13)</f>
        <v>#REF!</v>
      </c>
    </row>
    <row r="3" spans="1:5" ht="15.75">
      <c r="A3" s="2911" t="s">
        <v>2951</v>
      </c>
      <c r="B3" s="2912" t="e">
        <f ca="1">ROUND(B2*10000/E2,0)</f>
        <v>#DIV/0!</v>
      </c>
      <c r="C3" s="2911" t="s">
        <v>2957</v>
      </c>
      <c r="D3" s="2913"/>
      <c r="E3" s="2913"/>
    </row>
    <row r="4" spans="1:5" ht="15.75">
      <c r="A4" s="2914"/>
      <c r="B4" s="2913"/>
      <c r="C4" s="2913"/>
      <c r="D4" s="2913"/>
      <c r="E4" s="2913"/>
    </row>
    <row r="5" spans="1:5" ht="28.5">
      <c r="A5" s="2915" t="s">
        <v>2952</v>
      </c>
      <c r="B5" s="2911" t="s">
        <v>2953</v>
      </c>
      <c r="C5" s="2912"/>
      <c r="D5" s="2913"/>
      <c r="E5" s="2911" t="s">
        <v>2954</v>
      </c>
    </row>
    <row r="6" spans="1:5" ht="15.75">
      <c r="A6" s="2916" t="s">
        <v>2955</v>
      </c>
      <c r="B6" s="2912" t="e">
        <f ca="1">SUMIF(INDIRECT("'"&amp;A6&amp;"'"&amp;"!A:A"),"总价",INDIRECT("'"&amp;A6&amp;"'"&amp;"!B:B"))</f>
        <v>#DIV/0!</v>
      </c>
      <c r="C6" s="2911" t="s">
        <v>2949</v>
      </c>
      <c r="D6" s="2913"/>
      <c r="E6" s="2576">
        <f ca="1">SUMIF(INDIRECT("'"&amp;A6&amp;"'"&amp;"!C:C"),"建筑面积",INDIRECT("'"&amp;A6&amp;"'"&amp;"!D:D"))</f>
        <v>0</v>
      </c>
    </row>
    <row r="7" spans="1:5" ht="15.75">
      <c r="A7" s="2916"/>
      <c r="B7" s="2912" t="e">
        <f ca="1">SUMIF(INDIRECT("'"&amp;A7&amp;"'"&amp;"!A:A"),"总价",INDIRECT("'"&amp;A7&amp;"'"&amp;"!B:B"))</f>
        <v>#REF!</v>
      </c>
      <c r="C7" s="2911" t="s">
        <v>2949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2949</v>
      </c>
      <c r="D8" s="2913"/>
      <c r="E8" s="2576" t="e">
        <f t="shared" ca="1" si="0"/>
        <v>#REF!</v>
      </c>
    </row>
    <row r="9" spans="1:5" ht="15.75">
      <c r="A9" s="2916"/>
      <c r="B9" s="2912" t="e">
        <f t="shared" ca="1" si="1"/>
        <v>#REF!</v>
      </c>
      <c r="C9" s="2911" t="s">
        <v>2949</v>
      </c>
      <c r="D9" s="2913"/>
      <c r="E9" s="2576" t="e">
        <f t="shared" ca="1" si="0"/>
        <v>#REF!</v>
      </c>
    </row>
    <row r="10" spans="1:5" ht="15.75">
      <c r="A10" s="2916"/>
      <c r="B10" s="2912" t="e">
        <f t="shared" ca="1" si="1"/>
        <v>#REF!</v>
      </c>
      <c r="C10" s="2911" t="s">
        <v>2949</v>
      </c>
      <c r="D10" s="2913"/>
      <c r="E10" s="2576" t="e">
        <f t="shared" ca="1" si="0"/>
        <v>#REF!</v>
      </c>
    </row>
    <row r="11" spans="1:5" ht="15.75">
      <c r="A11" s="2916"/>
      <c r="B11" s="2912" t="e">
        <f t="shared" ca="1" si="1"/>
        <v>#REF!</v>
      </c>
      <c r="C11" s="2911" t="s">
        <v>2949</v>
      </c>
      <c r="D11" s="2913"/>
      <c r="E11" s="2576" t="e">
        <f t="shared" ca="1" si="0"/>
        <v>#REF!</v>
      </c>
    </row>
    <row r="12" spans="1:5" ht="15.75">
      <c r="A12" s="2916"/>
      <c r="B12" s="2912" t="e">
        <f t="shared" ca="1" si="1"/>
        <v>#REF!</v>
      </c>
      <c r="C12" s="2911" t="s">
        <v>2949</v>
      </c>
      <c r="D12" s="2913"/>
      <c r="E12" s="2576" t="e">
        <f t="shared" ca="1" si="0"/>
        <v>#REF!</v>
      </c>
    </row>
    <row r="13" spans="1:5" ht="15.75">
      <c r="A13" s="2916"/>
      <c r="B13" s="2912" t="e">
        <f t="shared" ca="1" si="1"/>
        <v>#REF!</v>
      </c>
      <c r="C13" s="2911" t="s">
        <v>2949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3" sqref="F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5" t="s">
        <v>1145</v>
      </c>
      <c r="C1" s="3285"/>
      <c r="D1" s="3285"/>
      <c r="E1" s="3285"/>
      <c r="F1" s="3285"/>
      <c r="G1" s="3281" t="s">
        <v>1146</v>
      </c>
      <c r="H1" s="3281"/>
      <c r="I1" s="3281"/>
      <c r="J1" s="3281"/>
      <c r="K1" s="3281"/>
      <c r="L1" s="3281"/>
      <c r="N1" s="3281" t="s">
        <v>1147</v>
      </c>
      <c r="O1" s="3281"/>
      <c r="P1" s="3281"/>
      <c r="Q1" s="3281"/>
      <c r="R1" s="1448"/>
      <c r="S1" s="3281" t="s">
        <v>1148</v>
      </c>
      <c r="T1" s="3281"/>
      <c r="U1" s="3281"/>
      <c r="V1" s="3281"/>
      <c r="X1" s="3280" t="s">
        <v>1149</v>
      </c>
      <c r="Y1" s="3281"/>
      <c r="Z1" s="3281"/>
      <c r="AA1" s="3281"/>
      <c r="AB1" s="3281"/>
      <c r="AD1" s="3280" t="s">
        <v>1150</v>
      </c>
      <c r="AE1" s="3281"/>
      <c r="AF1" s="3281"/>
      <c r="AG1" s="3281"/>
      <c r="AH1" s="3281"/>
    </row>
    <row r="2" spans="1:34" s="1449" customFormat="1" ht="14.25" thickBot="1">
      <c r="B2" s="1450" t="s">
        <v>1151</v>
      </c>
      <c r="C2" s="1450" t="s">
        <v>1152</v>
      </c>
      <c r="D2" s="1451" t="s">
        <v>1153</v>
      </c>
      <c r="E2" s="1451" t="s">
        <v>1154</v>
      </c>
      <c r="F2" s="1450" t="s">
        <v>1155</v>
      </c>
      <c r="G2" s="1452"/>
      <c r="H2" s="1453"/>
      <c r="I2" s="1450" t="s">
        <v>1151</v>
      </c>
      <c r="J2" s="1451" t="s">
        <v>1380</v>
      </c>
      <c r="K2" s="1451" t="s">
        <v>750</v>
      </c>
      <c r="L2" s="1450" t="s">
        <v>1155</v>
      </c>
      <c r="N2" s="1450" t="s">
        <v>1151</v>
      </c>
      <c r="O2" s="1451" t="s">
        <v>1380</v>
      </c>
      <c r="P2" s="1451" t="s">
        <v>750</v>
      </c>
      <c r="Q2" s="1450" t="s">
        <v>1155</v>
      </c>
      <c r="R2" s="1454"/>
      <c r="S2" s="1450" t="s">
        <v>1151</v>
      </c>
      <c r="T2" s="1451" t="s">
        <v>1380</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2930" customFormat="1" ht="14.25">
      <c r="A3" s="2939" t="s">
        <v>2991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2990</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1">
        <v>1</v>
      </c>
      <c r="I5" s="2925">
        <v>0</v>
      </c>
      <c r="J5" s="2925">
        <v>0</v>
      </c>
      <c r="K5" s="2925">
        <v>0</v>
      </c>
      <c r="L5" s="2925">
        <v>0</v>
      </c>
      <c r="N5" s="1469">
        <f t="shared" ref="N5:N10" si="7">I5/100</f>
        <v>0</v>
      </c>
      <c r="O5" s="1469">
        <f t="shared" ref="O5" si="8">J5/100</f>
        <v>0</v>
      </c>
      <c r="P5" s="1469">
        <f t="shared" ref="P5" si="9">K5/100</f>
        <v>0</v>
      </c>
      <c r="Q5" s="1469">
        <f t="shared" ref="Q5" si="10">L5/100</f>
        <v>0</v>
      </c>
      <c r="R5" s="1733"/>
      <c r="S5" s="1734"/>
      <c r="T5" s="1733"/>
      <c r="U5" s="1733"/>
      <c r="V5" s="1733"/>
      <c r="W5" s="2929" t="s">
        <v>2992</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2987</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2988</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3" t="s">
        <v>1381</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5"/>
      <c r="AD8" s="1790">
        <f>ROUND(AVERAGE(I8:I$21)/100,4)</f>
        <v>2.46E-2</v>
      </c>
      <c r="AE8" s="1790">
        <f>ROUND(AVERAGE(J8:J$21)/100,4)</f>
        <v>1.6E-2</v>
      </c>
      <c r="AF8" s="1790">
        <f t="shared" si="1"/>
        <v>1.6E-2</v>
      </c>
      <c r="AG8" s="1790">
        <f>ROUND(AVERAGE(K8:K$21)/100,4)</f>
        <v>2.75E-2</v>
      </c>
      <c r="AH8" s="1790">
        <f>ROUND(AVERAGE(L8:L$21)/100,4)</f>
        <v>1.37E-2</v>
      </c>
    </row>
    <row r="9" spans="1:34" s="1468" customFormat="1" ht="13.5" thickBot="1">
      <c r="A9" s="1463" t="s">
        <v>1156</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3" t="s">
        <v>153</v>
      </c>
      <c r="B10" s="1471">
        <v>392</v>
      </c>
      <c r="C10" s="1471">
        <v>302</v>
      </c>
      <c r="D10" s="1471">
        <f>C10</f>
        <v>302</v>
      </c>
      <c r="E10" s="1471">
        <v>553</v>
      </c>
      <c r="F10" s="1472">
        <v>266</v>
      </c>
      <c r="G10" s="3286">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152</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83"/>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142</v>
      </c>
      <c r="B12" s="1479">
        <f t="shared" si="34"/>
        <v>360.06949782209392</v>
      </c>
      <c r="C12" s="1479">
        <f t="shared" si="34"/>
        <v>289.84672674747821</v>
      </c>
      <c r="D12" s="1479">
        <f t="shared" si="35"/>
        <v>289.84672674747821</v>
      </c>
      <c r="E12" s="1479">
        <f t="shared" si="36"/>
        <v>501.06543001181495</v>
      </c>
      <c r="F12" s="1479">
        <f t="shared" si="36"/>
        <v>256.82882500744967</v>
      </c>
      <c r="G12" s="3283"/>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151</v>
      </c>
      <c r="B13" s="1479">
        <f t="shared" si="34"/>
        <v>346.720748986128</v>
      </c>
      <c r="C13" s="1479">
        <f t="shared" si="34"/>
        <v>284.30282172386285</v>
      </c>
      <c r="D13" s="1479">
        <f t="shared" si="35"/>
        <v>284.30282172386285</v>
      </c>
      <c r="E13" s="1479">
        <f t="shared" si="36"/>
        <v>479.58023546306947</v>
      </c>
      <c r="F13" s="1479">
        <f t="shared" si="36"/>
        <v>253.25788877571213</v>
      </c>
      <c r="G13" s="3284"/>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150</v>
      </c>
      <c r="B14" s="1471">
        <v>333</v>
      </c>
      <c r="C14" s="1471">
        <v>277</v>
      </c>
      <c r="D14" s="1471">
        <f t="shared" si="35"/>
        <v>277</v>
      </c>
      <c r="E14" s="1471">
        <v>459</v>
      </c>
      <c r="F14" s="1472">
        <v>249</v>
      </c>
      <c r="G14" s="3282">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149</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83"/>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148</v>
      </c>
      <c r="B16" s="1479">
        <f t="shared" si="38"/>
        <v>322.34053690220776</v>
      </c>
      <c r="C16" s="1479">
        <f t="shared" si="38"/>
        <v>271.46160770422546</v>
      </c>
      <c r="D16" s="1479">
        <f t="shared" si="35"/>
        <v>271.46160770422546</v>
      </c>
      <c r="E16" s="1479">
        <f t="shared" si="39"/>
        <v>442.69434542172456</v>
      </c>
      <c r="F16" s="1479">
        <f t="shared" si="39"/>
        <v>241.34030753190925</v>
      </c>
      <c r="G16" s="3283"/>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147</v>
      </c>
      <c r="B17" s="1479">
        <f t="shared" si="38"/>
        <v>319.87748030386797</v>
      </c>
      <c r="C17" s="1479">
        <f t="shared" si="38"/>
        <v>269.60135833173649</v>
      </c>
      <c r="D17" s="1479">
        <f t="shared" si="35"/>
        <v>269.60135833173649</v>
      </c>
      <c r="E17" s="1479">
        <f t="shared" si="39"/>
        <v>439.18089823583784</v>
      </c>
      <c r="F17" s="1479">
        <f t="shared" si="39"/>
        <v>239.23503918706311</v>
      </c>
      <c r="G17" s="3284"/>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146</v>
      </c>
      <c r="B18" s="1492">
        <v>318</v>
      </c>
      <c r="C18" s="1492">
        <v>268</v>
      </c>
      <c r="D18" s="1492">
        <f t="shared" si="35"/>
        <v>268</v>
      </c>
      <c r="E18" s="1492">
        <v>437</v>
      </c>
      <c r="F18" s="1493">
        <v>237</v>
      </c>
      <c r="G18" s="3282">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145</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83"/>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144</v>
      </c>
      <c r="B20" s="1479">
        <f t="shared" si="40"/>
        <v>314.72141172386546</v>
      </c>
      <c r="C20" s="1479">
        <f t="shared" si="40"/>
        <v>263.03901319069001</v>
      </c>
      <c r="D20" s="1479">
        <f t="shared" si="35"/>
        <v>263.03901319069001</v>
      </c>
      <c r="E20" s="1479">
        <f t="shared" si="41"/>
        <v>433.65745506782821</v>
      </c>
      <c r="F20" s="1479">
        <f t="shared" si="41"/>
        <v>233.23005080045735</v>
      </c>
      <c r="G20" s="3283"/>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143</v>
      </c>
      <c r="B21" s="1497">
        <f t="shared" si="40"/>
        <v>307.34512863658733</v>
      </c>
      <c r="C21" s="1497">
        <f t="shared" si="40"/>
        <v>257.80556031626975</v>
      </c>
      <c r="D21" s="1497">
        <f t="shared" si="35"/>
        <v>257.80556031626975</v>
      </c>
      <c r="E21" s="1497">
        <f t="shared" si="41"/>
        <v>422.70928459677179</v>
      </c>
      <c r="F21" s="1497">
        <f t="shared" si="41"/>
        <v>229.73803270336617</v>
      </c>
      <c r="G21" s="3284"/>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1157</v>
      </c>
      <c r="X21" s="1507">
        <v>1</v>
      </c>
      <c r="Y21" s="1507">
        <v>1</v>
      </c>
      <c r="Z21" s="1507">
        <v>1</v>
      </c>
      <c r="AA21" s="1507">
        <v>1</v>
      </c>
      <c r="AB21" s="1507">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3" t="s">
        <v>1158</v>
      </c>
      <c r="B22" s="1471">
        <v>299</v>
      </c>
      <c r="C22" s="1471">
        <v>252</v>
      </c>
      <c r="D22" s="1471">
        <f t="shared" si="35"/>
        <v>252</v>
      </c>
      <c r="E22" s="1471">
        <v>409</v>
      </c>
      <c r="F22" s="1472">
        <v>227</v>
      </c>
      <c r="G22" s="3287">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1159</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8"/>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1160</v>
      </c>
      <c r="B24" s="1479">
        <f t="shared" si="44"/>
        <v>288.2649053828776</v>
      </c>
      <c r="C24" s="1479">
        <f t="shared" si="44"/>
        <v>243.64564425013293</v>
      </c>
      <c r="D24" s="1479">
        <f t="shared" si="35"/>
        <v>243.64564425013293</v>
      </c>
      <c r="E24" s="1479">
        <f t="shared" si="45"/>
        <v>393.31080825986544</v>
      </c>
      <c r="F24" s="1479">
        <f t="shared" si="45"/>
        <v>223.07903790551154</v>
      </c>
      <c r="G24" s="3288"/>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1161</v>
      </c>
      <c r="B25" s="1479">
        <f t="shared" si="44"/>
        <v>282.50186729015837</v>
      </c>
      <c r="C25" s="1479">
        <f t="shared" si="44"/>
        <v>238.09796174155468</v>
      </c>
      <c r="D25" s="1479">
        <f t="shared" si="35"/>
        <v>238.09796174155468</v>
      </c>
      <c r="E25" s="1479">
        <f t="shared" si="45"/>
        <v>385.33438646014054</v>
      </c>
      <c r="F25" s="1479">
        <f t="shared" si="45"/>
        <v>221.55034055567739</v>
      </c>
      <c r="G25" s="3289"/>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1162</v>
      </c>
      <c r="B26" s="1513">
        <v>278</v>
      </c>
      <c r="C26" s="1513">
        <v>234</v>
      </c>
      <c r="D26" s="1513">
        <f t="shared" si="35"/>
        <v>234</v>
      </c>
      <c r="E26" s="1513">
        <v>379</v>
      </c>
      <c r="F26" s="1514">
        <v>220</v>
      </c>
      <c r="G26" s="3282">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1163</v>
      </c>
      <c r="B27" s="1479">
        <f>B26/(1+N26)</f>
        <v>275.49301357645425</v>
      </c>
      <c r="C27" s="1479">
        <f>C26/(1+O26)</f>
        <v>232.41954707985698</v>
      </c>
      <c r="D27" s="1479">
        <f t="shared" si="35"/>
        <v>232.41954707985698</v>
      </c>
      <c r="E27" s="1479">
        <f t="shared" ref="E27:F29" si="46">E26/(1+P26)</f>
        <v>375.32184591008121</v>
      </c>
      <c r="F27" s="1479">
        <f t="shared" si="46"/>
        <v>218.03766105054513</v>
      </c>
      <c r="G27" s="3283"/>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1164</v>
      </c>
      <c r="B28" s="1479">
        <f>B27/(1+N27)</f>
        <v>275.24529281292263</v>
      </c>
      <c r="C28" s="1479">
        <f>C27/(1+O27)</f>
        <v>231.74747938962707</v>
      </c>
      <c r="D28" s="1479">
        <f t="shared" si="35"/>
        <v>231.74747938962707</v>
      </c>
      <c r="E28" s="1479">
        <f t="shared" si="46"/>
        <v>375.35938184826603</v>
      </c>
      <c r="F28" s="1479">
        <f t="shared" si="46"/>
        <v>216.78033510692495</v>
      </c>
      <c r="G28" s="3283"/>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1165</v>
      </c>
      <c r="B29" s="1479">
        <f>B28/(1+N28)</f>
        <v>275.19025476197027</v>
      </c>
      <c r="C29" s="1515">
        <v>232</v>
      </c>
      <c r="D29" s="1515">
        <f t="shared" si="35"/>
        <v>232</v>
      </c>
      <c r="E29" s="1479">
        <f t="shared" si="46"/>
        <v>375.65990977608692</v>
      </c>
      <c r="F29" s="1479">
        <f t="shared" si="46"/>
        <v>214.12518283971252</v>
      </c>
      <c r="G29" s="3284"/>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1166</v>
      </c>
      <c r="B30" s="1471">
        <v>275</v>
      </c>
      <c r="C30" s="1471">
        <v>232</v>
      </c>
      <c r="D30" s="1471">
        <f t="shared" si="35"/>
        <v>232</v>
      </c>
      <c r="E30" s="1471">
        <v>376</v>
      </c>
      <c r="F30" s="1472">
        <v>213</v>
      </c>
      <c r="G30" s="3282">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1167</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83">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1168</v>
      </c>
      <c r="B32" s="1479">
        <f t="shared" si="47"/>
        <v>275.19335084830601</v>
      </c>
      <c r="C32" s="1479">
        <f t="shared" si="47"/>
        <v>230.18088050139744</v>
      </c>
      <c r="D32" s="1479">
        <f t="shared" si="35"/>
        <v>230.18088050139744</v>
      </c>
      <c r="E32" s="1479">
        <f t="shared" si="48"/>
        <v>377.58482925212331</v>
      </c>
      <c r="F32" s="1479">
        <f t="shared" si="48"/>
        <v>210.90687997847917</v>
      </c>
      <c r="G32" s="3283">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1169</v>
      </c>
      <c r="B33" s="1479">
        <f t="shared" si="47"/>
        <v>276.29854502841971</v>
      </c>
      <c r="C33" s="1479">
        <f t="shared" si="47"/>
        <v>229.79023709833027</v>
      </c>
      <c r="D33" s="1479">
        <f t="shared" si="35"/>
        <v>229.79023709833027</v>
      </c>
      <c r="E33" s="1479">
        <f t="shared" si="48"/>
        <v>379.78759731655936</v>
      </c>
      <c r="F33" s="1479">
        <f t="shared" si="48"/>
        <v>211.32953905659235</v>
      </c>
      <c r="G33" s="3284">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1170</v>
      </c>
      <c r="B34" s="1471">
        <v>269</v>
      </c>
      <c r="C34" s="1471">
        <v>221</v>
      </c>
      <c r="D34" s="1471">
        <f t="shared" si="35"/>
        <v>221</v>
      </c>
      <c r="E34" s="1471">
        <v>373</v>
      </c>
      <c r="F34" s="1472">
        <v>196</v>
      </c>
      <c r="G34" s="3282">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1171</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83">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1172</v>
      </c>
      <c r="B36" s="1479">
        <f t="shared" si="49"/>
        <v>242.95398227588385</v>
      </c>
      <c r="C36" s="1479">
        <f t="shared" si="49"/>
        <v>199.59137053614126</v>
      </c>
      <c r="D36" s="1479">
        <f t="shared" si="35"/>
        <v>199.59137053614126</v>
      </c>
      <c r="E36" s="1479">
        <f t="shared" si="50"/>
        <v>335.92189522342125</v>
      </c>
      <c r="F36" s="1479">
        <f t="shared" si="50"/>
        <v>183.10139991109489</v>
      </c>
      <c r="G36" s="3283">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1173</v>
      </c>
      <c r="B37" s="1479">
        <f t="shared" si="49"/>
        <v>232.06990378821649</v>
      </c>
      <c r="C37" s="1479">
        <f t="shared" si="49"/>
        <v>192.74878854286936</v>
      </c>
      <c r="D37" s="1479">
        <f t="shared" si="35"/>
        <v>192.74878854286936</v>
      </c>
      <c r="E37" s="1479">
        <f t="shared" si="50"/>
        <v>319.71247284992984</v>
      </c>
      <c r="F37" s="1479">
        <f t="shared" si="50"/>
        <v>175.67053622862409</v>
      </c>
      <c r="G37" s="3284">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1174</v>
      </c>
      <c r="B38" s="1471">
        <v>220</v>
      </c>
      <c r="C38" s="1471">
        <v>187</v>
      </c>
      <c r="D38" s="1471">
        <f t="shared" si="35"/>
        <v>187</v>
      </c>
      <c r="E38" s="1471">
        <v>301</v>
      </c>
      <c r="F38" s="1472">
        <v>168</v>
      </c>
      <c r="G38" s="3282">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1175</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83">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1176</v>
      </c>
      <c r="B40" s="1479">
        <f t="shared" si="51"/>
        <v>210.630522469011</v>
      </c>
      <c r="C40" s="1479">
        <f t="shared" si="51"/>
        <v>181.69567812247232</v>
      </c>
      <c r="D40" s="1479">
        <f t="shared" si="35"/>
        <v>181.69567812247232</v>
      </c>
      <c r="E40" s="1479">
        <f t="shared" si="52"/>
        <v>286.13517466736738</v>
      </c>
      <c r="F40" s="1479">
        <f t="shared" si="52"/>
        <v>165.47535084591149</v>
      </c>
      <c r="G40" s="3283">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1177</v>
      </c>
      <c r="B41" s="1479">
        <f t="shared" si="51"/>
        <v>208.83454537875372</v>
      </c>
      <c r="C41" s="1479">
        <f t="shared" si="51"/>
        <v>183.77230517090351</v>
      </c>
      <c r="D41" s="1479">
        <f t="shared" si="35"/>
        <v>183.77230517090351</v>
      </c>
      <c r="E41" s="1479">
        <f t="shared" si="52"/>
        <v>281.10342338870947</v>
      </c>
      <c r="F41" s="1479">
        <f t="shared" si="52"/>
        <v>168.97309388942256</v>
      </c>
      <c r="G41" s="3284">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1178</v>
      </c>
      <c r="B42" s="1513">
        <v>214</v>
      </c>
      <c r="C42" s="1513">
        <v>188</v>
      </c>
      <c r="D42" s="1513">
        <f t="shared" si="35"/>
        <v>188</v>
      </c>
      <c r="E42" s="1513">
        <v>289</v>
      </c>
      <c r="F42" s="1514">
        <v>166</v>
      </c>
      <c r="G42" s="3282">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1179</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83">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1180</v>
      </c>
      <c r="B44" s="1479">
        <f t="shared" si="53"/>
        <v>206.31694671589116</v>
      </c>
      <c r="C44" s="1479">
        <f t="shared" si="53"/>
        <v>183.61041121036101</v>
      </c>
      <c r="D44" s="1479">
        <f t="shared" si="35"/>
        <v>183.61041121036101</v>
      </c>
      <c r="E44" s="1479">
        <f t="shared" si="54"/>
        <v>276.66850301795557</v>
      </c>
      <c r="F44" s="1479">
        <f t="shared" si="54"/>
        <v>165.1360938278614</v>
      </c>
      <c r="G44" s="3283">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1181</v>
      </c>
      <c r="B45" s="1516">
        <f t="shared" si="53"/>
        <v>196.62341248059772</v>
      </c>
      <c r="C45" s="1516">
        <f t="shared" si="53"/>
        <v>170.99125648199012</v>
      </c>
      <c r="D45" s="1516">
        <f t="shared" si="35"/>
        <v>170.99125648199012</v>
      </c>
      <c r="E45" s="1516">
        <f t="shared" si="54"/>
        <v>266.07857570490052</v>
      </c>
      <c r="F45" s="1516">
        <f t="shared" si="54"/>
        <v>154.53499328828505</v>
      </c>
      <c r="G45" s="3284">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1182</v>
      </c>
      <c r="B46" s="1471">
        <v>188</v>
      </c>
      <c r="C46" s="1471">
        <v>165</v>
      </c>
      <c r="D46" s="1471">
        <f t="shared" si="35"/>
        <v>165</v>
      </c>
      <c r="E46" s="1471">
        <v>254</v>
      </c>
      <c r="F46" s="1472">
        <v>148</v>
      </c>
      <c r="G46" s="3282">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1183</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83">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1184</v>
      </c>
      <c r="B48" s="1479">
        <f t="shared" si="57"/>
        <v>168.82017748715555</v>
      </c>
      <c r="C48" s="1479">
        <f t="shared" si="57"/>
        <v>148.06267029972753</v>
      </c>
      <c r="D48" s="1479">
        <f t="shared" si="35"/>
        <v>148.06267029972753</v>
      </c>
      <c r="E48" s="1479">
        <f t="shared" si="58"/>
        <v>216.46288379323747</v>
      </c>
      <c r="F48" s="1479">
        <f t="shared" si="58"/>
        <v>134.23529411764704</v>
      </c>
      <c r="G48" s="3283">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1185</v>
      </c>
      <c r="B49" s="1479">
        <f t="shared" si="57"/>
        <v>163.84913591779542</v>
      </c>
      <c r="C49" s="1479">
        <f t="shared" si="57"/>
        <v>145.0283378746594</v>
      </c>
      <c r="D49" s="1479">
        <f t="shared" si="35"/>
        <v>145.0283378746594</v>
      </c>
      <c r="E49" s="1479">
        <f t="shared" si="58"/>
        <v>204.95180722891567</v>
      </c>
      <c r="F49" s="1479">
        <f t="shared" si="58"/>
        <v>125.95920303605313</v>
      </c>
      <c r="G49" s="3284">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1186</v>
      </c>
      <c r="B50" s="1492">
        <v>159</v>
      </c>
      <c r="C50" s="1492">
        <v>141</v>
      </c>
      <c r="D50" s="1492">
        <f t="shared" si="35"/>
        <v>141</v>
      </c>
      <c r="E50" s="1492">
        <v>195</v>
      </c>
      <c r="F50" s="1493">
        <v>122</v>
      </c>
      <c r="G50" s="3282">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1187</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83">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1188</v>
      </c>
      <c r="B52" s="1479">
        <f t="shared" si="61"/>
        <v>146.57412060301507</v>
      </c>
      <c r="C52" s="1479">
        <f t="shared" si="61"/>
        <v>136.46831955922866</v>
      </c>
      <c r="D52" s="1479">
        <f t="shared" si="35"/>
        <v>136.46831955922866</v>
      </c>
      <c r="E52" s="1479">
        <f t="shared" si="62"/>
        <v>166.73864894795128</v>
      </c>
      <c r="F52" s="1479">
        <f t="shared" si="62"/>
        <v>115.05882352941177</v>
      </c>
      <c r="G52" s="3283">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1189</v>
      </c>
      <c r="B53" s="1479">
        <f t="shared" si="61"/>
        <v>144.04145728643215</v>
      </c>
      <c r="C53" s="1479">
        <f t="shared" si="61"/>
        <v>136.12396694214877</v>
      </c>
      <c r="D53" s="1479">
        <f t="shared" si="35"/>
        <v>136.12396694214877</v>
      </c>
      <c r="E53" s="1479">
        <f t="shared" si="62"/>
        <v>158.32225913621264</v>
      </c>
      <c r="F53" s="1479">
        <f t="shared" si="62"/>
        <v>114.04278074866311</v>
      </c>
      <c r="G53" s="3284">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1190</v>
      </c>
      <c r="B54" s="1492">
        <v>138</v>
      </c>
      <c r="C54" s="1492">
        <v>131</v>
      </c>
      <c r="D54" s="1492">
        <f t="shared" si="35"/>
        <v>131</v>
      </c>
      <c r="E54" s="1492">
        <v>155</v>
      </c>
      <c r="F54" s="1493">
        <v>114</v>
      </c>
      <c r="G54" s="3282">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1191</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83">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1192</v>
      </c>
      <c r="B56" s="1479">
        <f t="shared" si="65"/>
        <v>124.29032258064517</v>
      </c>
      <c r="C56" s="1479">
        <f t="shared" si="65"/>
        <v>123.8968609865471</v>
      </c>
      <c r="D56" s="1479">
        <f t="shared" si="35"/>
        <v>123.8968609865471</v>
      </c>
      <c r="E56" s="1479">
        <f t="shared" si="66"/>
        <v>138.00507614213197</v>
      </c>
      <c r="F56" s="1479">
        <f t="shared" si="66"/>
        <v>107.96106557377048</v>
      </c>
      <c r="G56" s="3283">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1193</v>
      </c>
      <c r="B57" s="1479">
        <f t="shared" si="65"/>
        <v>122.57204301075269</v>
      </c>
      <c r="C57" s="1479">
        <f t="shared" si="65"/>
        <v>123.4932735426009</v>
      </c>
      <c r="D57" s="1479">
        <f t="shared" si="35"/>
        <v>123.4932735426009</v>
      </c>
      <c r="E57" s="1479">
        <f t="shared" si="66"/>
        <v>129.82233502538071</v>
      </c>
      <c r="F57" s="1479">
        <f t="shared" si="66"/>
        <v>107.39446721311475</v>
      </c>
      <c r="G57" s="3284">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1194</v>
      </c>
      <c r="B58" s="1513">
        <v>121</v>
      </c>
      <c r="C58" s="1513">
        <v>122</v>
      </c>
      <c r="D58" s="1513">
        <f t="shared" si="35"/>
        <v>122</v>
      </c>
      <c r="E58" s="1513">
        <v>124</v>
      </c>
      <c r="F58" s="1514">
        <v>107</v>
      </c>
      <c r="G58" s="3282">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1195</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83">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1196</v>
      </c>
      <c r="B60" s="1479">
        <f t="shared" si="69"/>
        <v>116.99099099099099</v>
      </c>
      <c r="C60" s="1479">
        <f t="shared" si="69"/>
        <v>118.84848484848486</v>
      </c>
      <c r="D60" s="1479">
        <f t="shared" si="35"/>
        <v>118.84848484848486</v>
      </c>
      <c r="E60" s="1479">
        <f t="shared" si="70"/>
        <v>117.60960960960961</v>
      </c>
      <c r="F60" s="1479">
        <f t="shared" si="70"/>
        <v>104</v>
      </c>
      <c r="G60" s="3283">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1197</v>
      </c>
      <c r="B61" s="1516">
        <f t="shared" si="69"/>
        <v>112.48648648648648</v>
      </c>
      <c r="C61" s="1516">
        <f t="shared" si="69"/>
        <v>115.21212121212122</v>
      </c>
      <c r="D61" s="1516">
        <f t="shared" si="35"/>
        <v>115.21212121212122</v>
      </c>
      <c r="E61" s="1516">
        <f t="shared" si="70"/>
        <v>110.4024024024024</v>
      </c>
      <c r="F61" s="1516">
        <f t="shared" si="70"/>
        <v>104</v>
      </c>
      <c r="G61" s="3284">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1198</v>
      </c>
      <c r="B62" s="1534">
        <v>111</v>
      </c>
      <c r="C62" s="1534">
        <v>114</v>
      </c>
      <c r="D62" s="1534">
        <f t="shared" si="35"/>
        <v>114</v>
      </c>
      <c r="E62" s="1534">
        <v>108</v>
      </c>
      <c r="F62" s="1535">
        <v>104</v>
      </c>
      <c r="G62" s="3282">
        <v>2003</v>
      </c>
      <c r="H62" s="1524">
        <v>4</v>
      </c>
      <c r="I62" s="1536"/>
      <c r="J62" s="1536"/>
      <c r="K62" s="1536"/>
      <c r="L62" s="1536"/>
      <c r="N62" s="1537"/>
      <c r="O62" s="1536"/>
      <c r="P62" s="1536"/>
      <c r="Q62" s="1536"/>
      <c r="S62" s="1537"/>
      <c r="T62" s="1536"/>
      <c r="U62" s="1536"/>
      <c r="V62" s="1536"/>
      <c r="X62" s="1528"/>
      <c r="Y62" s="1528"/>
      <c r="Z62" s="1528"/>
    </row>
    <row r="63" spans="1:26">
      <c r="A63" s="1463" t="s">
        <v>1199</v>
      </c>
      <c r="B63" s="1538">
        <f t="shared" ref="B63:C65" si="71">B64+(B$62-B$66)/4</f>
        <v>109.75</v>
      </c>
      <c r="C63" s="1538">
        <f t="shared" si="71"/>
        <v>112.25</v>
      </c>
      <c r="D63" s="1538">
        <f t="shared" si="35"/>
        <v>112.25</v>
      </c>
      <c r="E63" s="1538">
        <f t="shared" ref="E63:F65" si="72">E64+(E$62-E$66)/4</f>
        <v>107.25</v>
      </c>
      <c r="F63" s="1538">
        <f t="shared" si="72"/>
        <v>103.5</v>
      </c>
      <c r="G63" s="3283">
        <v>2003</v>
      </c>
      <c r="H63" s="1489">
        <v>3</v>
      </c>
      <c r="I63" s="1536"/>
      <c r="J63" s="1536"/>
      <c r="K63" s="1536"/>
      <c r="L63" s="1536"/>
      <c r="X63" s="1528"/>
      <c r="Y63" s="1528"/>
      <c r="Z63" s="1528"/>
    </row>
    <row r="64" spans="1:26">
      <c r="A64" s="1463" t="s">
        <v>1200</v>
      </c>
      <c r="B64" s="1538">
        <f t="shared" si="71"/>
        <v>108.5</v>
      </c>
      <c r="C64" s="1538">
        <f t="shared" si="71"/>
        <v>110.5</v>
      </c>
      <c r="D64" s="1538">
        <f t="shared" si="35"/>
        <v>110.5</v>
      </c>
      <c r="E64" s="1538">
        <f t="shared" si="72"/>
        <v>106.5</v>
      </c>
      <c r="F64" s="1538">
        <f t="shared" si="72"/>
        <v>103</v>
      </c>
      <c r="G64" s="3283">
        <v>2003</v>
      </c>
      <c r="H64" s="1467">
        <v>2</v>
      </c>
      <c r="I64" s="1536"/>
      <c r="J64" s="1536"/>
      <c r="K64" s="1536"/>
      <c r="L64" s="1536"/>
      <c r="X64" s="1528"/>
      <c r="Y64" s="1528"/>
      <c r="Z64" s="1528"/>
    </row>
    <row r="65" spans="1:26" ht="13.5" thickBot="1">
      <c r="A65" s="1463" t="s">
        <v>1201</v>
      </c>
      <c r="B65" s="1538">
        <f t="shared" si="71"/>
        <v>107.25</v>
      </c>
      <c r="C65" s="1538">
        <f t="shared" si="71"/>
        <v>108.75</v>
      </c>
      <c r="D65" s="1538">
        <f t="shared" si="35"/>
        <v>108.75</v>
      </c>
      <c r="E65" s="1538">
        <f t="shared" si="72"/>
        <v>105.75</v>
      </c>
      <c r="F65" s="1538">
        <f t="shared" si="72"/>
        <v>102.5</v>
      </c>
      <c r="G65" s="3284">
        <v>2003</v>
      </c>
      <c r="H65" s="1539">
        <v>1</v>
      </c>
      <c r="I65" s="1536"/>
      <c r="J65" s="1536"/>
      <c r="K65" s="1536"/>
      <c r="L65" s="1536"/>
      <c r="S65" s="1474"/>
      <c r="T65" s="1475"/>
      <c r="U65" s="1475"/>
      <c r="X65" s="1528"/>
      <c r="Y65" s="1528"/>
      <c r="Z65" s="1528"/>
    </row>
    <row r="66" spans="1:26" ht="13.5" thickBot="1">
      <c r="A66" s="1463" t="s">
        <v>1202</v>
      </c>
      <c r="B66" s="1540">
        <v>106</v>
      </c>
      <c r="C66" s="1540">
        <v>107</v>
      </c>
      <c r="D66" s="1540">
        <f t="shared" si="35"/>
        <v>107</v>
      </c>
      <c r="E66" s="1540">
        <v>105</v>
      </c>
      <c r="F66" s="1541">
        <v>102</v>
      </c>
      <c r="G66" s="3282">
        <v>2002</v>
      </c>
      <c r="H66" s="1484">
        <v>4</v>
      </c>
      <c r="I66" s="1536"/>
      <c r="J66" s="1536"/>
      <c r="K66" s="1536"/>
      <c r="L66" s="1536"/>
      <c r="N66" s="1537"/>
      <c r="O66" s="1536"/>
      <c r="P66" s="1536"/>
      <c r="Q66" s="1536"/>
      <c r="S66" s="1537"/>
      <c r="T66" s="1536"/>
      <c r="U66" s="1536"/>
      <c r="V66" s="1536"/>
      <c r="X66" s="1528"/>
      <c r="Y66" s="1528"/>
      <c r="Z66" s="1528"/>
    </row>
    <row r="67" spans="1:26">
      <c r="A67" s="1463" t="s">
        <v>1203</v>
      </c>
      <c r="B67" s="1538">
        <f t="shared" ref="B67:C69" si="73">B68+(B$66-B$70)/4</f>
        <v>105</v>
      </c>
      <c r="C67" s="1538">
        <f t="shared" si="73"/>
        <v>106</v>
      </c>
      <c r="D67" s="1538">
        <f t="shared" si="35"/>
        <v>106</v>
      </c>
      <c r="E67" s="1538">
        <f t="shared" ref="E67:F69" si="74">E68+(E$66-E$70)/4</f>
        <v>104.5</v>
      </c>
      <c r="F67" s="1538">
        <f t="shared" si="74"/>
        <v>101.5</v>
      </c>
      <c r="G67" s="3283">
        <v>2002</v>
      </c>
      <c r="H67" s="1489">
        <v>3</v>
      </c>
      <c r="I67" s="1536"/>
      <c r="J67" s="1536"/>
      <c r="K67" s="1536"/>
      <c r="L67" s="1536"/>
      <c r="X67" s="1528"/>
      <c r="Y67" s="1528"/>
      <c r="Z67" s="1528"/>
    </row>
    <row r="68" spans="1:26">
      <c r="A68" s="1463" t="s">
        <v>1204</v>
      </c>
      <c r="B68" s="1538">
        <f t="shared" si="73"/>
        <v>104</v>
      </c>
      <c r="C68" s="1538">
        <f t="shared" si="73"/>
        <v>105</v>
      </c>
      <c r="D68" s="1538">
        <f t="shared" si="35"/>
        <v>105</v>
      </c>
      <c r="E68" s="1538">
        <f t="shared" si="74"/>
        <v>104</v>
      </c>
      <c r="F68" s="1538">
        <f t="shared" si="74"/>
        <v>101</v>
      </c>
      <c r="G68" s="3283">
        <v>2002</v>
      </c>
      <c r="H68" s="1467">
        <v>2</v>
      </c>
      <c r="I68" s="1536"/>
      <c r="J68" s="1536"/>
      <c r="K68" s="1536"/>
      <c r="L68" s="1536"/>
      <c r="X68" s="1528"/>
      <c r="Y68" s="1528"/>
      <c r="Z68" s="1528"/>
    </row>
    <row r="69" spans="1:26" s="1500" customFormat="1" ht="13.5" thickBot="1">
      <c r="A69" s="1496" t="s">
        <v>1205</v>
      </c>
      <c r="B69" s="1542">
        <f t="shared" si="73"/>
        <v>103</v>
      </c>
      <c r="C69" s="1542">
        <f t="shared" si="73"/>
        <v>104</v>
      </c>
      <c r="D69" s="1542">
        <f t="shared" si="35"/>
        <v>104</v>
      </c>
      <c r="E69" s="1542">
        <f t="shared" si="74"/>
        <v>103.5</v>
      </c>
      <c r="F69" s="1542">
        <f t="shared" si="74"/>
        <v>100.5</v>
      </c>
      <c r="G69" s="3284">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1206</v>
      </c>
      <c r="G72" s="1552"/>
      <c r="N72" s="1552"/>
      <c r="S72" s="1552"/>
    </row>
    <row r="73" spans="1:26" s="1551" customFormat="1">
      <c r="A73" s="1551" t="s">
        <v>1207</v>
      </c>
      <c r="G73" s="1552"/>
      <c r="N73" s="1552"/>
      <c r="S73" s="1552"/>
    </row>
    <row r="74" spans="1:26" s="1551" customFormat="1">
      <c r="A74" s="1551" t="s">
        <v>1208</v>
      </c>
      <c r="G74" s="1552"/>
      <c r="I74" s="1553"/>
      <c r="J74" s="1553"/>
      <c r="K74" s="1553"/>
      <c r="L74" s="1553"/>
      <c r="N74" s="1554"/>
      <c r="O74" s="1553"/>
      <c r="P74" s="1553"/>
      <c r="Q74" s="1553"/>
      <c r="S74" s="1554"/>
      <c r="T74" s="1553"/>
      <c r="U74" s="1553"/>
      <c r="V74" s="1553"/>
    </row>
    <row r="75" spans="1:26" s="1551" customFormat="1">
      <c r="A75" s="1551" t="s">
        <v>1209</v>
      </c>
      <c r="G75" s="1552"/>
      <c r="N75" s="1552"/>
      <c r="S75" s="1552"/>
    </row>
    <row r="82" spans="7:22" ht="13.5" thickBot="1"/>
    <row r="83" spans="7:22">
      <c r="G83" s="1473"/>
      <c r="S83" s="1555" t="s">
        <v>1210</v>
      </c>
      <c r="T83" s="1556" t="s">
        <v>1211</v>
      </c>
      <c r="U83" s="1556" t="s">
        <v>1212</v>
      </c>
      <c r="V83" s="1556" t="s">
        <v>1213</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2"/>
      <c r="B4" s="2977" t="s">
        <v>1624</v>
      </c>
      <c r="C4" s="2977"/>
      <c r="D4" s="2977"/>
      <c r="E4" s="1962"/>
    </row>
    <row r="5" spans="1:5" ht="16.5" thickTop="1">
      <c r="A5" s="1960"/>
      <c r="B5" s="2975" t="s">
        <v>1616</v>
      </c>
      <c r="C5" s="1963" t="s">
        <v>1617</v>
      </c>
      <c r="D5" s="1042">
        <f ca="1">结果表!H101</f>
        <v>17069</v>
      </c>
      <c r="E5" s="1960"/>
    </row>
    <row r="6" spans="1:5" ht="15.75">
      <c r="A6" s="1960"/>
      <c r="B6" s="2975"/>
      <c r="C6" s="1963" t="s">
        <v>1618</v>
      </c>
      <c r="D6" s="1042" t="str">
        <f ca="1">NUMBERSTRING(INT(D5*10000),2)&amp;"元整"</f>
        <v>壹亿柒仟零陆拾玖万元整</v>
      </c>
      <c r="E6" s="1960"/>
    </row>
    <row r="7" spans="1:5" ht="15.75">
      <c r="A7" s="1960"/>
      <c r="B7" s="2980"/>
      <c r="C7" s="1964" t="s">
        <v>1619</v>
      </c>
      <c r="D7" s="1043">
        <f ca="1">结果表!H102</f>
        <v>14093</v>
      </c>
      <c r="E7" s="1960"/>
    </row>
    <row r="8" spans="1:5" ht="15.75">
      <c r="A8" s="1960"/>
      <c r="B8" s="2981" t="str">
        <f>结果表!E103</f>
        <v>2.估价师知悉的法定优先受偿款</v>
      </c>
      <c r="C8" s="1965" t="s">
        <v>1620</v>
      </c>
      <c r="D8" s="1043">
        <f>结果表!H103</f>
        <v>0</v>
      </c>
      <c r="E8" s="1960"/>
    </row>
    <row r="9" spans="1:5" ht="15.75">
      <c r="A9" s="1960"/>
      <c r="B9" s="2983"/>
      <c r="C9" s="1963" t="s">
        <v>1618</v>
      </c>
      <c r="D9" s="1042" t="str">
        <f>NUMBERSTRING(INT(D8*10000),2)&amp;"元整"</f>
        <v>零元整</v>
      </c>
      <c r="E9" s="1960"/>
    </row>
    <row r="10" spans="1:5" ht="15">
      <c r="A10" s="1960"/>
      <c r="B10" s="1966" t="s">
        <v>1623</v>
      </c>
      <c r="C10" s="1967" t="s">
        <v>1621</v>
      </c>
      <c r="D10" s="1044">
        <f>结果表!H104</f>
        <v>0</v>
      </c>
      <c r="E10" s="1960"/>
    </row>
    <row r="11" spans="1:5" ht="15">
      <c r="A11" s="1960"/>
      <c r="B11" s="1966" t="s">
        <v>1625</v>
      </c>
      <c r="C11" s="1967" t="s">
        <v>1626</v>
      </c>
      <c r="D11" s="1044">
        <f>结果表!H105</f>
        <v>0</v>
      </c>
      <c r="E11" s="1960"/>
    </row>
    <row r="12" spans="1:5" ht="15">
      <c r="A12" s="1960"/>
      <c r="B12" s="1966" t="s">
        <v>1627</v>
      </c>
      <c r="C12" s="1967" t="s">
        <v>1626</v>
      </c>
      <c r="D12" s="1044">
        <f>结果表!H106</f>
        <v>0</v>
      </c>
      <c r="E12" s="1960"/>
    </row>
    <row r="13" spans="1:5" ht="15.75">
      <c r="A13" s="1960"/>
      <c r="B13" s="2974" t="str">
        <f>结果表!E107</f>
        <v>3.房地产抵押价值</v>
      </c>
      <c r="C13" s="1968" t="s">
        <v>1617</v>
      </c>
      <c r="D13" s="1045">
        <f ca="1">结果表!H107</f>
        <v>17069</v>
      </c>
      <c r="E13" s="1960"/>
    </row>
    <row r="14" spans="1:5" ht="15.75">
      <c r="A14" s="1960"/>
      <c r="B14" s="2975"/>
      <c r="C14" s="1963" t="s">
        <v>1618</v>
      </c>
      <c r="D14" s="1042" t="str">
        <f ca="1">NUMBERSTRING(INT(D13*10000),2)&amp;"元整"</f>
        <v>壹亿柒仟零陆拾玖万元整</v>
      </c>
      <c r="E14" s="1960"/>
    </row>
    <row r="15" spans="1:5" ht="15">
      <c r="A15" s="1960"/>
      <c r="B15" s="2980"/>
      <c r="C15" s="1964" t="s">
        <v>1628</v>
      </c>
      <c r="D15" s="1054">
        <f ca="1">结果表!H108</f>
        <v>14093</v>
      </c>
      <c r="E15" s="1960"/>
    </row>
    <row r="16" spans="1:5" ht="15">
      <c r="A16" s="1960"/>
      <c r="B16" s="2981" t="str">
        <f>结果表!E109</f>
        <v>——</v>
      </c>
      <c r="C16" s="1968" t="s">
        <v>1629</v>
      </c>
      <c r="D16" s="1969" t="str">
        <f>结果表!H109</f>
        <v>——</v>
      </c>
      <c r="E16" s="1960"/>
    </row>
    <row r="17" spans="1:5" ht="15.75">
      <c r="A17" s="1960"/>
      <c r="B17" s="2982"/>
      <c r="C17" s="1963" t="s">
        <v>1630</v>
      </c>
      <c r="D17" s="1042" t="e">
        <f>NUMBERSTRING(INT(D16*10000),2)&amp;"元整"</f>
        <v>#VALUE!</v>
      </c>
      <c r="E17" s="1960"/>
    </row>
    <row r="18" spans="1:5" ht="15">
      <c r="A18" s="1960"/>
      <c r="B18" s="2983"/>
      <c r="C18" s="1964" t="s">
        <v>1619</v>
      </c>
      <c r="D18" s="1054" t="str">
        <f>结果表!H110</f>
        <v>——</v>
      </c>
      <c r="E18" s="1960"/>
    </row>
    <row r="19" spans="1:5" ht="15.75">
      <c r="A19" s="1960"/>
      <c r="B19" s="2974" t="str">
        <f>结果表!E111</f>
        <v>——</v>
      </c>
      <c r="C19" s="1968" t="s">
        <v>1617</v>
      </c>
      <c r="D19" s="1043" t="str">
        <f>结果表!H111</f>
        <v>——</v>
      </c>
      <c r="E19" s="1960"/>
    </row>
    <row r="20" spans="1:5" ht="15.75">
      <c r="A20" s="1960"/>
      <c r="B20" s="2975"/>
      <c r="C20" s="1963" t="s">
        <v>1630</v>
      </c>
      <c r="D20" s="1042" t="e">
        <f>NUMBERSTRING(INT(D19*10000),2)&amp;"元整"</f>
        <v>#VALUE!</v>
      </c>
      <c r="E20" s="1960"/>
    </row>
    <row r="21" spans="1:5" ht="15.75" thickBot="1">
      <c r="A21" s="1960"/>
      <c r="B21" s="2976"/>
      <c r="C21" s="1970" t="s">
        <v>1628</v>
      </c>
      <c r="D21" s="1055"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2958</v>
      </c>
      <c r="C1" s="3291" t="s">
        <v>2959</v>
      </c>
      <c r="D1" s="3292"/>
      <c r="E1" s="3292"/>
      <c r="F1" s="3292"/>
      <c r="G1" s="3292"/>
      <c r="H1" s="3292"/>
      <c r="I1" s="3292"/>
      <c r="J1" s="3292"/>
      <c r="K1" s="3292"/>
      <c r="L1" s="3292"/>
      <c r="M1" s="3292"/>
      <c r="N1" s="3292"/>
      <c r="O1" s="3292"/>
      <c r="P1" s="3292"/>
      <c r="Q1" s="3292"/>
      <c r="R1" s="3292"/>
      <c r="S1" s="3293"/>
      <c r="T1" s="1206" t="s">
        <v>2960</v>
      </c>
    </row>
    <row r="2" spans="1:45" s="706" customFormat="1">
      <c r="A2" s="1207"/>
      <c r="B2" s="702" t="s">
        <v>2961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2962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2963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2964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2965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2966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2967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2968</v>
      </c>
      <c r="B17" s="2918" t="s">
        <v>2969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2970</v>
      </c>
      <c r="E19" s="1793"/>
      <c r="F19" s="1793"/>
      <c r="G19" s="1793"/>
      <c r="H19" s="1282"/>
      <c r="I19" s="167"/>
      <c r="J19" s="167"/>
      <c r="K19" s="167"/>
      <c r="L19" s="167"/>
      <c r="M19" s="167"/>
      <c r="N19" s="167"/>
      <c r="O19" s="167"/>
      <c r="P19" s="167"/>
      <c r="Q19" s="167"/>
      <c r="R19" s="787"/>
      <c r="S19" s="137"/>
    </row>
    <row r="20" spans="1:45" ht="16.5" thickBot="1">
      <c r="A20" s="714" t="s">
        <v>2971</v>
      </c>
      <c r="B20" s="337" t="e">
        <f ca="1">IF(D20="——",S22,S22-F20)</f>
        <v>#REF!</v>
      </c>
      <c r="C20" s="167"/>
      <c r="D20" s="2920" t="s">
        <v>2972</v>
      </c>
      <c r="E20" s="1794"/>
      <c r="F20" s="1206" t="e">
        <f ca="1">SUMIF(INDIRECT("'"&amp;H20&amp;"'"&amp;"!A:A"),"承租人权益价值",INDIRECT("'"&amp;H20&amp;"'"&amp;"!c:c"))</f>
        <v>#REF!</v>
      </c>
      <c r="G20" s="1206" t="s">
        <v>2973</v>
      </c>
      <c r="H20" s="2921"/>
      <c r="I20" s="167"/>
      <c r="J20" s="167"/>
      <c r="K20" s="167"/>
      <c r="L20" s="167"/>
      <c r="M20" s="167"/>
      <c r="N20" s="167"/>
      <c r="O20" s="167"/>
      <c r="P20" s="167"/>
      <c r="Q20" s="167"/>
      <c r="R20" s="787"/>
      <c r="S20" s="137"/>
    </row>
    <row r="21" spans="1:45" ht="15.75">
      <c r="A21" s="714" t="s">
        <v>2974</v>
      </c>
      <c r="B21" s="337">
        <f>R22</f>
        <v>10000</v>
      </c>
      <c r="C21" s="167"/>
      <c r="D21" s="167"/>
      <c r="E21" s="167"/>
      <c r="F21" s="167"/>
      <c r="G21" s="167"/>
      <c r="H21" s="167"/>
      <c r="I21" s="167"/>
      <c r="J21" s="167"/>
      <c r="K21" s="167"/>
      <c r="L21" s="167"/>
      <c r="M21" s="167"/>
      <c r="N21" s="167"/>
      <c r="O21" s="167"/>
      <c r="P21" s="167"/>
      <c r="Q21" s="167"/>
      <c r="R21" s="787"/>
      <c r="S21" s="137"/>
    </row>
    <row r="22" spans="1:45">
      <c r="A22" s="360" t="s">
        <v>2975</v>
      </c>
      <c r="B22" s="23">
        <f>SUM(B24:B10000)</f>
        <v>100</v>
      </c>
      <c r="C22" s="3074" t="s">
        <v>32</v>
      </c>
      <c r="D22" s="3075"/>
      <c r="E22" s="3075"/>
      <c r="F22" s="3075"/>
      <c r="G22" s="3075"/>
      <c r="H22" s="3075"/>
      <c r="I22" s="3075"/>
      <c r="J22" s="3075"/>
      <c r="K22" s="3075"/>
      <c r="L22" s="3075"/>
      <c r="M22" s="3075"/>
      <c r="N22" s="3075"/>
      <c r="O22" s="3075"/>
      <c r="P22" s="3075"/>
      <c r="Q22" s="3290"/>
      <c r="R22" s="715">
        <f>ROUND(S22*10000/B22,0)</f>
        <v>10000</v>
      </c>
      <c r="S22" s="23">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34295</v>
      </c>
      <c r="C2" s="2" t="s">
        <v>132</v>
      </c>
      <c r="D2" s="242"/>
      <c r="E2" s="242"/>
      <c r="F2" s="242"/>
      <c r="G2" s="242"/>
    </row>
    <row r="3" spans="1:7" s="243" customFormat="1" ht="18" customHeight="1" thickBot="1">
      <c r="A3" s="246" t="s">
        <v>84</v>
      </c>
      <c r="B3" s="247">
        <f ca="1">ROUND(B2*10000/'数据-汇总表'!E3,0)</f>
        <v>28316</v>
      </c>
      <c r="C3" s="2" t="s">
        <v>133</v>
      </c>
      <c r="D3" s="242"/>
      <c r="E3" s="242"/>
      <c r="F3" s="242"/>
      <c r="G3" s="242"/>
    </row>
    <row r="4" spans="1:7" s="251" customFormat="1" ht="15.75">
      <c r="A4" s="248" t="s">
        <v>85</v>
      </c>
      <c r="B4" s="249"/>
      <c r="C4" s="249"/>
      <c r="D4" s="249"/>
      <c r="E4" s="249"/>
      <c r="F4" s="249"/>
      <c r="G4" s="250"/>
    </row>
    <row r="5" spans="1:7" s="257" customFormat="1" ht="13.5" customHeight="1">
      <c r="A5" s="298" t="s">
        <v>1052</v>
      </c>
      <c r="B5" s="253" t="s">
        <v>86</v>
      </c>
      <c r="C5" s="254">
        <f>C6+C7+C8</f>
        <v>20810</v>
      </c>
      <c r="D5" s="254" t="s">
        <v>87</v>
      </c>
      <c r="E5" s="255" t="s">
        <v>88</v>
      </c>
      <c r="F5" s="255" t="s">
        <v>89</v>
      </c>
      <c r="G5" s="256"/>
    </row>
    <row r="6" spans="1:7" s="257" customFormat="1" ht="13.5" customHeight="1">
      <c r="A6" s="951" t="s">
        <v>789</v>
      </c>
      <c r="B6" s="258" t="s">
        <v>90</v>
      </c>
      <c r="C6" s="259">
        <v>20000</v>
      </c>
      <c r="D6" s="260"/>
      <c r="E6" s="261"/>
      <c r="F6" s="261"/>
      <c r="G6" s="262"/>
    </row>
    <row r="7" spans="1:7" s="257" customFormat="1" ht="13.5" customHeight="1">
      <c r="A7" s="951" t="s">
        <v>790</v>
      </c>
      <c r="B7" s="258" t="s">
        <v>56</v>
      </c>
      <c r="C7" s="263">
        <f>ROUND(C6*F7,0)</f>
        <v>810</v>
      </c>
      <c r="D7" s="263"/>
      <c r="E7" s="261"/>
      <c r="F7" s="264">
        <f>'数据-取费表'!B48+'数据-取费表'!B49</f>
        <v>4.0500000000000001E-2</v>
      </c>
      <c r="G7" s="262"/>
    </row>
    <row r="8" spans="1:7" s="266" customFormat="1">
      <c r="A8" s="951" t="s">
        <v>791</v>
      </c>
      <c r="B8" s="258" t="s">
        <v>91</v>
      </c>
      <c r="C8" s="263" t="str">
        <f>IF(G8="已包含在土地购买价格中","0",'数据-取费表'!B29)</f>
        <v>0</v>
      </c>
      <c r="D8" s="265"/>
      <c r="E8" s="263"/>
      <c r="F8" s="264"/>
      <c r="G8" s="1" t="s">
        <v>1143</v>
      </c>
    </row>
    <row r="9" spans="1:7" s="257" customFormat="1" ht="13.5" customHeight="1">
      <c r="A9" s="952" t="s">
        <v>798</v>
      </c>
      <c r="B9" s="267" t="s">
        <v>92</v>
      </c>
      <c r="C9" s="268">
        <f>ROUND(D9*E9/10000,0)</f>
        <v>0</v>
      </c>
      <c r="D9" s="1034">
        <f>'数据-汇总表'!E5</f>
        <v>0</v>
      </c>
      <c r="E9" s="268">
        <f>'数据-取费表'!B27</f>
        <v>58.3</v>
      </c>
      <c r="F9" s="264"/>
      <c r="G9" s="269"/>
    </row>
    <row r="10" spans="1:7" s="257" customFormat="1" ht="13.5" customHeight="1">
      <c r="A10" s="952" t="s">
        <v>799</v>
      </c>
      <c r="B10" s="267" t="s">
        <v>93</v>
      </c>
      <c r="C10" s="268">
        <f>ROUND(D10*E10/10000,0)</f>
        <v>46</v>
      </c>
      <c r="D10" s="1034">
        <f>'数据-汇总表'!E6</f>
        <v>12111.68</v>
      </c>
      <c r="E10" s="268">
        <f>'数据-取费表'!B28</f>
        <v>38.299999999999997</v>
      </c>
      <c r="F10" s="264"/>
      <c r="G10" s="269"/>
    </row>
    <row r="11" spans="1:7" s="257" customFormat="1" ht="13.5" hidden="1" customHeight="1">
      <c r="A11" s="270" t="s">
        <v>7</v>
      </c>
      <c r="B11" s="258" t="s">
        <v>94</v>
      </c>
      <c r="C11" s="254"/>
      <c r="D11" s="1036"/>
      <c r="E11" s="261"/>
      <c r="F11" s="261"/>
      <c r="G11" s="262"/>
    </row>
    <row r="12" spans="1:7" s="257" customFormat="1" ht="13.5" hidden="1" customHeight="1">
      <c r="A12" s="270" t="s">
        <v>8</v>
      </c>
      <c r="B12" s="258" t="s">
        <v>95</v>
      </c>
      <c r="C12" s="254">
        <v>0</v>
      </c>
      <c r="D12" s="1036"/>
      <c r="E12" s="271"/>
      <c r="F12" s="264">
        <v>3.0499999999999999E-2</v>
      </c>
      <c r="G12" s="262"/>
    </row>
    <row r="13" spans="1:7" s="257" customFormat="1" ht="13.5" hidden="1" customHeight="1">
      <c r="A13" s="270" t="s">
        <v>9</v>
      </c>
      <c r="B13" s="258" t="s">
        <v>96</v>
      </c>
      <c r="C13" s="254"/>
      <c r="D13" s="1036"/>
      <c r="E13" s="261"/>
      <c r="F13" s="261"/>
      <c r="G13" s="262"/>
    </row>
    <row r="14" spans="1:7" s="257" customFormat="1" ht="13.5" hidden="1" customHeight="1">
      <c r="A14" s="270" t="s">
        <v>10</v>
      </c>
      <c r="B14" s="258" t="s">
        <v>91</v>
      </c>
      <c r="C14" s="254"/>
      <c r="D14" s="1036"/>
      <c r="E14" s="261"/>
      <c r="F14" s="261"/>
      <c r="G14" s="262" t="s">
        <v>97</v>
      </c>
    </row>
    <row r="15" spans="1:7" s="257" customFormat="1" ht="13.5" hidden="1" customHeight="1">
      <c r="A15" s="270" t="s">
        <v>11</v>
      </c>
      <c r="B15" s="258" t="s">
        <v>98</v>
      </c>
      <c r="C15" s="263"/>
      <c r="D15" s="1036"/>
      <c r="E15" s="261"/>
      <c r="F15" s="261"/>
      <c r="G15" s="262" t="s">
        <v>99</v>
      </c>
    </row>
    <row r="16" spans="1:7" s="257" customFormat="1" ht="13.5" hidden="1" customHeight="1">
      <c r="A16" s="270" t="s">
        <v>12</v>
      </c>
      <c r="B16" s="258" t="s">
        <v>91</v>
      </c>
      <c r="C16" s="263"/>
      <c r="D16" s="1036"/>
      <c r="E16" s="261"/>
      <c r="F16" s="261"/>
      <c r="G16" s="262"/>
    </row>
    <row r="17" spans="1:7" s="257" customFormat="1" ht="13.5" hidden="1" customHeight="1">
      <c r="A17" s="270" t="s">
        <v>13</v>
      </c>
      <c r="B17" s="258" t="s">
        <v>100</v>
      </c>
      <c r="C17" s="272"/>
      <c r="D17" s="1037"/>
      <c r="E17" s="272"/>
      <c r="F17" s="272"/>
      <c r="G17" s="262" t="s">
        <v>99</v>
      </c>
    </row>
    <row r="18" spans="1:7" s="257" customFormat="1" ht="13.5" hidden="1" customHeight="1">
      <c r="A18" s="270" t="s">
        <v>14</v>
      </c>
      <c r="B18" s="258" t="s">
        <v>101</v>
      </c>
      <c r="C18" s="263">
        <v>0</v>
      </c>
      <c r="D18" s="1036"/>
      <c r="E18" s="261"/>
      <c r="F18" s="264">
        <v>3.0499999999999999E-2</v>
      </c>
      <c r="G18" s="262" t="s">
        <v>102</v>
      </c>
    </row>
    <row r="19" spans="1:7" s="266" customFormat="1" ht="13.5" customHeight="1">
      <c r="A19" s="950" t="s">
        <v>1053</v>
      </c>
      <c r="B19" s="253" t="s">
        <v>110</v>
      </c>
      <c r="C19" s="254">
        <f>IF(G19="已包含在土地取得成本中","0",ROUND(D19*E19/10000,0))</f>
        <v>242</v>
      </c>
      <c r="D19" s="1038">
        <f>'数据-汇总表'!E3</f>
        <v>12111.68</v>
      </c>
      <c r="E19" s="254">
        <f>'数据-取费表'!B31</f>
        <v>200</v>
      </c>
      <c r="F19" s="274"/>
      <c r="G19" s="1" t="s">
        <v>1072</v>
      </c>
    </row>
    <row r="20" spans="1:7" s="257" customFormat="1" ht="13.5" customHeight="1">
      <c r="A20" s="950" t="s">
        <v>1055</v>
      </c>
      <c r="B20" s="253" t="s">
        <v>103</v>
      </c>
      <c r="C20" s="275">
        <f>ROUND((C5+C19)*F20,0)</f>
        <v>632</v>
      </c>
      <c r="D20" s="275"/>
      <c r="E20" s="275"/>
      <c r="F20" s="276">
        <f>'数据-取费表'!B37</f>
        <v>0.03</v>
      </c>
      <c r="G20" s="1291" t="s">
        <v>1066</v>
      </c>
    </row>
    <row r="21" spans="1:7" s="257" customFormat="1" ht="13.5" customHeight="1">
      <c r="A21" s="950" t="s">
        <v>1057</v>
      </c>
      <c r="B21" s="253" t="s">
        <v>104</v>
      </c>
      <c r="C21" s="278">
        <f>F21</f>
        <v>0.02</v>
      </c>
      <c r="D21" s="279" t="s">
        <v>125</v>
      </c>
      <c r="E21" s="275"/>
      <c r="F21" s="276">
        <f>'数据-取费表'!B38</f>
        <v>0.02</v>
      </c>
      <c r="G21" s="277" t="s">
        <v>105</v>
      </c>
    </row>
    <row r="22" spans="1:7" s="257" customFormat="1" ht="13.5" customHeight="1">
      <c r="A22" s="950" t="s">
        <v>784</v>
      </c>
      <c r="B22" s="253" t="s">
        <v>106</v>
      </c>
      <c r="C22" s="1356">
        <f ca="1">ROUND(SUM(C23:C25),0)</f>
        <v>2078</v>
      </c>
      <c r="D22" s="278">
        <f ca="1">C26</f>
        <v>1E-3</v>
      </c>
      <c r="E22" s="279" t="s">
        <v>125</v>
      </c>
      <c r="F22" s="280">
        <f ca="1">'数据-取费表'!B40</f>
        <v>4.7500000000000001E-2</v>
      </c>
      <c r="G22" s="1291" t="str">
        <f>IF('数据-取费表'!B22&lt;=1,"单利计息","复利计息")</f>
        <v>复利计息</v>
      </c>
    </row>
    <row r="23" spans="1:7" s="257" customFormat="1" ht="13.5" customHeight="1">
      <c r="A23" s="953" t="s">
        <v>792</v>
      </c>
      <c r="B23" s="258" t="s">
        <v>1059</v>
      </c>
      <c r="C23" s="1357">
        <f ca="1">ROUND(IF('数据-取费表'!B22&lt;=1,C5*F22*'数据-取费表'!B23,C5*(POWER((1+F22),'数据-取费表'!B23)-1)),0)</f>
        <v>2024</v>
      </c>
      <c r="D23" s="281"/>
      <c r="E23" s="281"/>
      <c r="F23" s="282"/>
      <c r="G23" s="283" t="s">
        <v>107</v>
      </c>
    </row>
    <row r="24" spans="1:7" s="257" customFormat="1" ht="13.5" customHeight="1">
      <c r="A24" s="953" t="s">
        <v>790</v>
      </c>
      <c r="B24" s="258" t="s">
        <v>1054</v>
      </c>
      <c r="C24" s="1357">
        <f ca="1">ROUND(IF('数据-取费表'!B22&lt;=1,C19*F22*('数据-取费表'!B19/2+'数据-取费表'!B21),C19*(POWER((1+F22),('数据-取费表'!B19/2+'数据-取费表'!B21))-1)),0)</f>
        <v>24</v>
      </c>
      <c r="D24" s="281"/>
      <c r="E24" s="281"/>
      <c r="F24" s="282"/>
      <c r="G24" s="283" t="s">
        <v>108</v>
      </c>
    </row>
    <row r="25" spans="1:7" s="257" customFormat="1" ht="24">
      <c r="A25" s="953" t="s">
        <v>791</v>
      </c>
      <c r="B25" s="258" t="s">
        <v>1056</v>
      </c>
      <c r="C25" s="1357">
        <f ca="1">ROUND(IF('数据-取费表'!B22&lt;=1,C20*F22*'数据-取费表'!B23/2,C20*(POWER((1+F22),'数据-取费表'!B23/2)-1)),0)</f>
        <v>30</v>
      </c>
      <c r="D25" s="281"/>
      <c r="E25" s="284"/>
      <c r="F25" s="282"/>
      <c r="G25" s="285" t="s">
        <v>109</v>
      </c>
    </row>
    <row r="26" spans="1:7" s="257" customFormat="1">
      <c r="A26" s="953" t="s">
        <v>793</v>
      </c>
      <c r="B26" s="258" t="s">
        <v>1058</v>
      </c>
      <c r="C26" s="281">
        <f ca="1">ROUND(IF('数据-取费表'!B22&lt;=1,F21*F22*'数据-取费表'!B23/2,F21*(POWER((1+F22),'数据-取费表'!B23/2)-1)),4)</f>
        <v>1E-3</v>
      </c>
      <c r="D26" s="281"/>
      <c r="E26" s="284"/>
      <c r="F26" s="282"/>
      <c r="G26" s="286"/>
    </row>
    <row r="27" spans="1:7" s="257" customFormat="1" ht="24.75">
      <c r="A27" s="950" t="s">
        <v>785</v>
      </c>
      <c r="B27" s="287" t="s">
        <v>111</v>
      </c>
      <c r="C27" s="288">
        <f>C28</f>
        <v>3253</v>
      </c>
      <c r="D27" s="278">
        <f>C29</f>
        <v>3.0000000000000001E-3</v>
      </c>
      <c r="E27" s="279" t="s">
        <v>125</v>
      </c>
      <c r="F27" s="289">
        <f>'数据-取费表'!Q16</f>
        <v>0.15</v>
      </c>
      <c r="G27" s="290" t="s">
        <v>1067</v>
      </c>
    </row>
    <row r="28" spans="1:7" s="257" customFormat="1" ht="13.5" customHeight="1">
      <c r="A28" s="953" t="s">
        <v>792</v>
      </c>
      <c r="B28" s="291" t="s">
        <v>1060</v>
      </c>
      <c r="C28" s="292">
        <f>ROUND((C5+C19+C20)*F27*'数据-取费表'!B21/'数据-取费表'!B20,0)</f>
        <v>3253</v>
      </c>
      <c r="D28" s="278"/>
      <c r="E28" s="279"/>
      <c r="F28" s="289"/>
      <c r="G28" s="290"/>
    </row>
    <row r="29" spans="1:7" s="257" customFormat="1" ht="13.5" customHeight="1">
      <c r="A29" s="953" t="s">
        <v>790</v>
      </c>
      <c r="B29" s="291" t="s">
        <v>1061</v>
      </c>
      <c r="C29" s="281">
        <f>ROUND(C21*F27*'数据-取费表'!B21/'数据-取费表'!B20,4)</f>
        <v>3.0000000000000001E-3</v>
      </c>
      <c r="D29" s="278"/>
      <c r="E29" s="279"/>
      <c r="F29" s="289"/>
      <c r="G29" s="290"/>
    </row>
    <row r="30" spans="1:7" s="257" customFormat="1" ht="13.5" customHeight="1">
      <c r="A30" s="950" t="s">
        <v>786</v>
      </c>
      <c r="B30" s="253" t="s">
        <v>57</v>
      </c>
      <c r="C30" s="278">
        <f>F30</f>
        <v>5.5000000000000007E-2</v>
      </c>
      <c r="D30" s="279" t="s">
        <v>126</v>
      </c>
      <c r="E30" s="284"/>
      <c r="F30" s="280">
        <f>'数据-取费表'!B41</f>
        <v>5.5000000000000007E-2</v>
      </c>
      <c r="G30" s="277" t="s">
        <v>112</v>
      </c>
    </row>
    <row r="31" spans="1:7" ht="16.5" customHeight="1">
      <c r="A31" s="252">
        <v>1</v>
      </c>
      <c r="B31" s="253" t="s">
        <v>127</v>
      </c>
      <c r="C31" s="254">
        <f ca="1">ROUND((C5+C19+C20+C22+C27)/(1-C21-D22-D27-C30/(1+'数据-取费表'!B42)),0)</f>
        <v>29249</v>
      </c>
      <c r="D31" s="273"/>
      <c r="E31" s="254"/>
      <c r="F31" s="293"/>
      <c r="G31" s="277" t="s">
        <v>1068</v>
      </c>
    </row>
    <row r="32" spans="1:7" s="251" customFormat="1" ht="15.75">
      <c r="A32" s="295" t="s">
        <v>113</v>
      </c>
      <c r="B32" s="296"/>
      <c r="C32" s="296"/>
      <c r="D32" s="296"/>
      <c r="E32" s="296"/>
      <c r="F32" s="296"/>
      <c r="G32" s="297"/>
    </row>
    <row r="33" spans="1:7" s="257" customFormat="1" ht="13.5" customHeight="1">
      <c r="A33" s="298" t="s">
        <v>780</v>
      </c>
      <c r="B33" s="253" t="s">
        <v>114</v>
      </c>
      <c r="C33" s="299">
        <f>SUM(C34:C38)</f>
        <v>3895</v>
      </c>
      <c r="D33" s="275"/>
      <c r="E33" s="255"/>
      <c r="F33" s="284"/>
      <c r="G33" s="277"/>
    </row>
    <row r="34" spans="1:7" s="301" customFormat="1" ht="13.5" customHeight="1">
      <c r="A34" s="953" t="s">
        <v>792</v>
      </c>
      <c r="B34" s="258" t="s">
        <v>58</v>
      </c>
      <c r="C34" s="263">
        <f>IF(F34=100%,'数据-取费表'!M16-SUMIF('数据-取费表'!C:C,"公共配套",'数据-取费表'!M:M),'数据-取费表'!O16-SUMIF('数据-取费表'!C:C,"公共配套",'数据-取费表'!O:O))</f>
        <v>3430</v>
      </c>
      <c r="D34" s="260"/>
      <c r="E34" s="263"/>
      <c r="F34" s="300">
        <f>IF('数据-取费表'!B24=0,1,'数据-取费表'!N16)</f>
        <v>1</v>
      </c>
      <c r="G34" s="262" t="s">
        <v>115</v>
      </c>
    </row>
    <row r="35" spans="1:7" ht="13.5" customHeight="1">
      <c r="A35" s="953" t="s">
        <v>794</v>
      </c>
      <c r="B35" s="258" t="s">
        <v>59</v>
      </c>
      <c r="C35" s="263">
        <f>ROUND(C34*F35,0)</f>
        <v>172</v>
      </c>
      <c r="D35" s="263"/>
      <c r="E35" s="263"/>
      <c r="F35" s="302">
        <f>'数据-取费表'!B33</f>
        <v>0.05</v>
      </c>
      <c r="G35" s="262" t="s">
        <v>116</v>
      </c>
    </row>
    <row r="36" spans="1:7" ht="24">
      <c r="A36" s="953" t="s">
        <v>795</v>
      </c>
      <c r="B36" s="258" t="s">
        <v>60</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61</v>
      </c>
    </row>
    <row r="37" spans="1:7" s="301" customFormat="1" ht="13.5" customHeight="1">
      <c r="A37" s="953" t="s">
        <v>796</v>
      </c>
      <c r="B37" s="258" t="s">
        <v>117</v>
      </c>
      <c r="C37" s="292">
        <f>ROUND(E37*D37*F34/10000,0)</f>
        <v>242</v>
      </c>
      <c r="D37" s="260">
        <f>'数据-汇总表'!E3</f>
        <v>12111.68</v>
      </c>
      <c r="E37" s="292">
        <f>'数据-取费表'!B35</f>
        <v>200</v>
      </c>
      <c r="F37" s="302"/>
      <c r="G37" s="304" t="s">
        <v>118</v>
      </c>
    </row>
    <row r="38" spans="1:7" ht="13.5" customHeight="1">
      <c r="A38" s="953" t="s">
        <v>797</v>
      </c>
      <c r="B38" s="258" t="s">
        <v>62</v>
      </c>
      <c r="C38" s="263">
        <f>ROUND(C34*F38,0)</f>
        <v>51</v>
      </c>
      <c r="D38" s="263"/>
      <c r="E38" s="263"/>
      <c r="F38" s="302">
        <f>'数据-取费表'!B36</f>
        <v>1.4999999999999999E-2</v>
      </c>
      <c r="G38" s="262" t="s">
        <v>116</v>
      </c>
    </row>
    <row r="39" spans="1:7" s="257" customFormat="1" ht="13.5" customHeight="1">
      <c r="A39" s="950" t="s">
        <v>781</v>
      </c>
      <c r="B39" s="253" t="s">
        <v>103</v>
      </c>
      <c r="C39" s="275">
        <f>ROUND(C33*F20,0)</f>
        <v>117</v>
      </c>
      <c r="D39" s="275"/>
      <c r="E39" s="275"/>
      <c r="F39" s="276"/>
      <c r="G39" s="1291" t="s">
        <v>1069</v>
      </c>
    </row>
    <row r="40" spans="1:7" s="257" customFormat="1" ht="13.5" customHeight="1">
      <c r="A40" s="950" t="s">
        <v>782</v>
      </c>
      <c r="B40" s="253" t="s">
        <v>104</v>
      </c>
      <c r="C40" s="305">
        <f>F21</f>
        <v>0.02</v>
      </c>
      <c r="D40" s="279" t="s">
        <v>128</v>
      </c>
      <c r="E40" s="275"/>
      <c r="F40" s="276"/>
      <c r="G40" s="277" t="s">
        <v>119</v>
      </c>
    </row>
    <row r="41" spans="1:7" s="257" customFormat="1" ht="13.5" customHeight="1">
      <c r="A41" s="950" t="s">
        <v>783</v>
      </c>
      <c r="B41" s="253" t="s">
        <v>106</v>
      </c>
      <c r="C41" s="275">
        <f ca="1">ROUND(SUM(C42:C43),0)</f>
        <v>191</v>
      </c>
      <c r="D41" s="278">
        <f ca="1">C44</f>
        <v>1E-3</v>
      </c>
      <c r="E41" s="279" t="s">
        <v>128</v>
      </c>
      <c r="F41" s="280"/>
      <c r="G41" s="1291" t="str">
        <f>IF('数据-取费表'!B22&lt;=1,"单利计息","复利计息")</f>
        <v>复利计息</v>
      </c>
    </row>
    <row r="42" spans="1:7" ht="13.5" customHeight="1">
      <c r="A42" s="953" t="s">
        <v>792</v>
      </c>
      <c r="B42" s="258" t="s">
        <v>1059</v>
      </c>
      <c r="C42" s="281">
        <f ca="1">ROUND(IF('数据-取费表'!B22&lt;=1,C33*F22*'数据-取费表'!B21/2,C33*(POWER((1+F22),'数据-取费表'!B21/2)-1)),0)</f>
        <v>185</v>
      </c>
      <c r="D42" s="281"/>
      <c r="E42" s="281"/>
      <c r="F42" s="282"/>
      <c r="G42" s="3202" t="s">
        <v>120</v>
      </c>
    </row>
    <row r="43" spans="1:7" ht="13.5" customHeight="1">
      <c r="A43" s="953" t="s">
        <v>790</v>
      </c>
      <c r="B43" s="258" t="s">
        <v>1062</v>
      </c>
      <c r="C43" s="281">
        <f ca="1">ROUND(IF('数据-取费表'!B22&lt;=1,C39*F22*'数据-取费表'!B21/2,C39*(POWER((1+F22),'数据-取费表'!B21/2)-1)),0)</f>
        <v>6</v>
      </c>
      <c r="D43" s="281"/>
      <c r="E43" s="281"/>
      <c r="F43" s="282"/>
      <c r="G43" s="3203"/>
    </row>
    <row r="44" spans="1:7" ht="13.5" customHeight="1">
      <c r="A44" s="953" t="s">
        <v>791</v>
      </c>
      <c r="B44" s="258" t="s">
        <v>1064</v>
      </c>
      <c r="C44" s="281">
        <f ca="1">ROUND(IF('数据-取费表'!B22&lt;=1,C40*F22*'数据-取费表'!B21/2,C40*(POWER((1+F22),'数据-取费表'!B21/2)-1)),4)</f>
        <v>1E-3</v>
      </c>
      <c r="D44" s="281"/>
      <c r="E44" s="281"/>
      <c r="F44" s="282"/>
      <c r="G44" s="3204"/>
    </row>
    <row r="45" spans="1:7" s="257" customFormat="1" ht="13.5" customHeight="1">
      <c r="A45" s="950" t="s">
        <v>784</v>
      </c>
      <c r="B45" s="287" t="s">
        <v>111</v>
      </c>
      <c r="C45" s="288">
        <f>C46</f>
        <v>602</v>
      </c>
      <c r="D45" s="278">
        <f>C47</f>
        <v>3.0000000000000001E-3</v>
      </c>
      <c r="E45" s="279" t="s">
        <v>128</v>
      </c>
      <c r="F45" s="289"/>
      <c r="G45" s="290" t="s">
        <v>1070</v>
      </c>
    </row>
    <row r="46" spans="1:7" s="257" customFormat="1" ht="13.5" customHeight="1">
      <c r="A46" s="953" t="s">
        <v>792</v>
      </c>
      <c r="B46" s="291" t="s">
        <v>1063</v>
      </c>
      <c r="C46" s="292">
        <f>ROUND((C33+C39)*F27,0)</f>
        <v>602</v>
      </c>
      <c r="D46" s="306"/>
      <c r="E46" s="279"/>
      <c r="F46" s="289"/>
      <c r="G46" s="290"/>
    </row>
    <row r="47" spans="1:7" s="257" customFormat="1" ht="13.5" customHeight="1">
      <c r="A47" s="953" t="s">
        <v>790</v>
      </c>
      <c r="B47" s="291" t="s">
        <v>1065</v>
      </c>
      <c r="C47" s="281">
        <f>ROUND(C40*F27,4)</f>
        <v>3.0000000000000001E-3</v>
      </c>
      <c r="D47" s="306"/>
      <c r="E47" s="279"/>
      <c r="F47" s="289"/>
      <c r="G47" s="290"/>
    </row>
    <row r="48" spans="1:7" s="257" customFormat="1" ht="13.5" customHeight="1">
      <c r="A48" s="950" t="s">
        <v>785</v>
      </c>
      <c r="B48" s="253" t="s">
        <v>121</v>
      </c>
      <c r="C48" s="305">
        <f>F30</f>
        <v>5.5000000000000007E-2</v>
      </c>
      <c r="D48" s="279" t="s">
        <v>129</v>
      </c>
      <c r="E48" s="275"/>
      <c r="F48" s="280"/>
      <c r="G48" s="277" t="s">
        <v>122</v>
      </c>
    </row>
    <row r="49" spans="1:7" ht="16.5" customHeight="1">
      <c r="A49" s="950" t="s">
        <v>786</v>
      </c>
      <c r="B49" s="253" t="s">
        <v>130</v>
      </c>
      <c r="C49" s="275">
        <f ca="1">ROUND((C33+C39+C41+C45)/(1-C40-D41-D45-C48/(1+'数据-取费表'!B42)),0)</f>
        <v>5202</v>
      </c>
      <c r="D49" s="275"/>
      <c r="E49" s="275"/>
      <c r="F49" s="307"/>
      <c r="G49" s="277" t="s">
        <v>1071</v>
      </c>
    </row>
    <row r="50" spans="1:7" s="301" customFormat="1" ht="24">
      <c r="A50" s="950" t="s">
        <v>787</v>
      </c>
      <c r="B50" s="253" t="s">
        <v>123</v>
      </c>
      <c r="C50" s="275"/>
      <c r="D50" s="275"/>
      <c r="E50" s="275"/>
      <c r="F50" s="307">
        <f>IF('数据-取费表'!B24=0,'数据-取费表'!N16,1)</f>
        <v>0.97</v>
      </c>
      <c r="G50" s="290" t="s">
        <v>124</v>
      </c>
    </row>
    <row r="51" spans="1:7" ht="16.5" customHeight="1">
      <c r="A51" s="950" t="s">
        <v>788</v>
      </c>
      <c r="B51" s="253" t="s">
        <v>131</v>
      </c>
      <c r="C51" s="275">
        <f ca="1">ROUND(C49*F50,0)</f>
        <v>5046</v>
      </c>
      <c r="D51" s="275"/>
      <c r="E51" s="275"/>
      <c r="F51" s="307"/>
      <c r="G51" s="277" t="s">
        <v>63</v>
      </c>
    </row>
    <row r="52" spans="1:7" s="251" customFormat="1" ht="16.5" thickBot="1">
      <c r="A52" s="308" t="s">
        <v>64</v>
      </c>
      <c r="B52" s="309"/>
      <c r="C52" s="310">
        <f ca="1">C31+C51</f>
        <v>34295</v>
      </c>
      <c r="D52" s="309"/>
      <c r="E52" s="309"/>
      <c r="F52" s="309"/>
      <c r="G52" s="311"/>
    </row>
    <row r="55" spans="1:7" ht="15">
      <c r="B55" s="313" t="s">
        <v>65</v>
      </c>
      <c r="C55" s="314"/>
    </row>
    <row r="56" spans="1:7">
      <c r="B56" s="316" t="s">
        <v>66</v>
      </c>
      <c r="C56" s="317">
        <f ca="1">ROUND(C51/C52,3)</f>
        <v>0.14699999999999999</v>
      </c>
    </row>
    <row r="57" spans="1:7">
      <c r="B57" s="316" t="s">
        <v>67</v>
      </c>
      <c r="C57" s="318">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155</v>
      </c>
      <c r="B1" s="3294"/>
      <c r="C1" s="3294"/>
      <c r="D1" s="3294"/>
      <c r="E1" s="3294"/>
      <c r="F1" s="3294"/>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295" t="s">
        <v>168</v>
      </c>
      <c r="B2" s="3295"/>
      <c r="C2" s="3295"/>
      <c r="D2" s="3295"/>
      <c r="E2" s="3295"/>
      <c r="F2" s="3295"/>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296"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297"/>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869</v>
      </c>
      <c r="B1" s="3294"/>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1295</v>
      </c>
      <c r="C1" s="1695">
        <f>项目基本情况!D3</f>
        <v>43206</v>
      </c>
      <c r="D1" s="1701" t="s">
        <v>1296</v>
      </c>
      <c r="E1" s="1696">
        <f>'数据-取费表'!B22</f>
        <v>2</v>
      </c>
      <c r="F1" s="1701" t="s">
        <v>1297</v>
      </c>
      <c r="G1" s="1697">
        <f ca="1">INDIRECT("d"&amp;$K$1)/100</f>
        <v>4.7500000000000001E-2</v>
      </c>
      <c r="H1" s="1701" t="s">
        <v>1327</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1298</v>
      </c>
      <c r="E2" s="1637"/>
      <c r="F2" s="1637" t="s">
        <v>1299</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1300</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1301</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1302</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1303</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1304</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1305</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1306</v>
      </c>
      <c r="C10" s="1665"/>
      <c r="D10" s="1665"/>
      <c r="E10" s="1665"/>
      <c r="F10" s="1665"/>
      <c r="G10" s="1665"/>
      <c r="H10" s="1665"/>
      <c r="I10" s="1639"/>
      <c r="J10" s="1639"/>
      <c r="K10" s="1665"/>
      <c r="L10" s="1666" t="s">
        <v>1307</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1308</v>
      </c>
      <c r="C11" s="1670" t="s">
        <v>1309</v>
      </c>
      <c r="D11" s="1671" t="s">
        <v>1310</v>
      </c>
      <c r="E11" s="1672"/>
      <c r="F11" s="1671" t="s">
        <v>1311</v>
      </c>
      <c r="G11" s="1673"/>
      <c r="H11" s="1672"/>
      <c r="I11" s="1671" t="s">
        <v>1312</v>
      </c>
      <c r="J11" s="1672"/>
      <c r="K11" s="1668"/>
      <c r="L11" s="1669" t="s">
        <v>1308</v>
      </c>
      <c r="M11" s="1670" t="s">
        <v>1309</v>
      </c>
      <c r="N11" s="1669" t="s">
        <v>1313</v>
      </c>
      <c r="O11" s="1671" t="s">
        <v>1314</v>
      </c>
      <c r="P11" s="1673"/>
      <c r="Q11" s="1673"/>
      <c r="R11" s="1673"/>
      <c r="S11" s="1673"/>
      <c r="T11" s="1672"/>
      <c r="U11" s="1671" t="s">
        <v>1315</v>
      </c>
      <c r="V11" s="1673"/>
      <c r="W11" s="1672"/>
      <c r="X11" s="1669" t="s">
        <v>1316</v>
      </c>
      <c r="Y11" s="1669" t="s">
        <v>1317</v>
      </c>
      <c r="Z11" s="1669" t="s">
        <v>1318</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1319</v>
      </c>
      <c r="E12" s="1678" t="s">
        <v>1320</v>
      </c>
      <c r="F12" s="1678" t="s">
        <v>1321</v>
      </c>
      <c r="G12" s="1678" t="s">
        <v>1322</v>
      </c>
      <c r="H12" s="1678" t="s">
        <v>1304</v>
      </c>
      <c r="I12" s="1679" t="s">
        <v>1323</v>
      </c>
      <c r="J12" s="1679" t="s">
        <v>1323</v>
      </c>
      <c r="K12" s="1675"/>
      <c r="L12" s="1676"/>
      <c r="M12" s="1677"/>
      <c r="N12" s="1676"/>
      <c r="O12" s="1679" t="s">
        <v>1324</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1325</v>
      </c>
      <c r="C13" s="1683">
        <v>42301</v>
      </c>
      <c r="D13" s="1684">
        <v>4.3499999999999996</v>
      </c>
      <c r="E13" s="1684">
        <v>4.3499999999999996</v>
      </c>
      <c r="F13" s="1684">
        <v>4.75</v>
      </c>
      <c r="G13" s="1684">
        <v>4.75</v>
      </c>
      <c r="H13" s="1684">
        <v>4.9000000000000004</v>
      </c>
      <c r="I13" s="1684">
        <v>2.75</v>
      </c>
      <c r="J13" s="1684">
        <v>3.25</v>
      </c>
      <c r="K13" s="1681"/>
      <c r="L13" s="1682" t="s">
        <v>1325</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1326</v>
      </c>
      <c r="Y42" s="1688" t="s">
        <v>1326</v>
      </c>
      <c r="Z42" s="1688" t="s">
        <v>1326</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1326</v>
      </c>
      <c r="Y43" s="1688" t="s">
        <v>1326</v>
      </c>
      <c r="Z43" s="1688" t="s">
        <v>1326</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1326</v>
      </c>
      <c r="Y44" s="1688" t="s">
        <v>1326</v>
      </c>
      <c r="Z44" s="1688" t="s">
        <v>1326</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1326</v>
      </c>
      <c r="Y45" s="1688" t="s">
        <v>1326</v>
      </c>
      <c r="Z45" s="1688" t="s">
        <v>1326</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1326</v>
      </c>
      <c r="Y46" s="1688" t="s">
        <v>1326</v>
      </c>
      <c r="Z46" s="1688" t="s">
        <v>1326</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1326</v>
      </c>
      <c r="Y47" s="1688" t="s">
        <v>1326</v>
      </c>
      <c r="Z47" s="1688" t="s">
        <v>1326</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1326</v>
      </c>
      <c r="Y48" s="1688" t="s">
        <v>1326</v>
      </c>
      <c r="Z48" s="1688" t="s">
        <v>1326</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1326</v>
      </c>
      <c r="Y49" s="1688" t="s">
        <v>1326</v>
      </c>
      <c r="Z49" s="1688" t="s">
        <v>1326</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1326</v>
      </c>
      <c r="Y50" s="1688" t="s">
        <v>1326</v>
      </c>
      <c r="Z50" s="1688" t="s">
        <v>1326</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1326</v>
      </c>
      <c r="V51" s="1688" t="s">
        <v>1326</v>
      </c>
      <c r="W51" s="1688" t="s">
        <v>1326</v>
      </c>
      <c r="X51" s="1688" t="s">
        <v>1326</v>
      </c>
      <c r="Y51" s="1688" t="s">
        <v>1326</v>
      </c>
      <c r="Z51" s="1688" t="s">
        <v>1326</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1326</v>
      </c>
      <c r="J55" s="1688" t="s">
        <v>1326</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1367</v>
      </c>
      <c r="E1" s="1777" t="s">
        <v>1371</v>
      </c>
      <c r="F1" s="1778" t="s">
        <v>1375</v>
      </c>
    </row>
    <row r="2" spans="1:13" ht="20.25">
      <c r="A2" s="1784" t="s">
        <v>1368</v>
      </c>
    </row>
    <row r="3" spans="1:13" ht="16.5">
      <c r="A3" s="1785" t="s">
        <v>1369</v>
      </c>
    </row>
    <row r="4" spans="1:13" ht="14.25">
      <c r="A4" s="1775" t="s">
        <v>1370</v>
      </c>
      <c r="B4" s="1780" t="s">
        <v>1372</v>
      </c>
      <c r="C4" s="1781"/>
      <c r="D4" s="1782"/>
      <c r="E4" s="1780" t="s">
        <v>26</v>
      </c>
      <c r="F4" s="1781"/>
      <c r="G4" s="1782"/>
      <c r="H4" s="1780" t="s">
        <v>1373</v>
      </c>
      <c r="I4" s="1781"/>
      <c r="J4" s="1782"/>
      <c r="K4" s="1780" t="s">
        <v>6</v>
      </c>
      <c r="L4" s="1781"/>
      <c r="M4" s="1782"/>
    </row>
    <row r="5" spans="1:13" ht="14.25">
      <c r="A5" s="1776" t="s">
        <v>1374</v>
      </c>
      <c r="B5" s="1775" t="s">
        <v>1376</v>
      </c>
      <c r="C5" s="1775" t="s">
        <v>1377</v>
      </c>
      <c r="D5" s="1775" t="s">
        <v>1378</v>
      </c>
      <c r="E5" s="1775" t="s">
        <v>1376</v>
      </c>
      <c r="F5" s="1775" t="s">
        <v>1377</v>
      </c>
      <c r="G5" s="1775" t="s">
        <v>1378</v>
      </c>
      <c r="H5" s="1775" t="s">
        <v>1376</v>
      </c>
      <c r="I5" s="1775" t="s">
        <v>1377</v>
      </c>
      <c r="J5" s="1775" t="s">
        <v>1378</v>
      </c>
      <c r="K5" s="1775" t="s">
        <v>1376</v>
      </c>
      <c r="L5" s="1775" t="s">
        <v>1377</v>
      </c>
      <c r="M5" s="1775" t="s">
        <v>1378</v>
      </c>
    </row>
    <row r="6" spans="1:13" ht="14.25">
      <c r="A6" s="1779" t="s">
        <v>211</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268</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441</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136</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522</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55</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525</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527</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529</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533</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812</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813</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F14"/>
  <sheetViews>
    <sheetView workbookViewId="0">
      <selection activeCell="J15" sqref="J15"/>
    </sheetView>
  </sheetViews>
  <sheetFormatPr defaultRowHeight="13.5"/>
  <sheetData>
    <row r="6" spans="6:6">
      <c r="F6" s="2962" t="s">
        <v>3110</v>
      </c>
    </row>
    <row r="7" spans="6:6">
      <c r="F7" s="2962" t="s">
        <v>3111</v>
      </c>
    </row>
    <row r="10" spans="6:6">
      <c r="F10" s="2962" t="s">
        <v>3112</v>
      </c>
    </row>
    <row r="11" spans="6:6">
      <c r="F11">
        <v>40000</v>
      </c>
    </row>
    <row r="13" spans="6:6">
      <c r="F13" s="2962" t="s">
        <v>3113</v>
      </c>
    </row>
    <row r="14" spans="6:6">
      <c r="F14">
        <v>22000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9"/>
  <sheetViews>
    <sheetView workbookViewId="0">
      <selection activeCell="G32" sqref="G32"/>
    </sheetView>
  </sheetViews>
  <sheetFormatPr defaultRowHeight="13.5"/>
  <cols>
    <col min="2" max="2" width="29.5" customWidth="1"/>
    <col min="4" max="4" width="14.5" customWidth="1"/>
    <col min="5" max="5" width="8" customWidth="1"/>
    <col min="6" max="6" width="17.25" customWidth="1"/>
    <col min="7" max="7" width="34" customWidth="1"/>
    <col min="8" max="8" width="13.375" customWidth="1"/>
    <col min="9" max="9" width="15.625" customWidth="1"/>
    <col min="10" max="10" width="19.375" customWidth="1"/>
  </cols>
  <sheetData>
    <row r="4" spans="2:11">
      <c r="B4" s="2958" t="s">
        <v>3061</v>
      </c>
      <c r="C4" s="2958" t="s">
        <v>3062</v>
      </c>
      <c r="D4" s="2958" t="s">
        <v>3063</v>
      </c>
      <c r="E4" s="2958" t="s">
        <v>3064</v>
      </c>
      <c r="F4" s="2958" t="s">
        <v>3065</v>
      </c>
      <c r="G4" s="2958" t="s">
        <v>3066</v>
      </c>
      <c r="H4" s="2958" t="s">
        <v>3067</v>
      </c>
      <c r="I4" s="2958" t="s">
        <v>3068</v>
      </c>
      <c r="J4" s="2958" t="s">
        <v>3069</v>
      </c>
      <c r="K4" s="2966" t="s">
        <v>3114</v>
      </c>
    </row>
    <row r="5" spans="2:11" s="2960" customFormat="1">
      <c r="B5" s="2959" t="s">
        <v>3070</v>
      </c>
      <c r="C5" s="2959" t="s">
        <v>3071</v>
      </c>
      <c r="D5" s="2959" t="s">
        <v>3072</v>
      </c>
      <c r="E5" s="2959" t="s">
        <v>3073</v>
      </c>
      <c r="F5" s="2959">
        <v>40566</v>
      </c>
      <c r="G5" s="2959" t="s">
        <v>3074</v>
      </c>
      <c r="H5" s="2959" t="s">
        <v>3075</v>
      </c>
      <c r="I5" s="2959">
        <v>190.38</v>
      </c>
      <c r="J5" s="2959">
        <v>2855.63</v>
      </c>
      <c r="K5" s="2960">
        <f>I5*10000/666.67</f>
        <v>2855.6857215713922</v>
      </c>
    </row>
    <row r="6" spans="2:11" s="2960" customFormat="1">
      <c r="B6" s="2959" t="s">
        <v>3076</v>
      </c>
      <c r="C6" s="2959" t="s">
        <v>3071</v>
      </c>
      <c r="D6" s="2959" t="s">
        <v>3072</v>
      </c>
      <c r="E6" s="2959" t="s">
        <v>3073</v>
      </c>
      <c r="F6" s="2959">
        <v>44726</v>
      </c>
      <c r="G6" s="2959" t="s">
        <v>3074</v>
      </c>
      <c r="H6" s="2959" t="s">
        <v>3075</v>
      </c>
      <c r="I6" s="2959">
        <v>205.27</v>
      </c>
      <c r="J6" s="2959">
        <v>3079.01</v>
      </c>
      <c r="K6" s="2960">
        <f t="shared" ref="K6:K19" si="0">I6*10000/666.67</f>
        <v>3079.0346048269762</v>
      </c>
    </row>
    <row r="7" spans="2:11" s="2960" customFormat="1">
      <c r="B7" s="2959" t="s">
        <v>3077</v>
      </c>
      <c r="C7" s="2959" t="s">
        <v>3071</v>
      </c>
      <c r="D7" s="2959" t="s">
        <v>3072</v>
      </c>
      <c r="E7" s="2959" t="s">
        <v>3073</v>
      </c>
      <c r="F7" s="2959">
        <v>17382</v>
      </c>
      <c r="G7" s="2959" t="s">
        <v>3074</v>
      </c>
      <c r="H7" s="2959" t="s">
        <v>3075</v>
      </c>
      <c r="I7" s="2959">
        <v>211.15</v>
      </c>
      <c r="J7" s="2959">
        <v>3167.21</v>
      </c>
      <c r="K7" s="2960">
        <f t="shared" si="0"/>
        <v>3167.2341638291809</v>
      </c>
    </row>
    <row r="8" spans="2:11">
      <c r="B8" s="2958" t="s">
        <v>3078</v>
      </c>
      <c r="C8" s="2958" t="s">
        <v>3071</v>
      </c>
      <c r="D8" s="2958" t="s">
        <v>3072</v>
      </c>
      <c r="E8" s="2958" t="s">
        <v>3073</v>
      </c>
      <c r="F8" s="2958">
        <v>86977</v>
      </c>
      <c r="G8" s="2958" t="s">
        <v>3079</v>
      </c>
      <c r="H8" s="2958" t="s">
        <v>3080</v>
      </c>
      <c r="I8" s="2958">
        <v>150.27000000000001</v>
      </c>
      <c r="J8" s="2958">
        <v>577.95000000000005</v>
      </c>
      <c r="K8" s="2960">
        <f t="shared" si="0"/>
        <v>2254.0387298063511</v>
      </c>
    </row>
    <row r="9" spans="2:11">
      <c r="B9" s="2958" t="s">
        <v>3081</v>
      </c>
      <c r="C9" s="2958" t="s">
        <v>3071</v>
      </c>
      <c r="D9" s="2958" t="s">
        <v>3072</v>
      </c>
      <c r="E9" s="2958" t="s">
        <v>3073</v>
      </c>
      <c r="F9" s="2958">
        <v>108408</v>
      </c>
      <c r="G9" s="2958" t="s">
        <v>3082</v>
      </c>
      <c r="H9" s="2958" t="s">
        <v>3083</v>
      </c>
      <c r="I9" s="2958">
        <v>154.06</v>
      </c>
      <c r="J9" s="2958">
        <v>1155.44</v>
      </c>
      <c r="K9" s="2960">
        <f t="shared" si="0"/>
        <v>2310.8884455577722</v>
      </c>
    </row>
    <row r="10" spans="2:11">
      <c r="B10" s="2958" t="s">
        <v>3084</v>
      </c>
      <c r="C10" s="2958" t="s">
        <v>3071</v>
      </c>
      <c r="D10" s="2958" t="s">
        <v>3072</v>
      </c>
      <c r="E10" s="2958" t="s">
        <v>3073</v>
      </c>
      <c r="F10" s="2958">
        <v>22270</v>
      </c>
      <c r="G10" s="2958" t="s">
        <v>3082</v>
      </c>
      <c r="H10" s="2958" t="s">
        <v>3085</v>
      </c>
      <c r="I10" s="2958">
        <v>138.71</v>
      </c>
      <c r="J10" s="2958">
        <v>1040.3</v>
      </c>
      <c r="K10" s="2960">
        <f t="shared" si="0"/>
        <v>2080.6395968020161</v>
      </c>
    </row>
    <row r="11" spans="2:11">
      <c r="B11" s="2958" t="s">
        <v>3086</v>
      </c>
      <c r="C11" s="2958" t="s">
        <v>3071</v>
      </c>
      <c r="D11" s="2958" t="s">
        <v>3072</v>
      </c>
      <c r="E11" s="2958" t="s">
        <v>3073</v>
      </c>
      <c r="F11" s="2958">
        <v>43328.94</v>
      </c>
      <c r="G11" s="2958" t="s">
        <v>3082</v>
      </c>
      <c r="H11" s="2958" t="s">
        <v>3085</v>
      </c>
      <c r="I11" s="2958">
        <v>36.67</v>
      </c>
      <c r="J11" s="2958">
        <v>275.02</v>
      </c>
      <c r="K11" s="2960">
        <f t="shared" si="0"/>
        <v>550.04724976375121</v>
      </c>
    </row>
    <row r="12" spans="2:11">
      <c r="B12" s="2958" t="s">
        <v>3087</v>
      </c>
      <c r="C12" s="2958" t="s">
        <v>3071</v>
      </c>
      <c r="D12" s="2958" t="s">
        <v>3072</v>
      </c>
      <c r="E12" s="2958" t="s">
        <v>3073</v>
      </c>
      <c r="F12" s="2958">
        <v>40000</v>
      </c>
      <c r="G12" s="2958" t="s">
        <v>3088</v>
      </c>
      <c r="H12" s="2958" t="s">
        <v>3089</v>
      </c>
      <c r="I12" s="2958">
        <v>151.33000000000001</v>
      </c>
      <c r="J12" s="2958">
        <v>1135</v>
      </c>
      <c r="K12" s="2960">
        <f t="shared" si="0"/>
        <v>2269.938650306749</v>
      </c>
    </row>
    <row r="13" spans="2:11">
      <c r="B13" s="2958" t="s">
        <v>3090</v>
      </c>
      <c r="C13" s="2958" t="s">
        <v>3071</v>
      </c>
      <c r="D13" s="2958" t="s">
        <v>3072</v>
      </c>
      <c r="E13" s="2958" t="s">
        <v>3073</v>
      </c>
      <c r="F13" s="2958">
        <v>42541</v>
      </c>
      <c r="G13" s="2958" t="s">
        <v>3088</v>
      </c>
      <c r="H13" s="2958" t="s">
        <v>3091</v>
      </c>
      <c r="I13" s="2958">
        <v>51.1</v>
      </c>
      <c r="J13" s="2958">
        <v>383.23</v>
      </c>
      <c r="K13" s="2960">
        <f t="shared" si="0"/>
        <v>766.49616751916244</v>
      </c>
    </row>
    <row r="14" spans="2:11">
      <c r="B14" s="2958" t="s">
        <v>3092</v>
      </c>
      <c r="C14" s="2958" t="s">
        <v>3071</v>
      </c>
      <c r="D14" s="2958" t="s">
        <v>3072</v>
      </c>
      <c r="E14" s="2958" t="s">
        <v>3073</v>
      </c>
      <c r="F14" s="2958">
        <v>23621</v>
      </c>
      <c r="G14" s="2958" t="s">
        <v>3093</v>
      </c>
      <c r="H14" s="2958" t="s">
        <v>3094</v>
      </c>
      <c r="I14" s="2958">
        <v>51.09</v>
      </c>
      <c r="J14" s="2958">
        <v>766.35</v>
      </c>
      <c r="K14" s="2960">
        <f t="shared" si="0"/>
        <v>766.34616826915874</v>
      </c>
    </row>
    <row r="15" spans="2:11">
      <c r="B15" s="2958" t="s">
        <v>3095</v>
      </c>
      <c r="C15" s="2958" t="s">
        <v>3071</v>
      </c>
      <c r="D15" s="2958" t="s">
        <v>3072</v>
      </c>
      <c r="E15" s="2958" t="s">
        <v>3073</v>
      </c>
      <c r="F15" s="2958">
        <v>25189</v>
      </c>
      <c r="G15" s="2958" t="s">
        <v>3093</v>
      </c>
      <c r="H15" s="2958" t="s">
        <v>3094</v>
      </c>
      <c r="I15" s="2958">
        <v>51.07</v>
      </c>
      <c r="J15" s="2958">
        <v>766.04</v>
      </c>
      <c r="K15" s="2960">
        <f t="shared" si="0"/>
        <v>766.04616976915122</v>
      </c>
    </row>
    <row r="16" spans="2:11">
      <c r="B16" s="2958" t="s">
        <v>3096</v>
      </c>
      <c r="C16" s="2958" t="s">
        <v>3071</v>
      </c>
      <c r="D16" s="2958" t="s">
        <v>3072</v>
      </c>
      <c r="E16" s="2958" t="s">
        <v>3073</v>
      </c>
      <c r="F16" s="2958">
        <v>36302</v>
      </c>
      <c r="G16" s="2958" t="s">
        <v>3093</v>
      </c>
      <c r="H16" s="2958" t="s">
        <v>3094</v>
      </c>
      <c r="I16" s="2958">
        <v>51.08</v>
      </c>
      <c r="J16" s="2958">
        <v>766.13</v>
      </c>
      <c r="K16" s="2960">
        <f t="shared" si="0"/>
        <v>766.19616901915492</v>
      </c>
    </row>
    <row r="17" spans="2:11">
      <c r="B17" s="2958" t="s">
        <v>3097</v>
      </c>
      <c r="C17" s="2958" t="s">
        <v>3071</v>
      </c>
      <c r="D17" s="2958" t="s">
        <v>3072</v>
      </c>
      <c r="E17" s="2958" t="s">
        <v>3073</v>
      </c>
      <c r="F17" s="2958">
        <v>26512</v>
      </c>
      <c r="G17" s="2958" t="s">
        <v>3093</v>
      </c>
      <c r="H17" s="2958" t="s">
        <v>3094</v>
      </c>
      <c r="I17" s="2958">
        <v>51.03</v>
      </c>
      <c r="J17" s="2958">
        <v>765.44</v>
      </c>
      <c r="K17" s="2960">
        <f t="shared" si="0"/>
        <v>765.44617276913618</v>
      </c>
    </row>
    <row r="18" spans="2:11">
      <c r="B18" s="2958" t="s">
        <v>3098</v>
      </c>
      <c r="C18" s="2958" t="s">
        <v>3071</v>
      </c>
      <c r="D18" s="2958" t="s">
        <v>3072</v>
      </c>
      <c r="E18" s="2958" t="s">
        <v>3073</v>
      </c>
      <c r="F18" s="2958">
        <v>23842</v>
      </c>
      <c r="G18" s="2958" t="s">
        <v>3093</v>
      </c>
      <c r="H18" s="2958" t="s">
        <v>3094</v>
      </c>
      <c r="I18" s="2958">
        <v>51.1</v>
      </c>
      <c r="J18" s="2958">
        <v>766.49</v>
      </c>
      <c r="K18" s="2960">
        <f t="shared" si="0"/>
        <v>766.49616751916244</v>
      </c>
    </row>
    <row r="19" spans="2:11">
      <c r="B19" s="2958" t="s">
        <v>3099</v>
      </c>
      <c r="C19" s="2958" t="s">
        <v>3071</v>
      </c>
      <c r="D19" s="2958" t="s">
        <v>3072</v>
      </c>
      <c r="E19" s="2958" t="s">
        <v>3073</v>
      </c>
      <c r="F19" s="2958">
        <v>30163</v>
      </c>
      <c r="G19" s="2958" t="s">
        <v>3093</v>
      </c>
      <c r="H19" s="2958" t="s">
        <v>3100</v>
      </c>
      <c r="I19" s="2958">
        <v>51.05</v>
      </c>
      <c r="J19" s="2958">
        <v>765.8</v>
      </c>
      <c r="K19" s="2960">
        <f t="shared" si="0"/>
        <v>765.7461712691437</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24"/>
  <sheetViews>
    <sheetView workbookViewId="0">
      <selection activeCell="E32" sqref="E32"/>
    </sheetView>
  </sheetViews>
  <sheetFormatPr defaultRowHeight="13.5"/>
  <cols>
    <col min="1" max="1" width="12.875" customWidth="1"/>
    <col min="2" max="2" width="10.5" bestFit="1" customWidth="1"/>
    <col min="3" max="3" width="13.625" customWidth="1"/>
    <col min="4" max="4" width="12.375" customWidth="1"/>
    <col min="5" max="5" width="15.5" customWidth="1"/>
    <col min="10" max="10" width="14.625" bestFit="1" customWidth="1"/>
  </cols>
  <sheetData>
    <row r="8" spans="2:5">
      <c r="C8" s="2962" t="s">
        <v>3115</v>
      </c>
      <c r="D8" s="2962" t="s">
        <v>3116</v>
      </c>
      <c r="E8" s="2962" t="s">
        <v>3119</v>
      </c>
    </row>
    <row r="9" spans="2:5">
      <c r="B9" s="2962" t="s">
        <v>3117</v>
      </c>
      <c r="C9">
        <f ca="1">'收益法（汇总）'!B6/'收益法（汇总）'!B2*结果表!G19</f>
        <v>15348.239773249577</v>
      </c>
      <c r="D9">
        <f>'数据-取费表'!K6</f>
        <v>10206.15</v>
      </c>
      <c r="E9" s="2967">
        <f ca="1">C9/D9*10000</f>
        <v>15038.226729226571</v>
      </c>
    </row>
    <row r="10" spans="2:5">
      <c r="B10" s="2962" t="s">
        <v>3118</v>
      </c>
      <c r="C10">
        <f ca="1">结果表!G19-C9</f>
        <v>1720.7602267504226</v>
      </c>
      <c r="D10">
        <f>'数据-取费表'!K7</f>
        <v>1905.53</v>
      </c>
      <c r="E10" s="2967">
        <f ca="1">C10/D10*10000</f>
        <v>9030.3497019224196</v>
      </c>
    </row>
    <row r="11" spans="2:5">
      <c r="C11">
        <f ca="1">C9+C10</f>
        <v>17069</v>
      </c>
    </row>
    <row r="17" spans="1:12">
      <c r="A17" s="2962" t="s">
        <v>3133</v>
      </c>
      <c r="B17" s="2962" t="s">
        <v>3125</v>
      </c>
      <c r="C17" s="2962" t="s">
        <v>3126</v>
      </c>
      <c r="D17" s="2962" t="s">
        <v>3127</v>
      </c>
      <c r="E17" s="2962" t="s">
        <v>3128</v>
      </c>
      <c r="F17" s="2962" t="s">
        <v>3129</v>
      </c>
      <c r="G17" s="2962" t="s">
        <v>3130</v>
      </c>
      <c r="H17" s="2962" t="s">
        <v>3131</v>
      </c>
      <c r="I17" s="2962" t="s">
        <v>3132</v>
      </c>
      <c r="J17" s="2970">
        <v>46538</v>
      </c>
      <c r="K17" s="2962"/>
      <c r="L17">
        <v>9.1199999999999992</v>
      </c>
    </row>
    <row r="18" spans="1:12">
      <c r="A18" s="2967">
        <f>60*B24/C24</f>
        <v>49.963636363636361</v>
      </c>
      <c r="B18">
        <v>120</v>
      </c>
      <c r="C18">
        <v>123</v>
      </c>
      <c r="D18">
        <v>126</v>
      </c>
      <c r="E18">
        <v>126</v>
      </c>
      <c r="F18">
        <v>129.15</v>
      </c>
      <c r="G18">
        <v>132.30000000000001</v>
      </c>
      <c r="H18">
        <v>132.30000000000001</v>
      </c>
      <c r="I18">
        <v>135.61000000000001</v>
      </c>
      <c r="J18">
        <v>69.459999999999994</v>
      </c>
      <c r="L18" s="3320">
        <f>SUM(A18:J18)/L17/365/D10*10000</f>
        <v>1.8031854138203447</v>
      </c>
    </row>
    <row r="23" spans="1:12">
      <c r="A23" s="3319">
        <v>43160</v>
      </c>
      <c r="B23" s="3319">
        <f>项目基本情况!B3</f>
        <v>43206</v>
      </c>
      <c r="C23" s="3319">
        <v>43435</v>
      </c>
    </row>
    <row r="24" spans="1:12">
      <c r="B24">
        <f>C23-B23</f>
        <v>229</v>
      </c>
      <c r="C24">
        <f>C23-A23</f>
        <v>275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6" t="s">
        <v>1632</v>
      </c>
      <c r="E3" s="1046" t="s">
        <v>1638</v>
      </c>
      <c r="F3" s="1046" t="s">
        <v>1632</v>
      </c>
      <c r="G3" s="1046" t="s">
        <v>1633</v>
      </c>
      <c r="H3" s="1046" t="s">
        <v>1632</v>
      </c>
      <c r="I3" s="1046" t="s">
        <v>1633</v>
      </c>
    </row>
    <row r="4" spans="1:9" ht="60">
      <c r="A4" s="1974" t="str">
        <f>项目基本情况!S2</f>
        <v>廊坊市三河市燕郊开发区燕顺路西侧、高压走廊北侧美林君渡（美林新东城B区续建及C区）16号楼房地产</v>
      </c>
      <c r="B4" s="1046">
        <f>项目基本情况!C17</f>
        <v>12111.68</v>
      </c>
      <c r="C4" s="1046">
        <f>项目基本情况!C18</f>
        <v>9365.7099999999991</v>
      </c>
      <c r="D4" s="1046" t="e">
        <f ca="1">结果表!D118</f>
        <v>#REF!</v>
      </c>
      <c r="E4" s="1046" t="e">
        <f ca="1">结果表!E118</f>
        <v>#REF!</v>
      </c>
      <c r="F4" s="1046" t="e">
        <f ca="1">结果表!F118</f>
        <v>#REF!</v>
      </c>
      <c r="G4" s="1046" t="e">
        <f ca="1">结果表!G118</f>
        <v>#REF!</v>
      </c>
      <c r="H4" s="1046">
        <f ca="1">结果表!H118</f>
        <v>17069</v>
      </c>
      <c r="I4" s="1046">
        <f ca="1">结果表!I118</f>
        <v>14093</v>
      </c>
    </row>
    <row r="5" spans="1:9" ht="30" customHeight="1">
      <c r="A5" s="2986" t="s">
        <v>1634</v>
      </c>
      <c r="B5" s="2986"/>
      <c r="C5" s="2986"/>
      <c r="D5" s="2987" t="e">
        <f ca="1">结果表!D119</f>
        <v>#REF!</v>
      </c>
      <c r="E5" s="2987"/>
      <c r="F5" s="2987" t="e">
        <f ca="1">结果表!F119</f>
        <v>#REF!</v>
      </c>
      <c r="G5" s="2987"/>
      <c r="H5" s="2987" t="str">
        <f ca="1">结果表!H119</f>
        <v>壹亿柒仟零陆拾玖万元整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1634</v>
      </c>
      <c r="B7" s="2986"/>
      <c r="C7" s="2986"/>
      <c r="D7" s="2989" t="str">
        <f>结果表!D121</f>
        <v>零元整</v>
      </c>
      <c r="E7" s="2990"/>
      <c r="F7" s="2990"/>
      <c r="G7" s="2990"/>
      <c r="H7" s="2990"/>
      <c r="I7" s="2991"/>
    </row>
    <row r="8" spans="1:9" ht="15.75">
      <c r="A8" s="2988" t="str">
        <f>结果表!A122</f>
        <v>房地产抵押价值</v>
      </c>
      <c r="B8" s="2988"/>
      <c r="C8" s="2988"/>
      <c r="D8" s="2988">
        <f ca="1">结果表!D122</f>
        <v>17069</v>
      </c>
      <c r="E8" s="2988"/>
      <c r="F8" s="2988"/>
      <c r="G8" s="2988"/>
      <c r="H8" s="2988"/>
      <c r="I8" s="2988"/>
    </row>
    <row r="9" spans="1:9" ht="15">
      <c r="A9" s="2986" t="s">
        <v>1634</v>
      </c>
      <c r="B9" s="2986"/>
      <c r="C9" s="2986"/>
      <c r="D9" s="2987" t="str">
        <f ca="1">结果表!D123</f>
        <v>壹亿柒仟零陆拾玖万元整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1634</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1634</v>
      </c>
      <c r="B13" s="2992"/>
      <c r="C13" s="2992"/>
      <c r="D13" s="2993" t="e">
        <f>结果表!D127</f>
        <v>#VALUE!</v>
      </c>
      <c r="E13" s="2993"/>
      <c r="F13" s="2993"/>
      <c r="G13" s="2993"/>
      <c r="H13" s="2993"/>
      <c r="I13" s="2993"/>
    </row>
    <row r="14" spans="1:9" ht="15" thickTop="1">
      <c r="A14" s="2994" t="s">
        <v>1639</v>
      </c>
      <c r="B14" s="2994"/>
      <c r="C14" s="2994"/>
      <c r="D14" s="2994"/>
      <c r="E14" s="2994"/>
      <c r="F14" s="2994"/>
      <c r="G14" s="2994"/>
      <c r="H14" s="2994"/>
      <c r="I14" s="2994"/>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5" t="s">
        <v>1656</v>
      </c>
      <c r="B1" s="2995"/>
      <c r="C1" s="2995"/>
      <c r="D1" s="2995"/>
    </row>
    <row r="2" spans="1:4" ht="18">
      <c r="A2" s="2996" t="s">
        <v>1640</v>
      </c>
      <c r="B2" s="2996"/>
      <c r="C2" s="2996"/>
      <c r="D2" s="2996"/>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2996" t="s">
        <v>1646</v>
      </c>
      <c r="B6" s="2996"/>
      <c r="C6" s="2996"/>
      <c r="D6" s="2996"/>
    </row>
    <row r="7" spans="1:4" ht="18.75">
      <c r="A7" s="1978" t="s">
        <v>1641</v>
      </c>
      <c r="B7" s="1980" t="s">
        <v>1647</v>
      </c>
      <c r="C7" s="1978" t="s">
        <v>1643</v>
      </c>
      <c r="D7" s="1978" t="s">
        <v>1644</v>
      </c>
    </row>
    <row r="8" spans="1:4" ht="56.25" customHeight="1">
      <c r="A8" s="1984" t="s">
        <v>867</v>
      </c>
      <c r="B8" s="1984" t="s">
        <v>1</v>
      </c>
      <c r="C8" s="1981"/>
      <c r="D8" s="1982" t="s">
        <v>1645</v>
      </c>
    </row>
    <row r="9" spans="1:4">
      <c r="A9" s="727"/>
      <c r="B9" s="727"/>
      <c r="C9" s="727"/>
      <c r="D9" s="727"/>
    </row>
    <row r="10" spans="1:4" ht="18.75">
      <c r="A10" s="1985" t="s">
        <v>1648</v>
      </c>
      <c r="B10" s="727"/>
      <c r="C10" s="727"/>
      <c r="D10" s="727"/>
    </row>
    <row r="11" spans="1:4" ht="30" customHeight="1">
      <c r="A11" s="2997"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868</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81</v>
      </c>
      <c r="B3" s="1976" t="s">
        <v>1658</v>
      </c>
      <c r="G3" s="1993"/>
    </row>
    <row r="4" spans="1:7">
      <c r="G4" s="1993"/>
    </row>
    <row r="5" spans="1:7">
      <c r="A5" s="1995" t="s">
        <v>72</v>
      </c>
      <c r="B5" s="1976" t="s">
        <v>1659</v>
      </c>
      <c r="G5" s="1993"/>
    </row>
    <row r="6" spans="1:7">
      <c r="G6" s="1993"/>
    </row>
    <row r="7" spans="1:7">
      <c r="A7" s="1996" t="s">
        <v>134</v>
      </c>
      <c r="B7" s="1976" t="s">
        <v>1660</v>
      </c>
      <c r="G7" s="1993"/>
    </row>
    <row r="8" spans="1:7">
      <c r="G8" s="1993"/>
    </row>
    <row r="9" spans="1:7">
      <c r="A9" s="1997" t="s">
        <v>73</v>
      </c>
      <c r="B9" s="1976" t="s">
        <v>1661</v>
      </c>
    </row>
    <row r="11" spans="1:7">
      <c r="A11" s="1998" t="s">
        <v>74</v>
      </c>
      <c r="B11" s="1999" t="s">
        <v>71</v>
      </c>
    </row>
    <row r="13" spans="1:7">
      <c r="A13" s="2000" t="s">
        <v>1662</v>
      </c>
    </row>
    <row r="15" spans="1:7" ht="13.5">
      <c r="A15" s="3009" t="s">
        <v>1663</v>
      </c>
      <c r="B15" s="3004" t="s">
        <v>135</v>
      </c>
      <c r="C15" s="3005"/>
    </row>
    <row r="16" spans="1:7" ht="13.5">
      <c r="A16" s="3010"/>
      <c r="B16" s="3004" t="s">
        <v>68</v>
      </c>
      <c r="C16" s="3005"/>
    </row>
    <row r="17" spans="1:3" ht="13.5">
      <c r="A17" s="3010"/>
      <c r="B17" s="3007" t="s">
        <v>1664</v>
      </c>
      <c r="C17" s="2001" t="s">
        <v>1663</v>
      </c>
    </row>
    <row r="18" spans="1:3" ht="13.5">
      <c r="A18" s="3010"/>
      <c r="B18" s="3007"/>
      <c r="C18" s="2001" t="s">
        <v>1665</v>
      </c>
    </row>
    <row r="19" spans="1:3" ht="13.5">
      <c r="A19" s="3010"/>
      <c r="B19" s="3007"/>
      <c r="C19" s="2001" t="s">
        <v>1666</v>
      </c>
    </row>
    <row r="20" spans="1:3" ht="13.5">
      <c r="A20" s="3011"/>
      <c r="B20" s="3006" t="s">
        <v>1667</v>
      </c>
      <c r="C20" s="3005"/>
    </row>
    <row r="21" spans="1:3" ht="13.5">
      <c r="A21" s="2002" t="s">
        <v>1668</v>
      </c>
      <c r="B21" s="2003"/>
      <c r="C21" s="2004"/>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2001" t="s">
        <v>1674</v>
      </c>
    </row>
    <row r="26" spans="1:3" ht="13.5">
      <c r="A26" s="3008"/>
      <c r="B26" s="3007"/>
      <c r="C26" s="2001" t="s">
        <v>1675</v>
      </c>
    </row>
    <row r="27" spans="1:3" ht="13.5">
      <c r="A27" s="3008"/>
      <c r="B27" s="3007"/>
      <c r="C27" s="2001" t="s">
        <v>1676</v>
      </c>
    </row>
    <row r="28" spans="1:3" ht="13.5">
      <c r="A28" s="3008"/>
      <c r="B28" s="3007"/>
      <c r="C28" s="2001" t="s">
        <v>1677</v>
      </c>
    </row>
    <row r="29" spans="1:3" ht="13.5">
      <c r="A29" s="3008"/>
      <c r="B29" s="3007"/>
      <c r="C29" s="2001" t="s">
        <v>1678</v>
      </c>
    </row>
    <row r="30" spans="1:3" ht="13.5">
      <c r="A30" s="3008"/>
      <c r="B30" s="3007"/>
      <c r="C30" s="2001" t="s">
        <v>1679</v>
      </c>
    </row>
    <row r="31" spans="1:3" ht="13.5">
      <c r="A31" s="3008"/>
      <c r="B31" s="3007"/>
      <c r="C31" s="2001" t="s">
        <v>1680</v>
      </c>
    </row>
    <row r="32" spans="1:3" ht="13.5">
      <c r="A32" s="3008"/>
      <c r="B32" s="3007"/>
      <c r="C32" s="2001" t="s">
        <v>1681</v>
      </c>
    </row>
    <row r="33" spans="1:3" ht="13.5">
      <c r="A33" s="3008"/>
      <c r="B33" s="3007"/>
      <c r="C33" s="2001" t="s">
        <v>1682</v>
      </c>
    </row>
    <row r="34" spans="1:3">
      <c r="A34" s="2005" t="s">
        <v>75</v>
      </c>
    </row>
    <row r="37" spans="1:3">
      <c r="A37" s="2005" t="s">
        <v>1683</v>
      </c>
    </row>
    <row r="38" spans="1:3" ht="13.5">
      <c r="A38" s="2006" t="s">
        <v>76</v>
      </c>
    </row>
    <row r="39" spans="1:3" ht="13.5">
      <c r="A39" s="2006" t="s">
        <v>77</v>
      </c>
    </row>
    <row r="40" spans="1:3" ht="13.5">
      <c r="A40" s="2006" t="s">
        <v>78</v>
      </c>
    </row>
    <row r="41" spans="1:3" ht="13.5">
      <c r="A41" s="2007" t="s">
        <v>79</v>
      </c>
    </row>
    <row r="42" spans="1:3" ht="13.5">
      <c r="A42" s="2006"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43208</v>
      </c>
      <c r="C2" s="1021" t="s">
        <v>824</v>
      </c>
      <c r="D2" s="1021"/>
    </row>
    <row r="3" spans="1:6" ht="24" customHeight="1">
      <c r="A3" s="1022" t="s">
        <v>825</v>
      </c>
      <c r="B3" s="1023" t="s">
        <v>826</v>
      </c>
      <c r="C3" s="2345" t="s">
        <v>827</v>
      </c>
      <c r="D3" s="2348" t="s">
        <v>828</v>
      </c>
      <c r="E3" s="1024" t="s">
        <v>829</v>
      </c>
      <c r="F3" s="1023" t="s">
        <v>827</v>
      </c>
    </row>
    <row r="4" spans="1:6" ht="24" customHeight="1">
      <c r="A4" s="1703" t="s">
        <v>830</v>
      </c>
      <c r="B4" s="1024">
        <f ca="1">IF(C4&lt;B2,"已过期",1119970066)</f>
        <v>1119970066</v>
      </c>
      <c r="C4" s="2346">
        <v>43849</v>
      </c>
      <c r="D4" s="2349" t="s">
        <v>830</v>
      </c>
      <c r="E4" s="1024">
        <f ca="1">IF(F4&lt;B2,"已过期",96010014)</f>
        <v>96010014</v>
      </c>
      <c r="F4" s="1032">
        <v>47118</v>
      </c>
    </row>
    <row r="5" spans="1:6" ht="24" customHeight="1">
      <c r="A5" s="1703" t="s">
        <v>831</v>
      </c>
      <c r="B5" s="1024">
        <f ca="1">IF(C5&lt;B2,"已过期",1119970074)</f>
        <v>1119970074</v>
      </c>
      <c r="C5" s="2346">
        <v>43849</v>
      </c>
      <c r="D5" s="2349" t="s">
        <v>831</v>
      </c>
      <c r="E5" s="1024">
        <f ca="1">IF(F5&lt;B2,"已过期",2002110027)</f>
        <v>2002110027</v>
      </c>
      <c r="F5" s="1032">
        <v>46752</v>
      </c>
    </row>
    <row r="6" spans="1:6" ht="24" customHeight="1">
      <c r="A6" s="1703" t="s">
        <v>832</v>
      </c>
      <c r="B6" s="1024">
        <f ca="1">IF(C6&lt;B2,"已过期",1119970111)</f>
        <v>1119970111</v>
      </c>
      <c r="C6" s="2346">
        <v>43849</v>
      </c>
      <c r="D6" s="2349" t="s">
        <v>832</v>
      </c>
      <c r="E6" s="1024">
        <f ca="1">IF(F6&lt;B2,"已过期",94010078)</f>
        <v>94010078</v>
      </c>
      <c r="F6" s="1032">
        <v>46387</v>
      </c>
    </row>
    <row r="7" spans="1:6" ht="24" customHeight="1">
      <c r="A7" s="1703" t="s">
        <v>833</v>
      </c>
      <c r="B7" s="1024">
        <f ca="1">IF(C7&lt;B2,"已过期",1120050019)</f>
        <v>1120050019</v>
      </c>
      <c r="C7" s="2346">
        <v>43359</v>
      </c>
      <c r="D7" s="2349" t="s">
        <v>833</v>
      </c>
      <c r="E7" s="1024">
        <f ca="1">IF(F7&lt;B2,"已过期",2002110030)</f>
        <v>2002110030</v>
      </c>
      <c r="F7" s="1032">
        <v>46387</v>
      </c>
    </row>
    <row r="8" spans="1:6" ht="24" customHeight="1">
      <c r="A8" s="1703" t="s">
        <v>834</v>
      </c>
      <c r="B8" s="1024">
        <f ca="1">IF(C8&lt;B2,"已过期",1120000080)</f>
        <v>1120000080</v>
      </c>
      <c r="C8" s="2346">
        <v>43849</v>
      </c>
      <c r="D8" s="2349" t="s">
        <v>834</v>
      </c>
      <c r="E8" s="1024">
        <f ca="1">IF(F8&lt;B2,"已过期",2000110082)</f>
        <v>2000110082</v>
      </c>
      <c r="F8" s="1032">
        <v>46387</v>
      </c>
    </row>
    <row r="9" spans="1:6" ht="24" customHeight="1">
      <c r="A9" s="1703" t="s">
        <v>835</v>
      </c>
      <c r="B9" s="1024">
        <f ca="1">IF(C9&lt;B2,"已过期",1419970001)</f>
        <v>1419970001</v>
      </c>
      <c r="C9" s="2346">
        <v>43867</v>
      </c>
      <c r="D9" s="2349" t="s">
        <v>835</v>
      </c>
      <c r="E9" s="1024">
        <f ca="1">IF(F9&lt;B2,"已过期",2002110125)</f>
        <v>2002110125</v>
      </c>
      <c r="F9" s="1032">
        <v>47118</v>
      </c>
    </row>
    <row r="10" spans="1:6" ht="24" customHeight="1">
      <c r="A10" s="1703" t="s">
        <v>836</v>
      </c>
      <c r="B10" s="1024">
        <f ca="1">IF(C10&lt;B2,"已过期",1120060040)</f>
        <v>1120060040</v>
      </c>
      <c r="C10" s="2346">
        <v>43483</v>
      </c>
      <c r="D10" s="2349" t="s">
        <v>836</v>
      </c>
      <c r="E10" s="1024">
        <f ca="1">IF(F10&lt;B2,"已过期",2004110096)</f>
        <v>2004110096</v>
      </c>
      <c r="F10" s="1032">
        <v>47118</v>
      </c>
    </row>
    <row r="11" spans="1:6" ht="24" customHeight="1">
      <c r="A11" s="1703" t="s">
        <v>837</v>
      </c>
      <c r="B11" s="1024">
        <f ca="1">IF(C11&lt;B2,"已过期",1120100036)</f>
        <v>1120100036</v>
      </c>
      <c r="C11" s="2346">
        <v>43622</v>
      </c>
      <c r="D11" s="2349" t="s">
        <v>837</v>
      </c>
      <c r="E11" s="1024">
        <f ca="1">IF(F11&lt;B2,"已过期",2010110070)</f>
        <v>2010110070</v>
      </c>
      <c r="F11" s="1032">
        <v>47907</v>
      </c>
    </row>
    <row r="12" spans="1:6" ht="24" customHeight="1">
      <c r="A12" s="1703"/>
      <c r="B12" s="1024"/>
      <c r="C12" s="2346"/>
      <c r="D12" s="2349"/>
      <c r="E12" s="1024"/>
      <c r="F12" s="1024"/>
    </row>
    <row r="13" spans="1:6" ht="24" customHeight="1">
      <c r="A13" s="1703" t="s">
        <v>838</v>
      </c>
      <c r="B13" s="1024">
        <f ca="1">IF(C13&lt;B2,"已过期",1120070131)</f>
        <v>1120070131</v>
      </c>
      <c r="C13" s="2346">
        <v>43814</v>
      </c>
      <c r="D13" s="2349" t="s">
        <v>838</v>
      </c>
      <c r="E13" s="1024">
        <v>2014110011</v>
      </c>
      <c r="F13" s="1032">
        <v>49302</v>
      </c>
    </row>
    <row r="14" spans="1:6" ht="24" customHeight="1">
      <c r="A14" s="1703" t="s">
        <v>839</v>
      </c>
      <c r="B14" s="1024">
        <f ca="1">IF(C14&lt;B2,"已过期",1120130020)</f>
        <v>1120130020</v>
      </c>
      <c r="C14" s="2346">
        <v>43622</v>
      </c>
      <c r="D14" s="2349"/>
      <c r="E14" s="1024"/>
      <c r="F14" s="1024"/>
    </row>
    <row r="15" spans="1:6" ht="24" customHeight="1">
      <c r="A15" s="1704" t="s">
        <v>1144</v>
      </c>
      <c r="B15" s="1024">
        <v>1120070085</v>
      </c>
      <c r="C15" s="2346">
        <v>43814</v>
      </c>
      <c r="D15" s="2350" t="s">
        <v>1144</v>
      </c>
      <c r="E15" s="1024">
        <v>2004110128</v>
      </c>
      <c r="F15" s="1025">
        <v>47118</v>
      </c>
    </row>
    <row r="16" spans="1:6" ht="24" customHeight="1">
      <c r="A16" s="1703" t="s">
        <v>840</v>
      </c>
      <c r="B16" s="1024">
        <f ca="1">IF(C16&lt;B2,"已过期",1120140022)</f>
        <v>1120140022</v>
      </c>
      <c r="C16" s="2346">
        <v>44029</v>
      </c>
      <c r="D16" s="2349" t="s">
        <v>840</v>
      </c>
      <c r="E16" s="1024">
        <f ca="1">IF(F16&lt;B2,"已过期",2008110059)</f>
        <v>2008110059</v>
      </c>
      <c r="F16" s="1032">
        <v>47177</v>
      </c>
    </row>
    <row r="17" spans="1:7" ht="24" customHeight="1">
      <c r="A17" s="1703"/>
      <c r="B17" s="1024"/>
      <c r="C17" s="2346"/>
      <c r="D17" s="2349"/>
      <c r="E17" s="1024"/>
      <c r="F17" s="1032"/>
    </row>
    <row r="18" spans="1:7" ht="24" customHeight="1">
      <c r="A18" s="1703"/>
      <c r="B18" s="1024"/>
      <c r="C18" s="2346"/>
      <c r="D18" s="2349"/>
      <c r="E18" s="1024"/>
      <c r="F18" s="1032"/>
    </row>
    <row r="19" spans="1:7" ht="24" customHeight="1">
      <c r="A19" s="1703"/>
      <c r="B19" s="1024"/>
      <c r="C19" s="2346"/>
      <c r="D19" s="2349"/>
      <c r="E19" s="1024"/>
      <c r="F19" s="1024"/>
    </row>
    <row r="20" spans="1:7" ht="24" customHeight="1">
      <c r="A20" s="1703"/>
      <c r="B20" s="1024"/>
      <c r="C20" s="2346"/>
      <c r="D20" s="2349"/>
      <c r="E20" s="1024"/>
      <c r="F20" s="1024"/>
    </row>
    <row r="21" spans="1:7" ht="24" customHeight="1">
      <c r="A21" s="1703"/>
      <c r="B21" s="1024"/>
      <c r="C21" s="2346"/>
      <c r="D21" s="2349" t="s">
        <v>841</v>
      </c>
      <c r="E21" s="1024">
        <f ca="1">IF(F21&lt;B2,"已过期",2011110090)</f>
        <v>2011110090</v>
      </c>
      <c r="F21" s="1032">
        <v>48302</v>
      </c>
    </row>
    <row r="22" spans="1:7" ht="24" customHeight="1">
      <c r="A22" s="1703" t="s">
        <v>842</v>
      </c>
      <c r="B22" s="1024">
        <f ca="1">IF(C22&lt;B2,"已过期",1120020033)</f>
        <v>1120020033</v>
      </c>
      <c r="C22" s="2346">
        <v>43304</v>
      </c>
      <c r="D22" s="2349" t="s">
        <v>842</v>
      </c>
      <c r="E22" s="1024">
        <f ca="1">IF(F22&lt;B2,"已过期",2000110137)</f>
        <v>2000110137</v>
      </c>
      <c r="F22" s="1032">
        <v>46387</v>
      </c>
    </row>
    <row r="23" spans="1:7" ht="24" customHeight="1">
      <c r="A23" s="1703" t="s">
        <v>843</v>
      </c>
      <c r="B23" s="1024">
        <f ca="1">IF(C23&lt;B2,"已过期",1120130048)</f>
        <v>1120130048</v>
      </c>
      <c r="C23" s="2346">
        <v>43686</v>
      </c>
      <c r="D23" s="2349"/>
      <c r="E23" s="1024"/>
      <c r="F23" s="1024"/>
    </row>
    <row r="24" spans="1:7" s="1026" customFormat="1" ht="24" customHeight="1">
      <c r="A24" s="1704" t="s">
        <v>1328</v>
      </c>
      <c r="B24" s="1704" t="s">
        <v>1328</v>
      </c>
      <c r="C24" s="2347" t="s">
        <v>1328</v>
      </c>
      <c r="D24" s="2350" t="s">
        <v>1328</v>
      </c>
      <c r="E24" s="1704" t="s">
        <v>1328</v>
      </c>
      <c r="F24" s="1704" t="s">
        <v>1328</v>
      </c>
    </row>
    <row r="25" spans="1:7" ht="24" customHeight="1">
      <c r="A25" s="3012" t="s">
        <v>844</v>
      </c>
      <c r="B25" s="3012"/>
      <c r="C25" s="3012"/>
      <c r="D25" s="3012"/>
      <c r="E25" s="3012"/>
      <c r="F25" s="3012"/>
      <c r="G25" s="3012"/>
    </row>
    <row r="26" spans="1:7" s="1027" customFormat="1" ht="24" customHeight="1">
      <c r="A26" s="3013" t="s">
        <v>845</v>
      </c>
      <c r="B26" s="3013"/>
      <c r="C26" s="3014"/>
      <c r="D26" s="3015" t="s">
        <v>846</v>
      </c>
      <c r="E26" s="3013"/>
      <c r="F26" s="3013"/>
    </row>
    <row r="27" spans="1:7" s="1029" customFormat="1" ht="24" customHeight="1">
      <c r="A27" s="1028" t="s">
        <v>847</v>
      </c>
      <c r="B27" s="1023" t="s">
        <v>848</v>
      </c>
      <c r="C27" s="2345" t="s">
        <v>849</v>
      </c>
      <c r="D27" s="2353" t="s">
        <v>847</v>
      </c>
      <c r="E27" s="1023" t="s">
        <v>848</v>
      </c>
      <c r="F27" s="1023" t="s">
        <v>849</v>
      </c>
    </row>
    <row r="28" spans="1:7" s="1029" customFormat="1" ht="24" customHeight="1">
      <c r="A28" s="1030" t="s">
        <v>850</v>
      </c>
      <c r="B28" s="1031" t="s">
        <v>851</v>
      </c>
      <c r="C28" s="2351">
        <v>43725</v>
      </c>
      <c r="D28" s="2354" t="s">
        <v>852</v>
      </c>
      <c r="E28" s="1030" t="s">
        <v>853</v>
      </c>
      <c r="F28" s="1060">
        <v>44377</v>
      </c>
    </row>
    <row r="29" spans="1:7" s="1029" customFormat="1" ht="24" customHeight="1">
      <c r="A29" s="1030"/>
      <c r="B29" s="1030"/>
      <c r="C29" s="2352"/>
      <c r="D29" s="2354" t="s">
        <v>854</v>
      </c>
      <c r="E29" s="1204" t="s">
        <v>1379</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收益法-商业用房</vt:lpstr>
      <vt:lpstr>收益法 (元)</vt:lpstr>
      <vt:lpstr>收益法-酒店用房</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Sheet1</vt:lpstr>
      <vt:lpstr>估价师及机构信息!Print_Area</vt:lpstr>
      <vt:lpstr>'收益法 (元)'!Print_Area</vt:lpstr>
      <vt:lpstr>'收益法-酒店用房'!Print_Area</vt:lpstr>
      <vt:lpstr>'收益法-商业用房'!Print_Area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2018-04-18T02:02:45Z</dcterms:modified>
</cp:coreProperties>
</file>