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商业" sheetId="33"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29" i="43"/>
  <c r="D119" i="33" l="1"/>
  <c r="E119" i="33" s="1"/>
  <c r="F119" i="33" s="1"/>
  <c r="C15" i="4"/>
  <c r="F60" i="34" l="1"/>
  <c r="H60" i="34" s="1"/>
  <c r="E60" i="34"/>
  <c r="D60" i="34"/>
  <c r="C11" i="34"/>
  <c r="G11" i="34" s="1"/>
  <c r="I7" i="34"/>
  <c r="G7" i="34"/>
  <c r="I5" i="34"/>
  <c r="G5" i="34"/>
  <c r="E5" i="34"/>
  <c r="G37" i="34"/>
  <c r="I37" i="34"/>
  <c r="E37" i="34"/>
  <c r="G48" i="34"/>
  <c r="I48" i="34"/>
  <c r="E48" i="34"/>
  <c r="C37" i="34"/>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F5" i="61"/>
  <c r="F4" i="61"/>
  <c r="F3" i="61"/>
  <c r="D3" i="61"/>
  <c r="I1" i="61" l="1"/>
  <c r="B30" i="1" s="1"/>
  <c r="D6" i="61"/>
  <c r="D4"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O20" i="59"/>
  <c r="Y20" i="59" s="1"/>
  <c r="Z20" i="59" s="1"/>
  <c r="N20" i="59"/>
  <c r="X20" i="59" s="1"/>
  <c r="Q19" i="59"/>
  <c r="AB19" i="59" s="1"/>
  <c r="P19" i="59"/>
  <c r="O19" i="59"/>
  <c r="N19" i="59"/>
  <c r="D19" i="59"/>
  <c r="Q18" i="59"/>
  <c r="P18" i="59"/>
  <c r="O18" i="59"/>
  <c r="N18" i="59"/>
  <c r="Q17" i="59"/>
  <c r="P17" i="59"/>
  <c r="AA17" i="59" s="1"/>
  <c r="O17" i="59"/>
  <c r="N17" i="59"/>
  <c r="X17" i="59" s="1"/>
  <c r="Q16" i="59"/>
  <c r="P16" i="59"/>
  <c r="AA16" i="59" s="1"/>
  <c r="O16" i="59"/>
  <c r="N16" i="59"/>
  <c r="X16" i="59" s="1"/>
  <c r="Q15" i="59"/>
  <c r="AB15" i="59" s="1"/>
  <c r="P15" i="59"/>
  <c r="O15" i="59"/>
  <c r="N15" i="59"/>
  <c r="D15" i="59"/>
  <c r="Q14" i="59"/>
  <c r="P14" i="59"/>
  <c r="O14" i="59"/>
  <c r="N14" i="59"/>
  <c r="Q13" i="59"/>
  <c r="P13" i="59"/>
  <c r="O13" i="59"/>
  <c r="N13" i="59"/>
  <c r="Q12" i="59"/>
  <c r="P12" i="59"/>
  <c r="O12" i="59"/>
  <c r="N12" i="59"/>
  <c r="X12" i="59" s="1"/>
  <c r="Q11" i="59"/>
  <c r="F12" i="59" s="1"/>
  <c r="F13" i="59" s="1"/>
  <c r="F14" i="59" s="1"/>
  <c r="V14" i="59" s="1"/>
  <c r="P11" i="59"/>
  <c r="O11" i="59"/>
  <c r="N11" i="59"/>
  <c r="D11" i="59"/>
  <c r="O10" i="59"/>
  <c r="N10" i="59"/>
  <c r="AA12" i="59" l="1"/>
  <c r="X13" i="59"/>
  <c r="AA13" i="59"/>
  <c r="Y12" i="59"/>
  <c r="Z12" i="59" s="1"/>
  <c r="AB12" i="59"/>
  <c r="Y13" i="59"/>
  <c r="Z13" i="59" s="1"/>
  <c r="AB13" i="59"/>
  <c r="Y14" i="59"/>
  <c r="Z14" i="59" s="1"/>
  <c r="AB14" i="59"/>
  <c r="F16" i="59"/>
  <c r="F17" i="59" s="1"/>
  <c r="F18" i="59" s="1"/>
  <c r="V18" i="59" s="1"/>
  <c r="Y16" i="59"/>
  <c r="Z16" i="59" s="1"/>
  <c r="AB16" i="59"/>
  <c r="Y17" i="59"/>
  <c r="Z17" i="59" s="1"/>
  <c r="AB17" i="59"/>
  <c r="Y18" i="59"/>
  <c r="Z18" i="59" s="1"/>
  <c r="AB18" i="59"/>
  <c r="F20" i="59"/>
  <c r="F21" i="59" s="1"/>
  <c r="F22" i="59" s="1"/>
  <c r="V22" i="59" s="1"/>
  <c r="B25" i="59"/>
  <c r="B26" i="59" s="1"/>
  <c r="S26" i="59" s="1"/>
  <c r="E25" i="59"/>
  <c r="E26" i="59" s="1"/>
  <c r="U26" i="59" s="1"/>
  <c r="B29" i="59"/>
  <c r="B30" i="59" s="1"/>
  <c r="S30" i="59" s="1"/>
  <c r="E29" i="59"/>
  <c r="E30" i="59" s="1"/>
  <c r="U30" i="59" s="1"/>
  <c r="F45" i="59"/>
  <c r="F46" i="59" s="1"/>
  <c r="V46"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D12" i="59" s="1"/>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s="1"/>
  <c r="C99" i="43"/>
  <c r="C108" i="43" s="1"/>
  <c r="C100" i="43"/>
  <c r="I100" i="43"/>
  <c r="D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37" i="33" s="1"/>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F17" i="33"/>
  <c r="AA17" i="33" s="1"/>
  <c r="H15" i="33"/>
  <c r="AB15" i="33" s="1"/>
  <c r="AB11" i="33"/>
  <c r="AC27" i="40"/>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W30" i="33"/>
  <c r="AC14" i="34"/>
  <c r="J10" i="36"/>
  <c r="AC10" i="36" s="1"/>
  <c r="AB46" i="21"/>
  <c r="U14" i="21"/>
  <c r="AC14" i="21"/>
  <c r="U32" i="36"/>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S28" i="37"/>
  <c r="U39" i="37"/>
  <c r="AC8" i="37"/>
  <c r="W47" i="34"/>
  <c r="AA13" i="33"/>
  <c r="AA30" i="33"/>
  <c r="AC33" i="21"/>
  <c r="AB38" i="21"/>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U45" i="39"/>
  <c r="AB45" i="39"/>
  <c r="AB44" i="39"/>
  <c r="U44"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J12" i="36"/>
  <c r="W12" i="36" s="1"/>
  <c r="H12" i="36"/>
  <c r="AB12" i="36" s="1"/>
  <c r="AA9" i="39"/>
  <c r="S9" i="39"/>
  <c r="AB12" i="39"/>
  <c r="U12" i="39"/>
  <c r="J12" i="39"/>
  <c r="W12" i="39" s="1"/>
  <c r="F12" i="39"/>
  <c r="S12" i="39" s="1"/>
  <c r="R29" i="31"/>
  <c r="T29" i="31" s="1"/>
  <c r="F15" i="21"/>
  <c r="S15" i="21" s="1"/>
  <c r="AA30" i="21"/>
  <c r="J36" i="34"/>
  <c r="W36" i="34" s="1"/>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s="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8" i="33"/>
  <c r="AC38" i="33"/>
  <c r="J9" i="33"/>
  <c r="AC9" i="33" s="1"/>
  <c r="F9" i="33"/>
  <c r="AA9" i="33" s="1"/>
  <c r="F25" i="34"/>
  <c r="S25" i="34" s="1"/>
  <c r="E126" i="34"/>
  <c r="H44" i="34" s="1"/>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H51" i="43" s="1"/>
  <c r="A121" i="9"/>
  <c r="N5" i="43"/>
  <c r="F101" i="9"/>
  <c r="M4" i="43"/>
  <c r="F33" i="9"/>
  <c r="C25" i="57"/>
  <c r="N102" i="43"/>
  <c r="C102" i="43"/>
  <c r="K104" i="43"/>
  <c r="H106" i="43"/>
  <c r="E103" i="43"/>
  <c r="G4" i="47"/>
  <c r="W40" i="40"/>
  <c r="U15" i="37"/>
  <c r="AB24" i="36"/>
  <c r="H25" i="34"/>
  <c r="U25" i="34" s="1"/>
  <c r="AB35" i="39"/>
  <c r="AC40" i="37"/>
  <c r="AC36" i="37"/>
  <c r="S27" i="37"/>
  <c r="AA34" i="35"/>
  <c r="AB24" i="35"/>
  <c r="J17" i="34"/>
  <c r="AC17" i="34" s="1"/>
  <c r="F17" i="34"/>
  <c r="AA17" i="34" s="1"/>
  <c r="H27" i="33"/>
  <c r="AB27" i="33" s="1"/>
  <c r="F43" i="33"/>
  <c r="S43" i="33" s="1"/>
  <c r="F125" i="33"/>
  <c r="G125" i="33" s="1"/>
  <c r="J43" i="33"/>
  <c r="AC43" i="33" s="1"/>
  <c r="AB31" i="21"/>
  <c r="AA29" i="21"/>
  <c r="W29" i="21"/>
  <c r="H27" i="36"/>
  <c r="AB27" i="36" s="1"/>
  <c r="F27" i="36"/>
  <c r="AA27" i="36" s="1"/>
  <c r="J28" i="34"/>
  <c r="W28" i="34" s="1"/>
  <c r="AB34" i="21"/>
  <c r="H11" i="34"/>
  <c r="U11" i="34" s="1"/>
  <c r="S17" i="37"/>
  <c r="J11" i="37"/>
  <c r="AC11" i="37" s="1"/>
  <c r="AB13" i="21"/>
  <c r="U38" i="40"/>
  <c r="F23" i="39"/>
  <c r="AA23" i="39" s="1"/>
  <c r="F97" i="39"/>
  <c r="G97" i="39" s="1"/>
  <c r="F126" i="34"/>
  <c r="G126" i="34" s="1"/>
  <c r="U31" i="37"/>
  <c r="W27" i="37"/>
  <c r="H60" i="37"/>
  <c r="I60" i="37" s="1"/>
  <c r="H10" i="37"/>
  <c r="U10" i="37" s="1"/>
  <c r="S24" i="35"/>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B9" i="36" l="1"/>
  <c r="U9" i="36"/>
  <c r="AB23" i="36"/>
  <c r="U23" i="36"/>
  <c r="W37" i="39"/>
  <c r="AC37" i="39"/>
  <c r="U23" i="39"/>
  <c r="S31" i="21"/>
  <c r="S40" i="21"/>
  <c r="S24" i="36"/>
  <c r="AC37" i="37"/>
  <c r="AC12" i="39"/>
  <c r="AA12" i="37"/>
  <c r="D103" i="43"/>
  <c r="G103" i="43"/>
  <c r="AC15" i="21"/>
  <c r="S23" i="21"/>
  <c r="AB30" i="34"/>
  <c r="F37" i="47"/>
  <c r="B35" i="47" s="1"/>
  <c r="AB37" i="21"/>
  <c r="W38" i="37"/>
  <c r="AA23" i="37"/>
  <c r="U31" i="33"/>
  <c r="AC13" i="36"/>
  <c r="AA44" i="33"/>
  <c r="AA39" i="37"/>
  <c r="U33" i="21"/>
  <c r="C21" i="39"/>
  <c r="W8" i="21"/>
  <c r="J12" i="21"/>
  <c r="AC12" i="21" s="1"/>
  <c r="H12" i="35"/>
  <c r="U12" i="35" s="1"/>
  <c r="F9" i="36"/>
  <c r="F25" i="37"/>
  <c r="Y27" i="31"/>
  <c r="L100" i="43"/>
  <c r="AA12" i="21"/>
  <c r="S12" i="21"/>
  <c r="W12" i="35"/>
  <c r="AC12" i="35"/>
  <c r="U12" i="37"/>
  <c r="AB12" i="37"/>
  <c r="U25" i="37"/>
  <c r="AB25" i="37"/>
  <c r="AB27" i="37"/>
  <c r="J44" i="34"/>
  <c r="AC44" i="34" s="1"/>
  <c r="F44" i="34"/>
  <c r="S44" i="34" s="1"/>
  <c r="S26" i="37"/>
  <c r="S45" i="21"/>
  <c r="AC27" i="21"/>
  <c r="C106" i="9"/>
  <c r="H102" i="9" s="1"/>
  <c r="B103" i="9"/>
  <c r="AB21" i="39"/>
  <c r="C113" i="57"/>
  <c r="H108" i="57" s="1"/>
  <c r="AB25" i="39"/>
  <c r="S13" i="40"/>
  <c r="S11" i="33"/>
  <c r="AC31" i="33"/>
  <c r="W14" i="33"/>
  <c r="U23" i="37"/>
  <c r="S46" i="33"/>
  <c r="AC32" i="34"/>
  <c r="W28" i="37"/>
  <c r="AB14" i="33"/>
  <c r="W13" i="35"/>
  <c r="AB39" i="39"/>
  <c r="H12" i="21"/>
  <c r="AB12" i="21" s="1"/>
  <c r="J42" i="33"/>
  <c r="AC42" i="33" s="1"/>
  <c r="F15" i="34"/>
  <c r="AA15" i="34" s="1"/>
  <c r="F12" i="35"/>
  <c r="S12" i="35" s="1"/>
  <c r="J36" i="35"/>
  <c r="AC36" i="35" s="1"/>
  <c r="J25" i="37"/>
  <c r="AC25" i="37" s="1"/>
  <c r="F44" i="39"/>
  <c r="D4" i="47"/>
  <c r="V27" i="31"/>
  <c r="X27" i="31"/>
  <c r="X25" i="31" s="1"/>
  <c r="N100" i="43"/>
  <c r="J100" i="43"/>
  <c r="I20" i="58"/>
  <c r="F4" i="47"/>
  <c r="B2" i="47" s="1"/>
  <c r="G111" i="33"/>
  <c r="H111" i="33" s="1"/>
  <c r="I111" i="33" s="1"/>
  <c r="J111" i="33" s="1"/>
  <c r="K111" i="33" s="1"/>
  <c r="L111" i="33" s="1"/>
  <c r="M111" i="33" s="1"/>
  <c r="F36" i="33"/>
  <c r="S36" i="33" s="1"/>
  <c r="H36" i="33"/>
  <c r="U36" i="33" s="1"/>
  <c r="J36" i="33"/>
  <c r="S37" i="33"/>
  <c r="AA37" i="33"/>
  <c r="U40" i="33"/>
  <c r="AB43" i="33"/>
  <c r="AA41" i="33"/>
  <c r="S34" i="33"/>
  <c r="AA35" i="33"/>
  <c r="AC34" i="33"/>
  <c r="AB28" i="33"/>
  <c r="S26" i="33"/>
  <c r="W28" i="33"/>
  <c r="AA27" i="33"/>
  <c r="S25" i="33"/>
  <c r="W23" i="33"/>
  <c r="AB23" i="33"/>
  <c r="AB10" i="33"/>
  <c r="W10" i="33"/>
  <c r="G20" i="43"/>
  <c r="U8" i="33"/>
  <c r="S8" i="33"/>
  <c r="M105" i="43"/>
  <c r="F107" i="43"/>
  <c r="F15" i="47"/>
  <c r="B13" i="47" s="1"/>
  <c r="AC9" i="35"/>
  <c r="W9" i="35"/>
  <c r="W12" i="40"/>
  <c r="AC12" i="40"/>
  <c r="D1" i="58"/>
  <c r="E10" i="58" s="1"/>
  <c r="U34" i="36"/>
  <c r="AB34" i="36"/>
  <c r="AB33" i="36"/>
  <c r="U33" i="36"/>
  <c r="AB14" i="37"/>
  <c r="U14" i="37"/>
  <c r="AB45" i="33"/>
  <c r="AC11" i="36"/>
  <c r="S14" i="33"/>
  <c r="S47" i="34"/>
  <c r="F7" i="15"/>
  <c r="C6" i="15" s="1"/>
  <c r="B30" i="9"/>
  <c r="E13" i="1"/>
  <c r="C8" i="11" s="1"/>
  <c r="H100" i="43"/>
  <c r="M100" i="43"/>
  <c r="E100" i="43"/>
  <c r="C30" i="58"/>
  <c r="E26" i="58" s="1"/>
  <c r="F10" i="34"/>
  <c r="S10" i="34" s="1"/>
  <c r="F43" i="34"/>
  <c r="AA43" i="34" s="1"/>
  <c r="F11" i="34"/>
  <c r="F19" i="34"/>
  <c r="AA19" i="34" s="1"/>
  <c r="F23" i="34"/>
  <c r="AA23" i="34" s="1"/>
  <c r="F9" i="35"/>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6" l="1"/>
  <c r="S9" i="36"/>
  <c r="AA25" i="37"/>
  <c r="S25" i="37"/>
  <c r="C23" i="43"/>
  <c r="S6" i="43"/>
  <c r="S19" i="34"/>
  <c r="AA44" i="39"/>
  <c r="S44" i="39"/>
  <c r="C20" i="43"/>
  <c r="C29" i="43" s="1"/>
  <c r="AC36" i="33"/>
  <c r="W36" i="33"/>
  <c r="S3" i="43"/>
  <c r="S7" i="43"/>
  <c r="S2" i="43"/>
  <c r="S4" i="43"/>
  <c r="S5" i="43"/>
  <c r="C6" i="43"/>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E81" i="43" s="1"/>
  <c r="B79" i="43" s="1"/>
  <c r="C24" i="43" s="1"/>
  <c r="H84" i="43"/>
  <c r="C5" i="43"/>
  <c r="I55" i="15"/>
  <c r="J54" i="15"/>
  <c r="G43" i="35"/>
  <c r="H43" i="35" s="1"/>
  <c r="B2" i="31"/>
  <c r="C33" i="57" s="1"/>
  <c r="H124" i="57" s="1"/>
  <c r="I103" i="57" s="1"/>
  <c r="I113" i="57" s="1"/>
  <c r="I104" i="57"/>
  <c r="C107" i="57"/>
  <c r="Q59" i="15"/>
  <c r="F7" i="33"/>
  <c r="AA7" i="33" s="1"/>
  <c r="R48" i="33" s="1"/>
  <c r="R39" i="35"/>
  <c r="C38" i="35" s="1"/>
  <c r="D110" i="57"/>
  <c r="D25" i="12"/>
  <c r="C26" i="11"/>
  <c r="D22" i="11" s="1"/>
  <c r="C24" i="11"/>
  <c r="H7" i="36"/>
  <c r="U7" i="36" s="1"/>
  <c r="C49" i="15"/>
  <c r="J7" i="33"/>
  <c r="W7" i="33" s="1"/>
  <c r="D41" i="11"/>
  <c r="C11" i="12"/>
  <c r="C34" i="11"/>
  <c r="C14" i="15"/>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30" i="43"/>
  <c r="G36" i="43"/>
  <c r="I36" i="43" s="1"/>
  <c r="E36" i="43"/>
  <c r="G35" i="43"/>
  <c r="I35" i="43" s="1"/>
  <c r="E35" i="43"/>
  <c r="E33" i="43"/>
  <c r="G33" i="43"/>
  <c r="I33" i="43" s="1"/>
  <c r="D133" i="57"/>
  <c r="C7" i="11" l="1"/>
  <c r="C5" i="11" s="1"/>
  <c r="L64" i="57"/>
  <c r="M64" i="57" s="1"/>
  <c r="L66" i="57"/>
  <c r="M66" i="57" s="1"/>
  <c r="E30" i="43"/>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0" i="11" l="1"/>
  <c r="C23" i="11"/>
  <c r="C27" i="43"/>
  <c r="D30" i="9"/>
  <c r="C38" i="9"/>
  <c r="C82" i="57"/>
  <c r="C98" i="57"/>
  <c r="D59" i="57" s="1"/>
  <c r="D57" i="57" s="1"/>
  <c r="M55" i="57" s="1"/>
  <c r="N70" i="57"/>
  <c r="M57" i="57"/>
  <c r="N58" i="57" s="1"/>
  <c r="C43" i="11"/>
  <c r="C41" i="11" s="1"/>
  <c r="C32" i="12"/>
  <c r="B2" i="12" s="1"/>
  <c r="C46" i="11"/>
  <c r="C45" i="11" s="1"/>
  <c r="C26" i="15"/>
  <c r="C29" i="15" s="1"/>
  <c r="J60" i="15" s="1"/>
  <c r="J61" i="15" s="1"/>
  <c r="J68" i="39"/>
  <c r="I70" i="39"/>
  <c r="J63" i="40"/>
  <c r="I65" i="40"/>
  <c r="C28" i="11" l="1"/>
  <c r="C27" i="11" s="1"/>
  <c r="C25" i="11"/>
  <c r="C22" i="11"/>
  <c r="C30" i="9"/>
  <c r="C25" i="9" s="1"/>
  <c r="C24" i="9"/>
  <c r="D111" i="9"/>
  <c r="I108" i="9"/>
  <c r="Q46" i="15"/>
  <c r="C49" i="11"/>
  <c r="C51" i="11" s="1"/>
  <c r="P58" i="57"/>
  <c r="N59" i="57"/>
  <c r="N60" i="57"/>
  <c r="B3" i="12"/>
  <c r="C13" i="15"/>
  <c r="Q47" i="15"/>
  <c r="J19" i="15"/>
  <c r="J17" i="15" s="1"/>
  <c r="C33" i="15"/>
  <c r="C31" i="15" s="1"/>
  <c r="J14" i="15"/>
  <c r="C58" i="15"/>
  <c r="C36" i="15"/>
  <c r="K68" i="39"/>
  <c r="J70" i="39"/>
  <c r="K63" i="40"/>
  <c r="J65" i="40"/>
  <c r="D20" i="57"/>
  <c r="C31" i="11" l="1"/>
  <c r="C52" i="11" s="1"/>
  <c r="B3" i="11" s="1"/>
  <c r="D108" i="9"/>
  <c r="I105" i="9"/>
  <c r="D35" i="50"/>
  <c r="D14" i="50"/>
  <c r="B28" i="60"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56" i="11" l="1"/>
  <c r="C57" i="11" s="1"/>
  <c r="D31" i="50"/>
  <c r="D32" i="50" s="1"/>
  <c r="D123" i="9"/>
  <c r="D10" i="50"/>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C20" i="57"/>
  <c r="E2" i="33"/>
  <c r="E2" i="21"/>
  <c r="E2" i="35"/>
  <c r="C19" i="57"/>
  <c r="E2" i="11"/>
  <c r="E2" i="34"/>
  <c r="E2" i="36"/>
  <c r="E2" i="37"/>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l="1"/>
  <c r="H14" i="62"/>
  <c r="B7" i="62" s="1"/>
  <c r="D128" i="9"/>
  <c r="D11" i="52" s="1"/>
  <c r="D20" i="50"/>
  <c r="D19" i="50"/>
  <c r="B32" i="60" s="1"/>
  <c r="B31" i="60"/>
  <c r="C7" i="62" l="1"/>
  <c r="D7" i="62"/>
  <c r="I114" i="9"/>
  <c r="D116" i="9"/>
  <c r="D129" i="9" l="1"/>
  <c r="D21" i="50"/>
  <c r="D42" i="50"/>
  <c r="D43" i="50" s="1"/>
  <c r="D12" i="52" l="1"/>
  <c r="I14" i="62"/>
  <c r="B8" i="62" s="1"/>
  <c r="D22" i="50"/>
  <c r="B35" i="60" s="1"/>
  <c r="B33" i="60"/>
  <c r="D8" i="62" l="1"/>
  <c r="C8" i="62"/>
  <c r="H121" i="9"/>
  <c r="I121" i="9" s="1"/>
  <c r="I4" i="52" s="1"/>
  <c r="F121" i="9"/>
  <c r="G121" i="9" s="1"/>
  <c r="G4" i="52" s="1"/>
  <c r="B41" i="60" s="1"/>
  <c r="D121" i="9"/>
  <c r="E121" i="9" s="1"/>
  <c r="E4" i="52" s="1"/>
  <c r="B38" i="60" s="1"/>
  <c r="C104" i="9" l="1"/>
  <c r="D107" i="9"/>
  <c r="I103" i="9"/>
  <c r="D30" i="50" s="1"/>
  <c r="I102" i="9"/>
  <c r="D14" i="62"/>
  <c r="D106" i="9"/>
  <c r="D112" i="9" s="1"/>
  <c r="D117" i="9" s="1"/>
  <c r="H4" i="52"/>
  <c r="C103" i="9"/>
  <c r="H122" i="9"/>
  <c r="H5" i="52" s="1"/>
  <c r="D122" i="9"/>
  <c r="D5" i="52" s="1"/>
  <c r="B39" i="60" s="1"/>
  <c r="D4" i="52"/>
  <c r="B37" i="60" s="1"/>
  <c r="F122" i="9"/>
  <c r="F5" i="52" s="1"/>
  <c r="B42" i="60" s="1"/>
  <c r="F4" i="52"/>
  <c r="B40" i="60" s="1"/>
  <c r="D9" i="50" l="1"/>
  <c r="B21" i="60" s="1"/>
  <c r="I110" i="9"/>
  <c r="D125" i="9" s="1"/>
  <c r="D28" i="50"/>
  <c r="D29" i="50" s="1"/>
  <c r="M48" i="9"/>
  <c r="D7" i="50"/>
  <c r="B19" i="60" s="1"/>
  <c r="D45" i="9"/>
  <c r="C64" i="9" s="1"/>
  <c r="C63" i="9" s="1"/>
  <c r="C67" i="9" s="1"/>
  <c r="C68" i="9" s="1"/>
  <c r="D54" i="9" s="1"/>
  <c r="E14" i="62"/>
  <c r="F14" i="62"/>
  <c r="B5" i="62"/>
  <c r="C78" i="9"/>
  <c r="C73" i="9" s="1"/>
  <c r="D55" i="9"/>
  <c r="M53" i="9" s="1"/>
  <c r="D59" i="9"/>
  <c r="M55" i="9" s="1"/>
  <c r="D113" i="9"/>
  <c r="I111" i="9" s="1"/>
  <c r="C72" i="9"/>
  <c r="C93" i="9"/>
  <c r="C86" i="9" s="1"/>
  <c r="D44" i="50"/>
  <c r="I115" i="9"/>
  <c r="D23" i="50" s="1"/>
  <c r="B34" i="60" s="1"/>
  <c r="D53" i="9" l="1"/>
  <c r="D48" i="9" s="1"/>
  <c r="M52" i="9" s="1"/>
  <c r="D52" i="9"/>
  <c r="C85" i="9"/>
  <c r="D8" i="50"/>
  <c r="B22" i="60" s="1"/>
  <c r="G14" i="62"/>
  <c r="B6" i="62" s="1"/>
  <c r="C6" i="62" s="1"/>
  <c r="D8" i="52"/>
  <c r="M49" i="9"/>
  <c r="D36" i="50"/>
  <c r="D37" i="50" s="1"/>
  <c r="D15" i="50"/>
  <c r="D6" i="62"/>
  <c r="C5" i="62"/>
  <c r="D5" i="62"/>
  <c r="D38" i="50"/>
  <c r="B62" i="60" s="1"/>
  <c r="C95" i="9"/>
  <c r="C96" i="9" s="1"/>
  <c r="E96" i="9" s="1"/>
  <c r="E97" i="9" s="1"/>
  <c r="C79" i="9"/>
  <c r="C80" i="9" s="1"/>
  <c r="E80" i="9" s="1"/>
  <c r="E81" i="9" s="1"/>
  <c r="D17" i="50"/>
  <c r="D126" i="9"/>
  <c r="D9" i="52" s="1"/>
  <c r="L68" i="9" l="1"/>
  <c r="M68" i="9" s="1"/>
  <c r="L64" i="9"/>
  <c r="M64" i="9" s="1"/>
  <c r="L65" i="9"/>
  <c r="M65" i="9" s="1"/>
  <c r="L66" i="9"/>
  <c r="M66" i="9" s="1"/>
  <c r="L67" i="9"/>
  <c r="M67" i="9" s="1"/>
  <c r="L63" i="9"/>
  <c r="M63" i="9" s="1"/>
  <c r="M69" i="9" s="1"/>
  <c r="N69" i="9" s="1"/>
  <c r="D16" i="50"/>
  <c r="B30" i="60" s="1"/>
  <c r="B29" i="60"/>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<sst xmlns="http://schemas.openxmlformats.org/spreadsheetml/2006/main" count="7022" uniqueCount="2937">
  <si>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</si>
  <si>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</si>
  <si>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</si>
  <si>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</si>
  <si>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</si>
  <si>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</si>
  <si>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</si>
  <si>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</si>
  <si>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</si>
  <si>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</si>
  <si>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</si>
  <si>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</si>
  <si>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</si>
  <si>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</si>
  <si>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</si>
  <si>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</si>
  <si>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</si>
  <si>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</si>
  <si>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</si>
  <si>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</si>
  <si>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</si>
  <si>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</si>
  <si>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</si>
  <si>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</si>
  <si>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</si>
  <si>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</si>
  <si>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</si>
  <si>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</si>
  <si>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</si>
  <si>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</si>
  <si>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</si>
  <si>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</si>
  <si>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</si>
  <si>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</si>
  <si>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</si>
  <si>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</si>
  <si>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</si>
  <si>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</si>
  <si>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</si>
  <si>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</si>
  <si>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</si>
  <si>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</si>
  <si>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</si>
  <si>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</si>
  <si>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</si>
  <si>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</si>
  <si>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</si>
  <si>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</si>
  <si>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</si>
  <si>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</si>
  <si>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</si>
  <si>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</si>
  <si>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</si>
  <si>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</si>
  <si>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</si>
  <si>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</si>
  <si>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</si>
  <si>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</si>
  <si>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</si>
  <si>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</si>
  <si>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</si>
  <si>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</si>
  <si>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</si>
  <si>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</si>
  <si>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</si>
  <si>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</si>
  <si>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</si>
  <si>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</si>
  <si>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</si>
  <si>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</si>
  <si>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</si>
  <si>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</si>
  <si>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</si>
  <si>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</si>
  <si>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</si>
  <si>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</si>
  <si>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</si>
  <si>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</si>
  <si>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</si>
  <si>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</si>
  <si>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</si>
  <si>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</si>
  <si>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</si>
  <si>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</si>
  <si>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</si>
  <si>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</si>
  <si>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</si>
  <si>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</si>
  <si>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</si>
  <si>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</si>
  <si>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</si>
  <si>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</si>
  <si>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</si>
  <si>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</si>
  <si>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</si>
  <si>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</si>
  <si>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</si>
  <si>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</si>
  <si>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</si>
  <si>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</si>
  <si>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</si>
  <si>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</si>
  <si>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</si>
  <si>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</si>
  <si>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</si>
  <si>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</si>
  <si>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</si>
  <si>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</si>
  <si>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</si>
  <si>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</si>
  <si>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</si>
  <si>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</si>
  <si>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</si>
  <si>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</si>
  <si>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</si>
  <si>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</si>
  <si>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</si>
  <si>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</si>
  <si>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</si>
  <si>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</si>
  <si>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</si>
  <si>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</si>
  <si>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</si>
  <si>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</si>
  <si>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</si>
  <si>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</si>
  <si>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</si>
  <si>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</si>
  <si>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</si>
  <si>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</si>
  <si>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</si>
  <si>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</si>
  <si>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</si>
  <si>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</si>
  <si>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</si>
  <si>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</si>
  <si>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</si>
  <si>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</si>
  <si>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</si>
  <si>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</si>
  <si>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</si>
  <si>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</si>
  <si>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</si>
  <si>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</si>
  <si>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</si>
  <si>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</si>
  <si>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</si>
  <si>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</si>
  <si>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</si>
  <si>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</si>
  <si>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</si>
  <si>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</si>
  <si>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</si>
  <si>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</si>
  <si>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</si>
  <si>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</si>
  <si>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</si>
  <si>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</si>
  <si>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</si>
  <si>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</si>
  <si>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</si>
  <si>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</si>
  <si>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</si>
  <si>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</si>
  <si>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</si>
  <si>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</si>
  <si>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</si>
  <si>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</si>
  <si>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</si>
  <si>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</si>
  <si>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</si>
  <si>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</si>
  <si>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</si>
  <si>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</si>
  <si>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</si>
  <si>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</si>
  <si>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</si>
  <si>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</si>
  <si>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</si>
  <si>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</si>
  <si>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</si>
  <si>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</si>
  <si>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</si>
  <si>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</si>
  <si>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</si>
  <si>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</si>
  <si>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</si>
  <si>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</si>
  <si>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</si>
  <si>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</si>
  <si>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</si>
  <si>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</si>
  <si>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</si>
  <si>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</si>
  <si>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</si>
  <si>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</si>
  <si>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</si>
  <si>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</si>
  <si>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</si>
  <si>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</si>
  <si>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</si>
  <si>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</si>
  <si>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</si>
  <si>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</si>
  <si>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</si>
  <si>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</si>
  <si>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</si>
  <si>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</si>
  <si>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</si>
  <si>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</si>
  <si>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</si>
  <si>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</si>
  <si>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</si>
  <si>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</si>
  <si>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</si>
  <si>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</si>
  <si>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</si>
  <si>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</si>
  <si>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</si>
  <si>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</si>
  <si>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</si>
  <si>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</si>
  <si>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</si>
  <si>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</si>
  <si>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</si>
  <si>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</si>
  <si>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</si>
  <si>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</si>
  <si>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</si>
  <si>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</si>
  <si>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</si>
  <si>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</si>
  <si>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</si>
  <si>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</si>
  <si>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</si>
  <si>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</si>
  <si>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</si>
  <si>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</si>
  <si>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</si>
  <si>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</si>
  <si>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</si>
  <si>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</si>
  <si>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</si>
  <si>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</si>
  <si>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</si>
  <si>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</si>
  <si>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</si>
  <si>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</si>
  <si>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</si>
  <si>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</si>
  <si>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</si>
  <si>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</si>
  <si>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</si>
  <si>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</si>
  <si>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</si>
  <si>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</si>
  <si>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</si>
  <si>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</si>
  <si>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</si>
  <si>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</si>
  <si>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</si>
  <si>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</si>
  <si>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</si>
  <si>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</si>
  <si>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</si>
  <si>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</si>
  <si>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</si>
  <si>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</si>
  <si>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</si>
  <si>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</si>
  <si>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</si>
  <si>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</si>
  <si>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</si>
  <si>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</si>
  <si>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</si>
  <si>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</si>
  <si>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</si>
  <si>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</si>
  <si>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</si>
  <si>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</si>
  <si>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</si>
  <si>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</si>
  <si>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</si>
  <si>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</si>
  <si>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</si>
  <si>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</si>
  <si>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</si>
  <si>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</si>
  <si>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</si>
  <si>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</si>
  <si>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</si>
  <si>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</si>
  <si>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</si>
  <si>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</si>
  <si>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</si>
  <si>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</si>
  <si>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</si>
  <si>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</si>
  <si>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</si>
  <si>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</si>
  <si>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</si>
  <si>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</si>
  <si>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</si>
  <si>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</si>
  <si>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</si>
  <si>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</si>
  <si>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</si>
  <si>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</si>
  <si>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</si>
  <si>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</si>
  <si>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</si>
  <si>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</si>
  <si>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</si>
  <si>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</si>
  <si>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</si>
  <si>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</si>
  <si>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</si>
  <si>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</si>
  <si>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</si>
  <si>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</si>
  <si>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</si>
  <si>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</si>
  <si>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</si>
  <si>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</si>
  <si>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</si>
  <si>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</si>
  <si>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</si>
  <si>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</si>
  <si>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</si>
  <si>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</si>
  <si>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</si>
  <si>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</si>
  <si>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</si>
  <si>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</si>
  <si>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</si>
  <si>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</si>
  <si>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</si>
  <si>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</si>
  <si>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</si>
  <si>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</si>
  <si>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</si>
  <si>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</si>
  <si>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</si>
  <si>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</si>
  <si>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</si>
  <si>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</si>
  <si>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</si>
  <si>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</si>
  <si>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</si>
  <si>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</si>
  <si>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</si>
  <si>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</si>
  <si>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</si>
  <si>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</si>
  <si>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</si>
  <si>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</si>
  <si>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</si>
  <si>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</si>
  <si>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</si>
  <si>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</si>
  <si>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</si>
  <si>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</si>
  <si>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</si>
  <si>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</si>
  <si>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</si>
  <si>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</si>
  <si>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</si>
  <si>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</si>
  <si>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</si>
  <si>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</si>
  <si>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</si>
  <si>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</si>
  <si>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</si>
  <si>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</si>
  <si>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</si>
  <si>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</si>
  <si>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</si>
  <si>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</si>
  <si>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</si>
  <si>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</si>
  <si>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</si>
  <si>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</si>
  <si>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</si>
  <si>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</si>
  <si>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</si>
  <si>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</si>
  <si>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</si>
  <si>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</si>
  <si>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</si>
  <si>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</si>
  <si>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</si>
  <si>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</si>
  <si>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</si>
  <si>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</si>
  <si>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</si>
  <si>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</si>
  <si>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</si>
  <si>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</si>
  <si>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</si>
  <si>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</si>
  <si>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</si>
  <si>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</si>
  <si>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</si>
  <si>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</si>
  <si>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</si>
  <si>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</si>
  <si>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</si>
  <si>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</si>
  <si>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</si>
  <si>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</si>
  <si>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</si>
  <si>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</si>
  <si>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</si>
  <si>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</si>
  <si>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</si>
  <si>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</si>
  <si>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</si>
  <si>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</si>
  <si>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</si>
  <si>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</si>
  <si>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</si>
  <si>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</si>
  <si>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</si>
  <si>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</si>
  <si>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</si>
  <si>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</si>
  <si>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</si>
  <si>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</si>
  <si>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</si>
  <si>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</si>
  <si>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</si>
  <si>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</si>
  <si>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</si>
  <si>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</si>
  <si>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</si>
  <si>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</si>
  <si>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</si>
  <si>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</si>
  <si>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</si>
  <si>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</si>
  <si>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</si>
  <si>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</si>
  <si>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</si>
  <si>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</si>
  <si>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</si>
  <si>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</si>
  <si>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</si>
  <si>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</si>
  <si>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</si>
  <si>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</si>
  <si>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</si>
  <si>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</si>
  <si>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</si>
  <si>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</si>
  <si>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</si>
  <si>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</si>
  <si>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</si>
  <si>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</si>
  <si>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</si>
  <si>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</si>
  <si>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</si>
  <si>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</si>
  <si>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</si>
  <si>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</si>
  <si>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</si>
  <si>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</si>
  <si>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</si>
  <si>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</si>
  <si>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</si>
  <si>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</si>
  <si>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</si>
  <si>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</si>
  <si>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</si>
  <si>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</si>
  <si>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</si>
  <si>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</si>
  <si>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</si>
  <si>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</si>
  <si>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</si>
  <si>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</si>
  <si>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</si>
  <si>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</si>
  <si>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</si>
  <si>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</si>
  <si>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</si>
  <si>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</si>
  <si>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</si>
  <si>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</si>
  <si>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</si>
  <si>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</si>
  <si>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</si>
  <si>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</si>
  <si>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</si>
  <si>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</si>
  <si>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</si>
  <si>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</si>
  <si>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</si>
  <si>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</si>
  <si>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</si>
  <si>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</si>
  <si>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</si>
  <si>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</si>
  <si>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</si>
  <si>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</si>
  <si>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</si>
  <si>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</si>
  <si>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</si>
  <si>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</si>
  <si>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</si>
  <si>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</si>
  <si>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</si>
  <si>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</si>
  <si>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</si>
  <si>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</si>
  <si>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</si>
  <si>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</si>
  <si>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</si>
  <si>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</si>
  <si>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</si>
  <si>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</si>
  <si>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</si>
  <si>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</si>
  <si>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</si>
  <si>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</si>
  <si>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</si>
  <si>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</si>
  <si>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</si>
  <si>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</si>
  <si>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</si>
  <si>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</si>
  <si>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</si>
  <si>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</si>
  <si>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</si>
  <si>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</si>
  <si>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</si>
  <si>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</si>
  <si>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</si>
  <si>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</si>
  <si>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</si>
  <si>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</si>
  <si>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</si>
  <si>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</si>
  <si>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</si>
  <si>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</si>
  <si>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</si>
  <si>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</si>
  <si>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</si>
  <si>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</si>
  <si>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</si>
  <si>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</si>
  <si>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</si>
  <si>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</si>
  <si>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</si>
  <si>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</si>
  <si>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</si>
  <si>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</si>
  <si>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</si>
  <si>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</si>
  <si>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</si>
  <si>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</si>
  <si>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</si>
  <si>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</si>
  <si>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</si>
  <si>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</si>
  <si>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</si>
  <si>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</si>
  <si>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</si>
  <si>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</si>
  <si>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</si>
  <si>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</si>
  <si>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</si>
  <si>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</si>
  <si>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</si>
  <si>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</si>
  <si>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</si>
  <si>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</si>
  <si>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</si>
  <si>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</si>
  <si>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</si>
  <si>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</si>
  <si>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</si>
  <si>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</si>
  <si>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</si>
  <si>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</si>
  <si>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</si>
  <si>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</si>
  <si>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</si>
  <si>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</si>
  <si>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</si>
  <si>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</si>
  <si>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</si>
  <si>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</si>
  <si>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</si>
  <si>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</si>
  <si>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</si>
  <si>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</si>
  <si>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</si>
  <si>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</si>
  <si>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</si>
  <si>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</si>
  <si>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</si>
  <si>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</si>
  <si>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</si>
  <si>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</si>
  <si>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</si>
  <si>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</si>
  <si>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</si>
  <si>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</si>
  <si>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</si>
  <si>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</si>
  <si>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</si>
  <si>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</si>
  <si>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</si>
  <si>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</si>
  <si>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</si>
  <si>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</si>
  <si>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</si>
  <si>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</si>
  <si>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</si>
  <si>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</si>
  <si>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</si>
  <si>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</si>
  <si>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</si>
  <si>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</si>
  <si>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</si>
  <si>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</si>
  <si>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</si>
  <si>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</si>
  <si>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</si>
  <si>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</si>
  <si>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</si>
  <si>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</si>
  <si>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</si>
  <si>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</si>
  <si>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</si>
  <si>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</si>
  <si>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</si>
  <si>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</si>
  <si>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</si>
  <si>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</si>
  <si>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</si>
  <si>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</si>
  <si>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</si>
  <si>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</si>
  <si>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</si>
  <si>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</si>
  <si>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</si>
  <si>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</si>
  <si>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</si>
  <si>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</si>
  <si>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</si>
  <si>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</si>
  <si>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</si>
  <si>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</si>
  <si>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</si>
  <si>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</si>
  <si>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</si>
  <si>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</si>
  <si>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</si>
  <si>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</si>
  <si>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</si>
  <si>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</si>
  <si>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</si>
  <si>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</si>
  <si>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</si>
  <si>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</si>
  <si>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</si>
  <si>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</si>
  <si>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</si>
  <si>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</si>
  <si>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</si>
  <si>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</si>
  <si>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</si>
  <si>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</si>
  <si>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</si>
  <si>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</si>
  <si>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</si>
  <si>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</si>
  <si>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</si>
  <si>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</si>
  <si>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</si>
  <si>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</si>
  <si>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</si>
  <si>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</si>
  <si>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</si>
  <si>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</si>
  <si>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</si>
  <si>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</si>
  <si>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</si>
  <si>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</si>
  <si>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</si>
  <si>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</si>
  <si>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</si>
  <si>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</si>
  <si>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</si>
  <si>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</si>
  <si>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</si>
  <si>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</si>
  <si>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</si>
  <si>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</si>
  <si>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</si>
  <si>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</si>
  <si>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</si>
  <si>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</si>
  <si>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</si>
  <si>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</si>
  <si>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</si>
  <si>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</si>
  <si>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</si>
  <si>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</si>
  <si>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</si>
  <si>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</si>
  <si>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</si>
  <si>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</si>
  <si>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</si>
  <si>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</si>
  <si>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</si>
  <si>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</si>
  <si>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</si>
  <si>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</si>
  <si>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</si>
  <si>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</si>
  <si>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</si>
  <si>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</si>
  <si>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</si>
  <si>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</si>
  <si>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</si>
  <si>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</si>
  <si>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</si>
  <si>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</si>
  <si>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</si>
  <si>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</si>
  <si>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</si>
  <si>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</si>
  <si>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</si>
  <si>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</si>
  <si>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</si>
  <si>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</si>
  <si>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</si>
  <si>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</si>
  <si>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</si>
  <si>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</si>
  <si>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</si>
  <si>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</si>
  <si>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</si>
  <si>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</si>
  <si>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</si>
  <si>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</si>
  <si>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</si>
  <si>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</si>
  <si>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</si>
  <si>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</si>
  <si>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</si>
  <si>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</si>
  <si>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</si>
  <si>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</si>
  <si>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</si>
  <si>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</si>
  <si>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</si>
  <si>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</si>
  <si>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</si>
  <si>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</si>
  <si>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</si>
  <si>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</si>
  <si>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</si>
  <si>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</si>
  <si>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</si>
  <si>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</si>
  <si>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</si>
  <si>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</si>
  <si>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</si>
  <si>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</si>
  <si>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</si>
  <si>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</si>
  <si>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</si>
  <si>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</si>
  <si>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</si>
  <si>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</si>
  <si>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</si>
  <si>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</si>
  <si>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</si>
  <si>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</si>
  <si>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</si>
  <si>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</si>
  <si>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</si>
  <si>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</si>
  <si>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</si>
  <si>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</si>
  <si>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</si>
  <si>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</si>
  <si>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</si>
  <si>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</si>
  <si>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</si>
  <si>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</si>
  <si>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</si>
  <si>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</si>
  <si>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</si>
  <si>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</si>
  <si>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</si>
  <si>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</si>
  <si>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</si>
  <si>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</si>
  <si>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</si>
  <si>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</si>
  <si>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</si>
  <si>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</si>
  <si>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</si>
  <si>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</si>
  <si>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</si>
  <si>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</si>
  <si>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</si>
  <si>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</si>
  <si>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</si>
  <si>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</si>
  <si>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</si>
  <si>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</si>
  <si>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</si>
  <si>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</si>
  <si>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</si>
  <si>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</si>
  <si>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</si>
  <si>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</si>
  <si>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</si>
  <si>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</si>
  <si>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</si>
  <si>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</si>
  <si>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</si>
  <si>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</si>
  <si>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</si>
  <si>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</si>
  <si>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</si>
  <si>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</si>
  <si>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</si>
  <si>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</si>
  <si>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</si>
  <si>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</si>
  <si>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</si>
  <si>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</si>
  <si>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</si>
  <si>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</si>
  <si>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</si>
  <si>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</si>
  <si>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</si>
  <si>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</si>
  <si>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</si>
  <si>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</si>
  <si>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</si>
  <si>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</si>
  <si>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</si>
  <si>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</si>
  <si>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</si>
  <si>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</si>
  <si>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</si>
  <si>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</si>
  <si>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</si>
  <si>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</si>
  <si>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</si>
  <si>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</si>
  <si>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</si>
  <si>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</si>
  <si>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</si>
  <si>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</si>
  <si>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</si>
  <si>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</si>
  <si>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</si>
  <si>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</si>
  <si>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</si>
  <si>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</si>
  <si>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</si>
  <si>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</si>
  <si>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</si>
  <si>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</si>
  <si>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</si>
  <si>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</si>
  <si>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</si>
  <si>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</si>
  <si>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</si>
  <si>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</si>
  <si>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</si>
  <si>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</si>
  <si>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</si>
  <si>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</si>
  <si>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</si>
  <si>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</si>
  <si>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</si>
  <si>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</si>
  <si>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</si>
  <si>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</si>
  <si>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</si>
  <si>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</si>
  <si>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</si>
  <si>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</si>
  <si>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</si>
  <si>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</si>
  <si>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</si>
  <si>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</si>
  <si>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</si>
  <si>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</si>
  <si>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</si>
  <si>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</si>
  <si>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</si>
  <si>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</si>
  <si>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</si>
  <si>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</si>
  <si>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</si>
  <si>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</si>
  <si>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</si>
  <si>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</si>
  <si>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</si>
  <si>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</si>
  <si>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</si>
  <si>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</si>
  <si>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</si>
  <si>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</si>
  <si>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</si>
  <si>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</si>
  <si>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</si>
  <si>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</si>
  <si>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</si>
  <si>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</si>
  <si>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</si>
  <si>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</si>
  <si>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</si>
  <si>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</si>
  <si>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</si>
  <si>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</si>
  <si>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</si>
  <si>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</si>
  <si>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</si>
  <si>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</si>
  <si>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</si>
  <si>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</si>
  <si>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</si>
  <si>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</si>
  <si>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</si>
  <si>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</si>
  <si>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</si>
  <si>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</si>
  <si>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</si>
  <si>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</si>
  <si>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</si>
  <si>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</si>
  <si>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</si>
  <si>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</si>
  <si>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</si>
  <si>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</si>
  <si>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</si>
  <si>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</si>
  <si>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</si>
  <si>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</si>
  <si>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</si>
  <si>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</si>
  <si>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</si>
  <si>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</si>
  <si>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</si>
  <si>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</si>
  <si>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</si>
  <si>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</si>
  <si>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</si>
  <si>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</si>
  <si>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</si>
  <si>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</si>
  <si>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</si>
  <si>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</si>
  <si>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</si>
  <si>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</si>
  <si>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</si>
  <si>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</si>
  <si>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</si>
  <si>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</si>
  <si>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</si>
  <si>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</si>
  <si>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</si>
  <si>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</si>
  <si>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</si>
  <si>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</si>
  <si>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</si>
  <si>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</si>
  <si>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</si>
  <si>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</si>
  <si>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</si>
  <si>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</si>
  <si>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</si>
  <si>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</si>
  <si>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</si>
  <si>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</si>
  <si>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</si>
  <si>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</si>
  <si>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</si>
  <si>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</si>
  <si>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</si>
  <si>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</si>
  <si>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</si>
  <si>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</si>
  <si>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</si>
  <si>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</si>
  <si>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</si>
  <si>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</si>
  <si>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</si>
  <si>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</si>
  <si>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</si>
  <si>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</si>
  <si>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</si>
  <si>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</si>
  <si>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</si>
  <si>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</si>
  <si>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</si>
  <si>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</si>
  <si>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</si>
  <si>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</si>
  <si>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</si>
  <si>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</si>
  <si>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</si>
  <si>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</si>
  <si>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</si>
  <si>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</si>
  <si>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</si>
  <si>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</si>
  <si>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</si>
  <si>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</si>
  <si>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</si>
  <si>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</si>
  <si>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</si>
  <si>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</si>
  <si>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</si>
  <si>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</si>
  <si>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</si>
  <si>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</si>
  <si>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</si>
  <si>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</si>
  <si>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</si>
  <si>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</si>
  <si>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</si>
  <si>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</si>
  <si>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</si>
  <si>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</si>
  <si>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</si>
  <si>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</si>
  <si>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</si>
  <si>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</si>
  <si>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</si>
  <si>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</si>
  <si>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</si>
  <si>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</si>
  <si>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</si>
  <si>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</si>
  <si>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</si>
  <si>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</si>
  <si>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</si>
  <si>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</si>
  <si>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</si>
  <si>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</si>
  <si>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</si>
  <si>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</si>
  <si>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</si>
  <si>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</si>
  <si>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</si>
  <si>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</si>
  <si>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</si>
  <si>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</si>
  <si>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</si>
  <si>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</si>
  <si>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</si>
  <si>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</si>
  <si>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</si>
  <si>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</si>
  <si>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</si>
  <si>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</si>
  <si>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</si>
  <si>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</si>
  <si>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</si>
  <si>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</si>
  <si>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</si>
  <si>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</si>
  <si>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</si>
  <si>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</si>
  <si>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</si>
  <si>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</si>
  <si>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</si>
  <si>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</si>
  <si>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</si>
  <si>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</si>
  <si>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</si>
  <si>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</si>
  <si>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</si>
  <si>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</si>
  <si>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</si>
  <si>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</si>
  <si>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</si>
  <si>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</si>
  <si>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</si>
  <si>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</si>
  <si>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</si>
  <si>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</si>
  <si>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</si>
  <si>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</si>
  <si>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</si>
  <si>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</si>
  <si>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</si>
  <si>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</si>
  <si>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</si>
  <si>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</si>
  <si>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</si>
  <si>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</si>
  <si>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</si>
  <si>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</si>
  <si>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</si>
  <si>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</si>
  <si>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</si>
  <si>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</si>
  <si>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</si>
  <si>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</si>
  <si>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</si>
  <si>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</si>
  <si>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</si>
  <si>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</si>
  <si>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</si>
  <si>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</si>
  <si>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</si>
  <si>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</si>
  <si>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</si>
  <si>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</si>
  <si>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</si>
  <si>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</si>
  <si>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</si>
  <si>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</si>
  <si>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</si>
  <si>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</si>
  <si>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</si>
  <si>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</si>
  <si>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</si>
  <si>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</si>
  <si>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</si>
  <si>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</si>
  <si>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</si>
  <si>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</si>
  <si>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</si>
  <si>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</si>
  <si>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</si>
  <si>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</si>
  <si>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</si>
  <si>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</si>
  <si>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</si>
  <si>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</si>
  <si>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</si>
  <si>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</si>
  <si>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</si>
  <si>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</si>
  <si>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</si>
  <si>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</si>
  <si>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</si>
  <si>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</si>
  <si>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</si>
  <si>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</si>
  <si>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</si>
  <si>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</si>
  <si>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</si>
  <si>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</si>
  <si>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</si>
  <si>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</si>
  <si>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</si>
  <si>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</si>
  <si>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</si>
  <si>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</si>
  <si>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</si>
  <si>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</si>
  <si>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</si>
  <si>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</si>
  <si>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</si>
  <si>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</si>
  <si>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</si>
  <si>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</si>
  <si>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</si>
  <si>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</si>
  <si>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</si>
  <si>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</si>
  <si>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</si>
  <si>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</si>
  <si>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</si>
  <si>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</si>
  <si>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</si>
  <si>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</si>
  <si>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</si>
  <si>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</si>
  <si>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</si>
  <si>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</si>
  <si>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</si>
  <si>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</si>
  <si>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</si>
  <si>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</si>
  <si>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</si>
  <si>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</si>
  <si>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</si>
  <si>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</si>
  <si>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</si>
  <si>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</si>
  <si>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</si>
  <si>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</si>
  <si>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</si>
  <si>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</si>
  <si>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</si>
  <si>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</si>
  <si>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</si>
  <si>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</si>
  <si>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</si>
  <si>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</si>
  <si>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</si>
  <si>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</si>
  <si>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</si>
  <si>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</si>
  <si>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</si>
  <si>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</si>
  <si>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</si>
  <si>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</si>
  <si>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</si>
  <si>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</si>
  <si>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</si>
  <si>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</si>
  <si>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</si>
  <si>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</si>
  <si>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</si>
  <si>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</si>
  <si>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</si>
  <si>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</si>
  <si>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</si>
  <si>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</si>
  <si>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</si>
  <si>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</si>
  <si>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</si>
  <si>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</si>
  <si>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</si>
  <si>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</si>
  <si>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</si>
  <si>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</si>
  <si>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</si>
  <si>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</si>
  <si>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</si>
  <si>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</si>
  <si>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</si>
  <si>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</si>
  <si>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</si>
  <si>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</si>
  <si>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</si>
  <si>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</si>
  <si>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</si>
  <si>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</si>
  <si>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</si>
  <si>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</si>
  <si>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</si>
  <si>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</si>
  <si>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</si>
  <si>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</si>
  <si>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</si>
  <si>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</si>
  <si>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</si>
  <si>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</si>
  <si>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</si>
  <si>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</si>
  <si>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</si>
  <si>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</si>
  <si>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</si>
  <si>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</si>
  <si>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</si>
  <si>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</si>
  <si>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</si>
  <si>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</si>
  <si>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</si>
  <si>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</si>
  <si>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</si>
  <si>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</si>
  <si>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</si>
  <si>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</si>
  <si>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</si>
  <si>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</si>
  <si>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</si>
  <si>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</si>
  <si>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</si>
  <si>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</si>
  <si>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</si>
  <si>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</si>
  <si>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</si>
  <si>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</si>
  <si>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</si>
  <si>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</si>
  <si>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</si>
  <si>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</si>
  <si>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</si>
  <si>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</si>
  <si>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</si>
  <si>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</si>
  <si>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</si>
  <si>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</si>
  <si>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</si>
  <si>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</si>
  <si>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</si>
  <si>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</si>
  <si>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</si>
  <si>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</si>
  <si>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</si>
  <si>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</si>
  <si>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</si>
  <si>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</si>
  <si>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</si>
  <si>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</si>
  <si>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</si>
  <si>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</si>
  <si>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</si>
  <si>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</si>
  <si>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</si>
  <si>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</si>
  <si>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</si>
  <si>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</si>
  <si>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</si>
  <si>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</si>
  <si>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</si>
  <si>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</si>
  <si>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</si>
  <si>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</si>
  <si>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</si>
  <si>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</si>
  <si>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</si>
  <si>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</si>
  <si>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</si>
  <si>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</si>
  <si>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</si>
  <si>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</si>
  <si>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</si>
  <si>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</si>
  <si>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</si>
  <si>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</si>
  <si>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</si>
  <si>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</si>
  <si>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</si>
  <si>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</si>
  <si>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</si>
  <si>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</si>
  <si>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</si>
  <si>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</si>
  <si>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</si>
  <si>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</si>
  <si>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</si>
  <si>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</si>
  <si>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</si>
  <si>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</si>
  <si>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</si>
  <si>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</si>
  <si>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</si>
  <si>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</si>
  <si>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</si>
  <si>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</si>
  <si>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</si>
  <si>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</si>
  <si>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</si>
  <si>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</si>
  <si>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</si>
  <si>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</si>
  <si>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</si>
  <si>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</si>
  <si>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</si>
  <si>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</si>
  <si>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</si>
  <si>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</si>
  <si>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</si>
  <si>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</si>
  <si>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</si>
  <si>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</si>
  <si>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</si>
  <si>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</si>
  <si>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</si>
  <si>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</si>
  <si>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</si>
  <si>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</si>
  <si>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</si>
  <si>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</si>
  <si>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</si>
  <si>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</si>
  <si>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</si>
  <si>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</si>
  <si>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</si>
  <si>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</si>
  <si>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</si>
  <si>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</si>
  <si>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</si>
  <si>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</si>
  <si>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</si>
  <si>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</si>
  <si>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</si>
  <si>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</si>
  <si>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</si>
  <si>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</si>
  <si>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</si>
  <si>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</si>
  <si>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</si>
  <si>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</si>
  <si>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</si>
  <si>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</si>
  <si>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</si>
  <si>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</si>
  <si>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</si>
  <si>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</si>
  <si>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</si>
  <si>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</si>
  <si>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</si>
  <si>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</si>
  <si>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</si>
  <si>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</si>
  <si>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</si>
  <si>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</si>
  <si>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</si>
  <si>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</si>
  <si>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</si>
  <si>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</si>
  <si>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</si>
  <si>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</si>
  <si>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</si>
  <si>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</si>
  <si>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</si>
  <si>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</si>
  <si>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</si>
  <si>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</si>
  <si>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</si>
  <si>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</si>
  <si>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</si>
  <si>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</si>
  <si>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</si>
  <si>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</si>
  <si>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</si>
  <si>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</si>
  <si>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</si>
  <si>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</si>
  <si>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</si>
  <si>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</si>
  <si>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</si>
  <si>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</si>
  <si>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</si>
  <si>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</si>
  <si>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</si>
  <si>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</si>
  <si>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</si>
  <si>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</si>
  <si>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</si>
  <si>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</si>
  <si>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</si>
  <si>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</si>
  <si>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</si>
  <si>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</si>
  <si>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</si>
  <si>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</si>
  <si>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</si>
  <si>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</si>
  <si>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</si>
  <si>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</si>
  <si>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</si>
  <si>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</si>
  <si>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</si>
  <si>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</si>
  <si>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</si>
  <si>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</si>
  <si>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</si>
  <si>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</si>
  <si>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</si>
  <si>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</si>
  <si>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</si>
  <si>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</si>
  <si>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</si>
  <si>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</si>
  <si>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</si>
  <si>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</si>
  <si>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</si>
  <si>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</si>
  <si>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</si>
  <si>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</si>
  <si>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</si>
  <si>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</si>
  <si>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</si>
  <si>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</si>
  <si>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</si>
  <si>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</si>
  <si>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</si>
  <si>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</si>
  <si>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</si>
  <si>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</si>
  <si>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</si>
  <si>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</si>
  <si>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</si>
  <si>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</si>
  <si>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</si>
  <si>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</si>
  <si>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</si>
  <si>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</si>
  <si>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</si>
  <si>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</si>
  <si>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</si>
  <si>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</si>
  <si>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</si>
  <si>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</si>
  <si>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</si>
  <si>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</si>
  <si>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</si>
  <si>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</si>
  <si>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</si>
  <si>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</si>
  <si>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</si>
  <si>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</si>
  <si>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</si>
  <si>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</si>
  <si>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</si>
  <si>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</si>
  <si>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</si>
  <si>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</si>
  <si>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</si>
  <si>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</si>
  <si>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</si>
  <si>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</si>
  <si>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</si>
  <si>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</si>
  <si>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</si>
  <si>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</si>
  <si>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</si>
  <si>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</si>
  <si>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</si>
  <si>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</si>
  <si>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</si>
  <si>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</si>
  <si>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</si>
  <si>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</si>
  <si>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</si>
  <si>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</si>
  <si>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</si>
  <si>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</si>
  <si>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</si>
  <si>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</si>
  <si>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</si>
  <si>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</si>
  <si>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</si>
  <si>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</si>
  <si>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</si>
  <si>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</si>
  <si>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</si>
  <si>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</si>
  <si>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</si>
  <si>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</si>
  <si>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</si>
  <si>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</si>
  <si>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</si>
  <si>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</si>
  <si>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</si>
  <si>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</si>
  <si>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</si>
  <si>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</si>
  <si>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</si>
  <si>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</si>
  <si>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</si>
  <si>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</si>
  <si>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</si>
  <si>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</si>
  <si>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</si>
  <si>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</si>
  <si>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</si>
  <si>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</si>
  <si>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</si>
  <si>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</si>
  <si>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</si>
  <si>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</si>
  <si>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</si>
  <si>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</si>
  <si>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</si>
  <si>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</si>
  <si>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</si>
  <si>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</si>
  <si>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</si>
  <si>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</si>
  <si>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</si>
  <si>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</si>
  <si>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</si>
  <si>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</si>
  <si>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</si>
  <si>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</si>
  <si>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</si>
  <si>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</si>
  <si>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</si>
  <si>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</si>
  <si>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</si>
  <si>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</si>
  <si>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</si>
  <si>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</si>
  <si>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</si>
  <si>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</si>
  <si>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</si>
  <si>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</si>
  <si>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</si>
  <si>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</si>
  <si>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</si>
  <si>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</si>
  <si>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</si>
  <si>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</si>
  <si>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</si>
  <si>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</si>
  <si>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</si>
  <si>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</si>
  <si>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</si>
  <si>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</si>
  <si>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</si>
  <si>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</si>
  <si>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</si>
  <si>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</si>
  <si>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</si>
  <si>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</si>
  <si>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</si>
  <si>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</si>
  <si>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</si>
  <si>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</si>
  <si>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</si>
  <si>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</si>
  <si>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</si>
  <si>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</si>
  <si>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</si>
  <si>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</si>
  <si>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</si>
  <si>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</si>
  <si>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</si>
  <si>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</si>
  <si>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</si>
  <si>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</si>
  <si>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</si>
  <si>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</si>
  <si>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</si>
  <si>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</si>
  <si>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</si>
  <si>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</si>
  <si>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</si>
  <si>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</si>
  <si>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</si>
  <si>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</si>
  <si>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</si>
  <si>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</si>
  <si>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</si>
  <si>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</si>
  <si>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</si>
  <si>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</si>
  <si>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</si>
  <si>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</si>
  <si>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</si>
  <si>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</si>
  <si>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</si>
  <si>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</si>
  <si>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</si>
  <si>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</si>
  <si>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</si>
  <si>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</si>
  <si>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</si>
  <si>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</si>
  <si>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</si>
  <si>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</si>
  <si>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</si>
  <si>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</si>
  <si>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</si>
  <si>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</si>
  <si>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</si>
  <si>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</si>
  <si>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</si>
  <si>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</si>
  <si>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</si>
  <si>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</si>
  <si>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</si>
  <si>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</si>
  <si>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</si>
  <si>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</si>
  <si>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</si>
  <si>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</si>
  <si>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</si>
  <si>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</si>
  <si>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</si>
  <si>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</si>
  <si>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</si>
  <si>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</si>
  <si>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</si>
  <si>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</si>
  <si>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</si>
  <si>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</si>
  <si>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</si>
  <si>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</si>
  <si>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</si>
  <si>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</si>
  <si>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</si>
  <si>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</si>
  <si>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</si>
  <si>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</si>
  <si>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</si>
  <si>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</si>
  <si>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</si>
  <si>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</si>
  <si>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</si>
  <si>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</si>
  <si>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</si>
  <si>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</si>
  <si>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</si>
  <si>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</si>
  <si>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</si>
  <si>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</si>
  <si>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</si>
  <si>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</si>
  <si>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</si>
  <si>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</si>
  <si>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</si>
  <si>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</si>
  <si>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</si>
  <si>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</si>
  <si>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</si>
  <si>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</si>
  <si>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</si>
  <si>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</si>
  <si>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</si>
  <si>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</si>
  <si>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</si>
  <si>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</si>
  <si>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</si>
  <si>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</si>
  <si>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</si>
  <si>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</si>
  <si>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</si>
  <si>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</si>
  <si>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</si>
  <si>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</si>
  <si>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</si>
  <si>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</si>
  <si>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</si>
  <si>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</si>
  <si>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</si>
  <si>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</si>
  <si>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</si>
  <si>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</si>
  <si>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</si>
  <si>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</si>
  <si>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</si>
  <si>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</si>
  <si>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</si>
  <si>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</si>
  <si>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</si>
  <si>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</si>
  <si>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</si>
  <si>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</si>
  <si>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</si>
  <si>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</si>
  <si>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</si>
  <si>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</si>
  <si>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</si>
  <si>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</si>
  <si>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</si>
  <si>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</si>
  <si>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</si>
  <si>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</si>
  <si>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</si>
  <si>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</si>
  <si>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</si>
  <si>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</si>
  <si>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</si>
  <si>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</si>
  <si>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</si>
  <si>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</si>
  <si>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</si>
  <si>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</si>
  <si>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</si>
  <si>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</si>
  <si>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</si>
  <si>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</si>
  <si>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</si>
  <si>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</si>
  <si>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</si>
  <si>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</si>
  <si>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</si>
  <si>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</si>
  <si>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</si>
  <si>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</si>
  <si>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</si>
  <si>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</si>
  <si>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</si>
  <si>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</si>
  <si>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</si>
  <si>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</si>
  <si>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</si>
  <si>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</si>
  <si>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</si>
  <si>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</si>
  <si>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</si>
  <si>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</si>
  <si>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</si>
  <si>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</si>
  <si>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</si>
  <si>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</si>
  <si>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</si>
  <si>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</si>
  <si>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</si>
  <si>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</si>
  <si>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</si>
  <si>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</si>
  <si>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</si>
  <si>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</si>
  <si>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</si>
  <si>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</si>
  <si>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</si>
  <si>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</si>
  <si>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</si>
  <si>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</si>
  <si>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</si>
  <si>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</si>
  <si>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</si>
  <si>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</si>
  <si>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</si>
  <si>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</si>
  <si>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</si>
  <si>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</si>
  <si>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</si>
  <si>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</si>
  <si>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</si>
  <si>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</si>
  <si>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</si>
  <si>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</si>
  <si>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</si>
  <si>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</si>
  <si>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</si>
  <si>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</si>
  <si>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</si>
  <si>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</si>
  <si>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</si>
  <si>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</si>
  <si>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</si>
  <si>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</si>
  <si>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</si>
  <si>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</si>
  <si>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</si>
  <si>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</si>
  <si>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</si>
  <si>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</si>
  <si>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</si>
  <si>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</si>
  <si>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</si>
  <si>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</si>
  <si>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</si>
  <si>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</si>
  <si>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</si>
  <si>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</si>
  <si>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</si>
  <si>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</si>
  <si>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</si>
  <si>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</si>
  <si>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</si>
  <si>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</si>
  <si>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</si>
  <si>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</si>
  <si>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</si>
  <si>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</si>
  <si>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</si>
  <si>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</si>
  <si>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</si>
  <si>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</si>
  <si>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</si>
  <si>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</si>
  <si>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</si>
  <si>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</si>
  <si>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</si>
  <si>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</si>
  <si>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</si>
  <si>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</si>
  <si>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</si>
  <si>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</si>
  <si>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</si>
  <si>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</si>
  <si>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</si>
  <si>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</si>
  <si>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</si>
  <si>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</si>
  <si>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</si>
  <si>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</si>
  <si>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</si>
  <si>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</si>
  <si>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</si>
  <si>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</si>
  <si>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</si>
  <si>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</si>
  <si>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</si>
  <si>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</si>
  <si>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</si>
  <si>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</si>
  <si>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</si>
  <si>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</si>
  <si>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</si>
  <si>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</si>
  <si>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</si>
  <si>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</si>
  <si>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</si>
  <si>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</si>
  <si>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</si>
  <si>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</si>
  <si>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</si>
  <si>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</si>
  <si>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</si>
  <si>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</si>
  <si>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</si>
  <si>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</si>
  <si>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</si>
  <si>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</si>
  <si>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</si>
  <si>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</si>
  <si>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</si>
  <si>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</si>
  <si>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</si>
  <si>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</si>
  <si>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</si>
  <si>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</si>
  <si>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</si>
  <si>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</si>
  <si>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</si>
  <si>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</si>
  <si>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</si>
  <si>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</si>
  <si>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</si>
  <si>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</si>
  <si>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</si>
  <si>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</si>
  <si>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</si>
  <si>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</si>
  <si>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</si>
  <si>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</si>
  <si>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</si>
  <si>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</si>
  <si>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</si>
  <si>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</si>
  <si>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</si>
  <si>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</si>
  <si>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</si>
  <si>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</si>
  <si>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</si>
  <si>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</si>
  <si>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</si>
  <si>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</si>
  <si>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</si>
  <si>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</si>
  <si>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</si>
  <si>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</si>
  <si>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</si>
  <si>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</si>
  <si>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</si>
  <si>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</si>
  <si>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</si>
  <si>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</si>
  <si>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</si>
  <si>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</si>
  <si>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</si>
  <si>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</si>
  <si>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</si>
  <si>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</si>
  <si>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</si>
  <si>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</si>
  <si>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</si>
  <si>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</si>
  <si>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</si>
  <si>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</si>
  <si>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</si>
  <si>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</si>
  <si>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</si>
  <si>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</si>
  <si>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</si>
  <si>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</si>
  <si>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</si>
  <si>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</si>
  <si>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</si>
  <si>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</si>
  <si>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</si>
  <si>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</si>
  <si>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</si>
  <si>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</si>
  <si>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</si>
  <si>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</si>
  <si>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</si>
  <si>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</si>
  <si>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</si>
  <si>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</si>
  <si>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</si>
  <si>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</si>
  <si>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</si>
  <si>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</si>
  <si>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</si>
  <si>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</si>
  <si>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</si>
  <si>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</si>
  <si>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</si>
  <si>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</si>
  <si>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</si>
  <si>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</si>
  <si>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</si>
  <si>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</si>
  <si>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</si>
  <si>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</si>
  <si>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</si>
  <si>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</si>
  <si>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</si>
  <si>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</si>
  <si>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</si>
  <si>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</si>
  <si>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</si>
  <si>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</si>
  <si>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</si>
  <si>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</si>
  <si>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</si>
  <si>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</si>
  <si>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</si>
  <si>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</si>
  <si>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</si>
  <si>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</si>
  <si>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</si>
  <si>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</si>
  <si>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</si>
  <si>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</si>
  <si>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</si>
  <si>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</si>
  <si>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</si>
  <si>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</si>
  <si>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</si>
  <si>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</si>
  <si>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</si>
  <si>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</si>
  <si>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</si>
  <si>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</si>
  <si>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</si>
  <si>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</si>
  <si>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</si>
  <si>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</si>
  <si>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</si>
  <si>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</si>
  <si>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</si>
  <si>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</si>
  <si>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</si>
  <si>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</si>
  <si>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</si>
  <si>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</si>
  <si>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</si>
  <si>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</si>
  <si>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</si>
  <si>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</si>
  <si>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</si>
  <si>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</si>
  <si>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</si>
  <si>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</si>
  <si>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</si>
  <si>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</si>
  <si>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</si>
  <si>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</si>
  <si>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</si>
  <si>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</si>
  <si>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</si>
  <si>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</si>
  <si>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</si>
  <si>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</si>
  <si>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</si>
  <si>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</si>
  <si>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</si>
  <si>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</si>
  <si>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</si>
  <si>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</si>
  <si>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</si>
  <si>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</si>
  <si>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</si>
  <si>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</si>
  <si>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</si>
  <si>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</si>
  <si>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</si>
  <si>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</si>
  <si>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</si>
  <si>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</si>
  <si>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</si>
  <si>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</si>
  <si>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</si>
  <si>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</si>
  <si>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</si>
  <si>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</si>
  <si>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</si>
  <si>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</si>
  <si>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</si>
  <si>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</si>
  <si>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</si>
  <si>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</si>
  <si>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</si>
  <si>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</si>
  <si>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</si>
  <si>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</si>
  <si>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</si>
  <si>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</si>
  <si>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</si>
  <si>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</si>
  <si>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</si>
  <si>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</si>
  <si>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</si>
  <si>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</si>
  <si>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</si>
  <si>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</si>
  <si>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</si>
  <si>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</si>
  <si>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</si>
  <si>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</si>
  <si>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</si>
  <si>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</si>
  <si>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</si>
  <si>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</si>
  <si>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</si>
  <si>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</si>
  <si>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</si>
  <si>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</si>
  <si>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</si>
  <si>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</si>
  <si>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</si>
  <si>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</si>
  <si>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</si>
  <si>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</si>
  <si>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</si>
  <si>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</si>
  <si>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</si>
  <si>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</si>
  <si>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</si>
  <si>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</si>
  <si>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</si>
  <si>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</si>
  <si>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</si>
  <si>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</si>
  <si>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</si>
  <si>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</si>
  <si>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</si>
  <si>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</si>
  <si>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</si>
  <si>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</si>
  <si>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</si>
  <si>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</si>
  <si>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</si>
  <si>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</si>
  <si>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</si>
  <si>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</si>
  <si>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</si>
  <si>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</si>
  <si>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</si>
  <si>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</si>
  <si>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</si>
  <si>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</si>
  <si>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</si>
  <si>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</si>
  <si>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</si>
  <si>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</si>
  <si>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</si>
  <si>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</si>
  <si>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</si>
  <si>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</si>
  <si>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</si>
  <si>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</si>
  <si>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</si>
  <si>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</si>
  <si>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</si>
  <si>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</si>
  <si>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</si>
  <si>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</si>
  <si>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</si>
  <si>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</si>
  <si>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</si>
  <si>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</si>
  <si>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</si>
  <si>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</si>
  <si>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</si>
  <si>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</si>
  <si>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</si>
  <si>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</si>
  <si>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</si>
  <si>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</si>
  <si>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</si>
  <si>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</si>
  <si>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</si>
  <si>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</si>
  <si>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</si>
  <si>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</si>
  <si>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</si>
  <si>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</si>
  <si>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</si>
  <si>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</si>
  <si>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</si>
  <si>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</si>
  <si>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</si>
  <si>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</si>
  <si>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</si>
  <si>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</si>
  <si>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</si>
  <si>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</si>
  <si>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</si>
  <si>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</si>
  <si>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</si>
  <si>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</si>
  <si>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</si>
  <si>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</si>
  <si>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</si>
  <si>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</si>
  <si>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</si>
  <si>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</si>
  <si>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</si>
  <si>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</si>
  <si>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</si>
  <si>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</si>
  <si>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</si>
  <si>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</si>
  <si>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</si>
  <si>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</si>
  <si>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</si>
  <si>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</si>
  <si>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</si>
  <si>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</si>
  <si>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</si>
  <si>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</si>
  <si>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</si>
  <si>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</si>
  <si>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</si>
  <si>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</si>
  <si>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</si>
  <si>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</si>
  <si>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</si>
  <si>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</si>
  <si>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</si>
  <si>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</si>
  <si>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</si>
  <si>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</si>
  <si>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</si>
  <si>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</si>
  <si>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</si>
  <si>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</si>
  <si>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</si>
  <si>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</si>
  <si>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</si>
  <si>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</si>
  <si>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</si>
  <si>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</si>
  <si>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</si>
  <si>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</si>
  <si>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</si>
  <si>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</si>
  <si>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</si>
  <si>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</si>
  <si>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</si>
  <si>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</si>
  <si>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</si>
  <si>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</si>
  <si>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</si>
  <si>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</si>
  <si>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</si>
  <si>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</si>
  <si>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</si>
  <si>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</si>
  <si>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</si>
  <si>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</si>
  <si>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</si>
  <si>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</si>
  <si>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</si>
  <si>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</si>
  <si>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</si>
  <si>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</si>
  <si>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</si>
  <si>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</si>
  <si>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</si>
  <si>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</si>
  <si>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</si>
  <si>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</si>
  <si>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</si>
  <si>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</si>
  <si>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</si>
  <si>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</si>
  <si>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</si>
  <si>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</si>
  <si>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</si>
  <si>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</si>
  <si>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</si>
  <si>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</si>
  <si>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</si>
  <si>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</si>
  <si>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</si>
  <si>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</si>
  <si>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</si>
  <si>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</si>
  <si>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</si>
  <si>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</si>
  <si>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</si>
  <si>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</si>
  <si>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</si>
  <si>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</si>
  <si>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</si>
  <si>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</si>
  <si>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</si>
  <si>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</si>
  <si>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</si>
  <si>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</si>
  <si>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</si>
  <si>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</si>
  <si>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</si>
  <si>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</si>
  <si>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</si>
  <si>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</si>
  <si>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</si>
  <si>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</si>
  <si>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</si>
  <si>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</si>
  <si>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</si>
  <si>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</si>
  <si>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</si>
  <si>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</si>
  <si>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</si>
  <si>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</si>
  <si>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</si>
  <si>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</si>
  <si>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</si>
  <si>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</si>
  <si>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</si>
  <si>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</si>
  <si>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</si>
  <si>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</si>
  <si>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</si>
  <si>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</si>
  <si>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</si>
  <si>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</si>
  <si>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</si>
  <si>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</si>
  <si>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</si>
  <si>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</si>
  <si>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</si>
  <si>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</si>
  <si>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</si>
  <si>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</si>
  <si>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</si>
  <si>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</si>
  <si>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</si>
  <si>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</si>
  <si>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</si>
  <si>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</si>
  <si>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</si>
  <si>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</si>
  <si>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</si>
  <si>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</si>
  <si>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</si>
  <si>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</si>
  <si>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</si>
  <si>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</si>
  <si>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</si>
  <si>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</si>
  <si>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</si>
  <si>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</si>
  <si>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</si>
  <si>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</si>
  <si>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</si>
  <si>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</si>
  <si>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</si>
  <si>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</si>
  <si>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</si>
  <si>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</si>
  <si>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</si>
  <si>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</si>
  <si>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</si>
  <si>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</si>
  <si>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</si>
  <si>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</si>
  <si>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</si>
  <si>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</si>
  <si>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</si>
  <si>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</si>
  <si>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</si>
  <si>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</si>
  <si>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</si>
  <si>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</si>
  <si>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</si>
  <si>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</si>
  <si>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</si>
  <si>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</si>
  <si>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</si>
  <si>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</si>
  <si>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</si>
  <si>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</si>
  <si>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</si>
  <si>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</si>
  <si>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</si>
  <si>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</si>
  <si>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</si>
  <si>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</si>
  <si>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</si>
  <si>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</si>
  <si>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</si>
  <si>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</si>
  <si>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</si>
  <si>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</si>
  <si>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</si>
  <si>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</si>
  <si>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</si>
  <si>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</si>
  <si>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</si>
  <si>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</si>
  <si>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</si>
  <si>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</si>
  <si>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</si>
  <si>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</si>
  <si>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</si>
  <si>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</si>
  <si>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</si>
  <si>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</si>
  <si>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</si>
  <si>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</si>
  <si>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</si>
  <si>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</si>
  <si>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</si>
  <si>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</si>
  <si>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</si>
  <si>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</si>
  <si>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</si>
  <si>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</si>
  <si>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</si>
  <si>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</si>
  <si>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</si>
  <si>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</si>
  <si>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</si>
  <si>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</si>
  <si>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</si>
  <si>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</si>
  <si>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</si>
  <si>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</si>
  <si>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</si>
  <si>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</si>
  <si>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</si>
  <si>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</si>
  <si>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</si>
  <si>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</si>
  <si>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</si>
  <si>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</si>
  <si>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</si>
  <si>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</si>
  <si>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</si>
  <si>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</si>
  <si>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</si>
  <si>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</si>
  <si>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</si>
  <si>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</si>
  <si>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</si>
  <si>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</si>
  <si>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</si>
  <si>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</si>
  <si>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</si>
  <si>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</si>
  <si>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</si>
  <si>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</si>
  <si>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</si>
  <si>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</si>
  <si>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</si>
  <si>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</si>
  <si>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</si>
  <si>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</si>
  <si>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</si>
  <si>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</si>
  <si>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</si>
  <si>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</si>
  <si>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</si>
  <si>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</si>
  <si>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</si>
  <si>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</si>
  <si>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</si>
  <si>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</si>
  <si>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</si>
  <si>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</si>
  <si>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</si>
  <si>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</si>
  <si>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</si>
  <si>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</si>
  <si>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</si>
  <si>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</si>
  <si>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</si>
  <si>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</si>
  <si>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</si>
  <si>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</si>
  <si>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</si>
  <si>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</si>
  <si>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</si>
  <si>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</si>
  <si>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</si>
  <si>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</si>
  <si>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</si>
  <si>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</si>
  <si>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</si>
  <si>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</si>
  <si>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</si>
  <si>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</si>
  <si>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</si>
  <si>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</si>
  <si>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</si>
  <si>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</si>
  <si>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</si>
  <si>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</si>
  <si>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</si>
  <si>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</si>
  <si>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</si>
  <si>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</si>
  <si>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</si>
  <si>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</si>
  <si>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</si>
  <si>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</si>
  <si>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</si>
  <si>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</si>
  <si>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</si>
  <si>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</si>
  <si>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</si>
  <si>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</si>
  <si>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</si>
  <si>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</si>
  <si>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</si>
  <si>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</si>
  <si>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</si>
  <si>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</si>
  <si>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</si>
  <si>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</si>
  <si>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</si>
  <si>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</si>
  <si>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</si>
  <si>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</si>
  <si>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</si>
  <si>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</si>
  <si>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</si>
  <si>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</si>
  <si>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</si>
  <si>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</si>
  <si>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</si>
  <si>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</si>
  <si>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</si>
  <si>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</si>
  <si>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</si>
  <si>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</si>
  <si>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</si>
  <si>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</si>
  <si>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</si>
  <si>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</si>
  <si>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</si>
  <si>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</si>
  <si>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</si>
  <si>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</si>
  <si>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</si>
  <si>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</si>
  <si>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</si>
  <si>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</si>
  <si>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</si>
  <si>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</si>
  <si>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</si>
  <si>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</si>
  <si>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</si>
  <si>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</si>
  <si>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</si>
  <si>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</si>
  <si>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</si>
  <si>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</si>
  <si>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</si>
  <si>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</si>
  <si>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</si>
  <si>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</si>
  <si>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</si>
  <si>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</si>
  <si>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</si>
  <si>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</si>
  <si>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</si>
  <si>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</si>
  <si>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</si>
  <si>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</si>
  <si>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</si>
  <si>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</si>
  <si>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</si>
  <si>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</si>
  <si>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</si>
  <si>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</si>
  <si>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</si>
  <si>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</si>
  <si>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</si>
  <si>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</si>
  <si>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</si>
  <si>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</si>
  <si>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</si>
  <si>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</si>
  <si>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</si>
  <si>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</si>
  <si>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</si>
  <si>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</si>
  <si>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</si>
  <si>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</si>
  <si>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</si>
  <si>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</si>
  <si>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</si>
  <si>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</si>
  <si>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</si>
  <si>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</si>
  <si>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</si>
  <si>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</si>
  <si>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</si>
  <si>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</si>
  <si>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</si>
  <si>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</si>
  <si>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</si>
  <si>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</si>
  <si>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</si>
  <si>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</si>
  <si>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</si>
  <si>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</si>
  <si>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</si>
  <si>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</si>
  <si>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</si>
  <si>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</si>
  <si>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</si>
  <si>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</si>
  <si>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</si>
  <si>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</si>
  <si>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</si>
  <si>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</si>
  <si>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</si>
  <si>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</si>
  <si>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</si>
  <si>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</si>
  <si>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</si>
  <si>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</si>
  <si>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</si>
  <si>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</si>
  <si>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</si>
  <si>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</si>
  <si>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</si>
  <si>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</si>
  <si>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</si>
  <si>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</si>
  <si>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</si>
  <si>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</si>
  <si>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</si>
  <si>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</si>
  <si>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</si>
  <si>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</si>
  <si>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</si>
  <si>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</si>
  <si>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</si>
  <si>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</si>
  <si>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</si>
  <si>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</si>
  <si>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</si>
  <si>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</si>
  <si>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</si>
  <si>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</si>
  <si>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</si>
  <si>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</si>
  <si>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</si>
  <si>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</si>
  <si>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</si>
  <si>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</si>
  <si>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</si>
  <si>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</si>
  <si>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</si>
  <si>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</si>
  <si>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</si>
  <si>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</si>
  <si>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</si>
  <si>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</si>
  <si>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</si>
  <si>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</si>
  <si>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</si>
  <si>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</si>
  <si>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</si>
  <si>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</si>
  <si>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</si>
  <si>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</si>
  <si>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</si>
  <si>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</si>
  <si>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</si>
  <si>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</si>
  <si>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</si>
  <si>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</si>
  <si>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</si>
  <si>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</si>
  <si>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</si>
  <si>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</si>
  <si>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</si>
  <si>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</si>
  <si>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</si>
  <si>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</si>
  <si>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</si>
  <si>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</si>
  <si>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</si>
  <si>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</si>
  <si>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</si>
  <si>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</si>
  <si>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</si>
  <si>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</si>
  <si>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</si>
  <si>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</si>
  <si>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</si>
  <si>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</si>
  <si>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</si>
  <si>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</si>
  <si>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</si>
  <si>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</si>
  <si>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</si>
  <si>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</si>
  <si>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</si>
  <si>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</si>
  <si>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</si>
  <si>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</si>
  <si>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</si>
  <si>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</si>
  <si>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</si>
  <si>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</si>
  <si>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</si>
  <si>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</si>
  <si>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</si>
  <si>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</si>
  <si>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</si>
  <si>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</si>
  <si>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</si>
  <si>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</si>
  <si>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</si>
  <si>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</si>
  <si>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</si>
  <si>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</si>
  <si>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</si>
  <si>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</si>
  <si>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</si>
  <si>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</si>
  <si>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</si>
  <si>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</si>
  <si>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</si>
  <si>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</si>
  <si>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</si>
  <si>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</si>
  <si>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</si>
  <si>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</si>
  <si>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</si>
  <si>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</si>
  <si>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</si>
  <si>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</si>
  <si>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</si>
  <si>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</si>
  <si>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</si>
  <si>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</si>
  <si>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</si>
  <si>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</si>
  <si>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</si>
  <si>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</si>
  <si>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</si>
  <si>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</si>
  <si>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</si>
  <si>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</si>
  <si>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</si>
  <si>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</si>
  <si>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</si>
  <si>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</si>
  <si>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</si>
  <si>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</si>
  <si>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</si>
  <si>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</si>
  <si>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</si>
  <si>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</si>
  <si>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</si>
  <si>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</si>
  <si>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</si>
  <si>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</si>
  <si>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</si>
  <si>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</si>
  <si>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</si>
  <si>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</si>
  <si>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</si>
  <si>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</si>
  <si>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</si>
  <si>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</si>
  <si>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</si>
  <si>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</si>
  <si>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</si>
  <si>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</si>
  <si>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</si>
  <si>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</si>
  <si>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</si>
  <si>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</si>
  <si>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</si>
  <si>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</si>
  <si>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</si>
  <si>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</si>
  <si>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</si>
  <si>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</si>
  <si>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</si>
  <si>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</si>
  <si>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</si>
  <si>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</si>
  <si>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</si>
  <si>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</si>
  <si>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</si>
  <si>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</si>
  <si>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</si>
  <si>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</si>
  <si>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</si>
  <si>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</si>
  <si>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</si>
  <si>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</si>
  <si>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</si>
  <si>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</si>
  <si>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</si>
  <si>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</si>
  <si>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</si>
  <si>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</si>
  <si>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</si>
  <si>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</si>
  <si>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</si>
  <si>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</si>
  <si>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</si>
  <si>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</si>
  <si>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</si>
  <si>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</si>
  <si>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</si>
  <si>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</si>
  <si>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</si>
  <si>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</si>
  <si>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</si>
  <si>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</si>
  <si>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</si>
  <si>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</si>
  <si>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</si>
  <si>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</si>
  <si>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</si>
  <si>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</si>
  <si>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</si>
  <si>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</si>
  <si>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</si>
  <si>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</si>
  <si>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</si>
  <si>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</si>
  <si>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</si>
  <si>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</si>
  <si>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</si>
  <si>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</si>
  <si>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</si>
  <si>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</si>
  <si>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</si>
  <si>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</si>
  <si>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</si>
  <si>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</si>
  <si>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</si>
  <si>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</si>
  <si>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</si>
  <si>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</si>
  <si>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</si>
  <si>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</si>
  <si>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</si>
  <si>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</si>
  <si>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</si>
  <si>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</si>
  <si>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</si>
  <si>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</si>
  <si>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</si>
  <si>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</si>
  <si>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</si>
  <si>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</si>
  <si>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</si>
  <si>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</si>
  <si>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</si>
  <si>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</si>
  <si>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</si>
  <si>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</si>
  <si>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</si>
  <si>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</si>
  <si>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</si>
  <si>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</si>
  <si>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</si>
  <si>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</si>
  <si>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</si>
  <si>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</si>
  <si>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</si>
  <si>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</si>
  <si>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</si>
  <si>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</si>
  <si>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</si>
  <si>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</si>
  <si>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</si>
  <si>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</si>
  <si>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</si>
  <si>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</si>
  <si>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</si>
  <si>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</si>
  <si>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</si>
  <si>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</si>
  <si>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</si>
  <si>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</si>
  <si>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</si>
  <si>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</si>
  <si>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</si>
  <si>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</si>
  <si>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</si>
  <si>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</si>
  <si>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</si>
  <si>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</si>
  <si>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</si>
  <si>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</si>
  <si>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</si>
  <si>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</si>
  <si>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</si>
  <si>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</si>
  <si>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</si>
  <si>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</si>
  <si>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</si>
  <si>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</si>
  <si>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</si>
  <si>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</si>
  <si>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</si>
  <si>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</si>
  <si>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</si>
  <si>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</si>
  <si>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</si>
  <si>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</si>
  <si>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</si>
  <si>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</si>
  <si>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</si>
  <si>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</si>
  <si>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</si>
  <si>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</si>
  <si>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</si>
  <si>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</si>
  <si>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</si>
  <si>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</si>
  <si>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</si>
  <si>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</si>
  <si>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</si>
  <si>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</si>
  <si>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</si>
  <si>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</si>
  <si>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</si>
  <si>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</si>
  <si>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比较法-商业</t>
  </si>
  <si>
    <t>容积率修正</t>
  </si>
  <si>
    <t>权属不清</t>
    <phoneticPr fontId="26" type="noConversion"/>
  </si>
  <si>
    <t>有</t>
    <phoneticPr fontId="26" type="noConversion"/>
  </si>
  <si>
    <t>无</t>
    <phoneticPr fontId="26" type="noConversion"/>
  </si>
  <si>
    <t>估价对象1（结果表）</t>
  </si>
  <si>
    <t>总价</t>
  </si>
  <si>
    <t>无</t>
  </si>
  <si>
    <t>已包含在土地购买价格中</t>
  </si>
  <si>
    <t>已包含在土地取得成本中</t>
  </si>
  <si>
    <t xml:space="preserve"> </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</si>
</sst>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43" fontId="31"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43"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176" fontId="4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alignment vertical="center"/>
    </xf>
    <xf numFmtId="176"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7"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50" fillId="16" borderId="1" xfId="0"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2761730</v>
      </c>
    </row>
    <row r="20" spans="1:2">
      <c r="A20" s="1698" t="s">
        <v>1163</v>
      </c>
      <c r="B20" s="1685" t="str">
        <f>'预评函-2（1）'!C7</f>
        <v>总价（元）</v>
      </c>
    </row>
    <row r="21" spans="1:2">
      <c r="A21" s="1698" t="s">
        <v>1126</v>
      </c>
      <c r="B21" s="1685">
        <f ca="1">'预评函-2（1）'!D9</f>
        <v>24816</v>
      </c>
    </row>
    <row r="22" spans="1:2">
      <c r="A22" s="1698" t="s">
        <v>1127</v>
      </c>
      <c r="B22" s="1685" t="str">
        <f ca="1">'预评函-2（1）'!D8</f>
        <v>贰佰柒拾陆万壹仟柒佰叁拾元整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2761730</v>
      </c>
    </row>
    <row r="30" spans="1:2">
      <c r="A30" s="1698" t="s">
        <v>1133</v>
      </c>
      <c r="B30" s="1685" t="str">
        <f ca="1">'预评函-2（1）'!D16</f>
        <v>贰佰柒拾陆万壹仟柒佰叁拾元整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2596026</v>
      </c>
    </row>
    <row r="38" spans="1:2">
      <c r="A38" s="1698" t="s">
        <v>1141</v>
      </c>
      <c r="B38" s="1685">
        <f ca="1">'预评函-2（2）'!E4</f>
        <v>23327</v>
      </c>
    </row>
    <row r="39" spans="1:2">
      <c r="A39" s="1698" t="s">
        <v>1142</v>
      </c>
      <c r="B39" s="1685" t="str">
        <f ca="1">'预评函-2（2）'!D5</f>
        <v>贰佰伍拾玖万陆仟零贰拾陆元整</v>
      </c>
    </row>
    <row r="40" spans="1:2">
      <c r="A40" s="1698" t="s">
        <v>1143</v>
      </c>
      <c r="B40" s="1685">
        <f ca="1">'预评函-2（2）'!F4</f>
        <v>165704</v>
      </c>
    </row>
    <row r="41" spans="1:2">
      <c r="A41" s="1698" t="s">
        <v>1144</v>
      </c>
      <c r="B41" s="1685">
        <f ca="1">'预评函-2（2）'!G4</f>
        <v>1489</v>
      </c>
    </row>
    <row r="42" spans="1:2" s="1695" customFormat="1" ht="15.75" thickBot="1">
      <c r="A42" s="1699" t="s">
        <v>1145</v>
      </c>
      <c r="B42" s="1687" t="str">
        <f ca="1">'预评函-2（2）'!F5</f>
        <v>壹拾陆万伍仟柒佰零肆元整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24816</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2881</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2808</v>
      </c>
      <c r="C3" s="1062">
        <f ca="1">SUMIF(注册房地产估价师,B3,估价师及机构信息!B3:B24)</f>
        <v>1120000080</v>
      </c>
      <c r="D3" s="1997" t="s">
        <v>2809</v>
      </c>
      <c r="E3" s="1063">
        <f ca="1">SUMIF(注册房地产估价师,D3,估价师及机构信息!B3:B24)</f>
        <v>1120100036</v>
      </c>
      <c r="F3" s="1064"/>
      <c r="G3" s="1680"/>
      <c r="H3" s="1017"/>
    </row>
    <row r="4" spans="1:10" ht="13.5" customHeight="1" thickTop="1">
      <c r="A4" s="1998" t="s">
        <v>1548</v>
      </c>
      <c r="B4" s="2728" t="s">
        <v>2810</v>
      </c>
      <c r="C4" s="1999" t="s">
        <v>1549</v>
      </c>
      <c r="D4" s="2000" t="s">
        <v>2811</v>
      </c>
      <c r="E4" s="1061"/>
      <c r="F4" s="1061"/>
      <c r="G4" s="1679"/>
    </row>
    <row r="5" spans="1:10">
      <c r="A5" s="2001" t="s">
        <v>1550</v>
      </c>
      <c r="B5" s="2002" t="str">
        <f>B4</f>
        <v>农商行</v>
      </c>
      <c r="C5" s="2003" t="s">
        <v>1551</v>
      </c>
      <c r="D5" s="2004" t="s">
        <v>2812</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2813</v>
      </c>
      <c r="C6" s="2010"/>
      <c r="D6" s="2011" t="s">
        <v>1554</v>
      </c>
      <c r="E6" s="1019"/>
      <c r="F6" s="1018"/>
      <c r="G6" s="1071"/>
      <c r="I6" s="1067" t="str">
        <f>IF(COUNTIF(B5,"*上海银行*"),"上海银行","")</f>
        <v/>
      </c>
    </row>
    <row r="7" spans="1:10" ht="13.5" thickBot="1">
      <c r="A7" s="1996" t="s">
        <v>1555</v>
      </c>
      <c r="B7" s="2012" t="s">
        <v>2814</v>
      </c>
      <c r="C7" s="2013" t="str">
        <f>IF(B7="自然人","姓名","名称")</f>
        <v>名称</v>
      </c>
      <c r="D7" s="2014" t="str">
        <f>B4</f>
        <v>农商行</v>
      </c>
      <c r="E7" s="1065"/>
      <c r="F7" s="1064"/>
      <c r="G7" s="1680"/>
    </row>
    <row r="8" spans="1:10" ht="13.5" thickTop="1">
      <c r="A8" s="2810" t="s">
        <v>1556</v>
      </c>
      <c r="B8" s="2015" t="s">
        <v>1557</v>
      </c>
      <c r="C8" s="2822"/>
      <c r="D8" s="2823"/>
      <c r="E8" s="2016" t="s">
        <v>1558</v>
      </c>
      <c r="F8" s="2017" t="s">
        <v>1559</v>
      </c>
      <c r="G8" s="688">
        <f>C6</f>
        <v>0</v>
      </c>
    </row>
    <row r="9" spans="1:10">
      <c r="A9" s="2810"/>
      <c r="B9" s="344" t="s">
        <v>1560</v>
      </c>
      <c r="C9" s="2002"/>
      <c r="D9" s="2018"/>
      <c r="E9" s="1007" t="s">
        <v>1561</v>
      </c>
      <c r="F9" s="994" t="s">
        <v>399</v>
      </c>
      <c r="G9" s="1009"/>
    </row>
    <row r="10" spans="1:10" ht="13.5" thickBot="1">
      <c r="A10" s="2810"/>
      <c r="B10" s="344" t="s">
        <v>1562</v>
      </c>
      <c r="C10" s="2824"/>
      <c r="D10" s="2825"/>
      <c r="E10" s="2019" t="s">
        <v>1563</v>
      </c>
      <c r="F10" s="1010" t="s">
        <v>188</v>
      </c>
      <c r="G10" s="1011"/>
    </row>
    <row r="11" spans="1:10" ht="13.5" thickBot="1">
      <c r="A11" s="2810"/>
      <c r="B11" s="2020" t="s">
        <v>1564</v>
      </c>
      <c r="C11" s="2826"/>
      <c r="D11" s="2827"/>
      <c r="E11" s="1019"/>
      <c r="F11" s="1018"/>
      <c r="G11" s="1071"/>
    </row>
    <row r="12" spans="1:10" ht="24.75" thickBot="1">
      <c r="A12" s="2813" t="s">
        <v>1565</v>
      </c>
      <c r="B12" s="2021" t="s">
        <v>1566</v>
      </c>
      <c r="C12" s="1013">
        <v>111.29</v>
      </c>
      <c r="D12" s="2021" t="s">
        <v>1567</v>
      </c>
      <c r="E12" s="2022" t="s">
        <v>1568</v>
      </c>
      <c r="F12" s="2023" t="s">
        <v>1569</v>
      </c>
      <c r="G12" s="1071"/>
    </row>
    <row r="13" spans="1:10" ht="21" customHeight="1" thickBot="1">
      <c r="A13" s="2814"/>
      <c r="B13" s="2024" t="s">
        <v>1570</v>
      </c>
      <c r="C13" s="1014">
        <v>248.61</v>
      </c>
      <c r="D13" s="2024" t="s">
        <v>1571</v>
      </c>
      <c r="E13" s="2025" t="s">
        <v>1568</v>
      </c>
      <c r="F13" s="1018"/>
      <c r="G13" s="1071"/>
      <c r="I13" s="2800"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2883</v>
      </c>
      <c r="D14" s="1018"/>
      <c r="E14" s="1018"/>
      <c r="F14" s="1018"/>
      <c r="G14" s="1071"/>
      <c r="I14" s="280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80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2822</v>
      </c>
      <c r="D16" s="2033" t="s">
        <v>1577</v>
      </c>
      <c r="E16" s="2034" t="s">
        <v>1253</v>
      </c>
      <c r="F16" s="2035" t="str">
        <f>IF(AND(C16="是",E16="否"),"是否提供他项权证或相关说明","")</f>
        <v/>
      </c>
      <c r="G16" s="2034" t="s">
        <v>1253</v>
      </c>
      <c r="I16" s="1068"/>
      <c r="J16" s="1017"/>
    </row>
    <row r="17" spans="1:15" ht="13.5" customHeight="1">
      <c r="A17" s="2036" t="s">
        <v>1578</v>
      </c>
      <c r="B17" s="2828" t="s">
        <v>1579</v>
      </c>
      <c r="C17" s="2829"/>
      <c r="D17" s="2830" t="s">
        <v>1580</v>
      </c>
      <c r="E17" s="2831"/>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16" t="s">
        <v>1592</v>
      </c>
      <c r="D27" s="2817"/>
      <c r="E27" s="1001"/>
      <c r="F27" s="1008" t="s">
        <v>1592</v>
      </c>
      <c r="G27" s="1001"/>
      <c r="I27" s="1068"/>
      <c r="K27" s="1068"/>
    </row>
    <row r="28" spans="1:15">
      <c r="A28" s="1005" t="s">
        <v>1593</v>
      </c>
      <c r="B28" s="976"/>
      <c r="C28" s="2818" t="s">
        <v>1594</v>
      </c>
      <c r="D28" s="2819"/>
      <c r="E28" s="976"/>
      <c r="F28" s="1890" t="s">
        <v>1594</v>
      </c>
      <c r="G28" s="976"/>
      <c r="I28" s="1068"/>
      <c r="K28" s="1068"/>
    </row>
    <row r="29" spans="1:15">
      <c r="A29" s="1005" t="s">
        <v>1595</v>
      </c>
      <c r="B29" s="976"/>
      <c r="C29" s="2818" t="s">
        <v>1595</v>
      </c>
      <c r="D29" s="2819"/>
      <c r="E29" s="976"/>
      <c r="F29" s="1890" t="s">
        <v>1596</v>
      </c>
      <c r="G29" s="976"/>
      <c r="I29" s="1068"/>
      <c r="K29" s="1068"/>
    </row>
    <row r="30" spans="1:15">
      <c r="A30" s="1005" t="s">
        <v>1597</v>
      </c>
      <c r="B30" s="976"/>
      <c r="C30" s="2807" t="s">
        <v>1598</v>
      </c>
      <c r="D30" s="2062"/>
      <c r="E30" s="1020" t="str">
        <f>E31&amp;" "&amp;E32&amp;" "&amp;E33&amp;" "&amp;E34</f>
        <v xml:space="preserve">   </v>
      </c>
      <c r="F30" s="1890" t="s">
        <v>1599</v>
      </c>
      <c r="G30" s="976"/>
    </row>
    <row r="31" spans="1:15">
      <c r="A31" s="1005" t="s">
        <v>1600</v>
      </c>
      <c r="B31" s="976"/>
      <c r="C31" s="2808"/>
      <c r="D31" s="1889" t="s">
        <v>1601</v>
      </c>
      <c r="E31" s="976"/>
      <c r="F31" s="1890" t="s">
        <v>1602</v>
      </c>
      <c r="G31" s="976"/>
    </row>
    <row r="32" spans="1:15" ht="24.75" thickBot="1">
      <c r="A32" s="1006" t="s">
        <v>1603</v>
      </c>
      <c r="B32" s="1002"/>
      <c r="C32" s="2808"/>
      <c r="D32" s="1889" t="s">
        <v>1604</v>
      </c>
      <c r="E32" s="976"/>
      <c r="F32" s="1890" t="s">
        <v>1605</v>
      </c>
      <c r="G32" s="976"/>
    </row>
    <row r="33" spans="1:7">
      <c r="A33" s="1004" t="s">
        <v>1606</v>
      </c>
      <c r="B33" s="1001"/>
      <c r="C33" s="2808"/>
      <c r="D33" s="1889" t="s">
        <v>1607</v>
      </c>
      <c r="E33" s="976"/>
      <c r="F33" s="1890" t="s">
        <v>1608</v>
      </c>
      <c r="G33" s="976"/>
    </row>
    <row r="34" spans="1:7" ht="13.5" thickBot="1">
      <c r="A34" s="1005" t="s">
        <v>1609</v>
      </c>
      <c r="B34" s="976"/>
      <c r="C34" s="2809"/>
      <c r="D34" s="1889" t="s">
        <v>1610</v>
      </c>
      <c r="E34" s="976"/>
      <c r="F34" s="1891" t="s">
        <v>1611</v>
      </c>
      <c r="G34" s="1003"/>
    </row>
    <row r="35" spans="1:7">
      <c r="A35" s="1005" t="s">
        <v>1566</v>
      </c>
      <c r="B35" s="976"/>
      <c r="C35" s="2818" t="s">
        <v>1612</v>
      </c>
      <c r="D35" s="2819"/>
      <c r="E35" s="976"/>
      <c r="F35" s="1016" t="s">
        <v>1613</v>
      </c>
      <c r="G35" s="1001"/>
    </row>
    <row r="36" spans="1:7" ht="13.5" thickBot="1">
      <c r="A36" s="1005" t="s">
        <v>1614</v>
      </c>
      <c r="B36" s="976"/>
      <c r="C36" s="2820" t="s">
        <v>1615</v>
      </c>
      <c r="D36" s="2821"/>
      <c r="E36" s="1002"/>
      <c r="F36" s="1887" t="s">
        <v>1616</v>
      </c>
      <c r="G36" s="976"/>
    </row>
    <row r="37" spans="1:7" ht="13.5" thickBot="1">
      <c r="A37" s="1005" t="s">
        <v>1617</v>
      </c>
      <c r="B37" s="976"/>
      <c r="C37" s="2805" t="s">
        <v>1618</v>
      </c>
      <c r="D37" s="2063" t="s">
        <v>1602</v>
      </c>
      <c r="E37" s="1001"/>
      <c r="F37" s="1891" t="s">
        <v>1619</v>
      </c>
      <c r="G37" s="1002"/>
    </row>
    <row r="38" spans="1:7">
      <c r="A38" s="1005" t="s">
        <v>1620</v>
      </c>
      <c r="B38" s="976"/>
      <c r="C38" s="2811"/>
      <c r="D38" s="1889" t="s">
        <v>1609</v>
      </c>
      <c r="E38" s="976"/>
      <c r="F38" s="1008" t="s">
        <v>1621</v>
      </c>
      <c r="G38" s="1001"/>
    </row>
    <row r="39" spans="1:7">
      <c r="A39" s="1005" t="s">
        <v>1622</v>
      </c>
      <c r="B39" s="976"/>
      <c r="C39" s="2811" t="s">
        <v>1623</v>
      </c>
      <c r="D39" s="1889" t="s">
        <v>1566</v>
      </c>
      <c r="E39" s="976"/>
      <c r="F39" s="1890" t="s">
        <v>1624</v>
      </c>
      <c r="G39" s="976"/>
    </row>
    <row r="40" spans="1:7" ht="24.75" customHeight="1" thickBot="1">
      <c r="A40" s="1006" t="s">
        <v>1625</v>
      </c>
      <c r="B40" s="1002">
        <v>1988</v>
      </c>
      <c r="C40" s="2812"/>
      <c r="D40" s="1892" t="s">
        <v>1570</v>
      </c>
      <c r="E40" s="1002"/>
      <c r="F40" s="1891" t="s">
        <v>1626</v>
      </c>
      <c r="G40" s="1002"/>
    </row>
    <row r="41" spans="1:7">
      <c r="A41" s="1007" t="s">
        <v>1627</v>
      </c>
      <c r="B41" s="1057"/>
      <c r="C41" s="2801" t="s">
        <v>1627</v>
      </c>
      <c r="D41" s="2802"/>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03" t="s">
        <v>1630</v>
      </c>
      <c r="D48" s="2804"/>
      <c r="E48" s="1052"/>
      <c r="F48" s="1891" t="s">
        <v>1631</v>
      </c>
      <c r="G48" s="1002"/>
    </row>
    <row r="49" spans="1:15">
      <c r="A49" s="1005" t="s">
        <v>1632</v>
      </c>
      <c r="B49" s="1051"/>
      <c r="C49" s="2805" t="s">
        <v>1633</v>
      </c>
      <c r="D49" s="2806"/>
      <c r="E49" s="1053"/>
      <c r="F49" s="1081"/>
      <c r="G49" s="1082"/>
    </row>
    <row r="50" spans="1:15" ht="13.5" thickBot="1">
      <c r="A50" s="1005" t="s">
        <v>1634</v>
      </c>
      <c r="B50" s="2743" t="s">
        <v>2827</v>
      </c>
      <c r="C50" s="2812" t="s">
        <v>1635</v>
      </c>
      <c r="D50" s="2815"/>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4"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2823</v>
      </c>
      <c r="C3" s="1851"/>
      <c r="D3" s="2835"/>
      <c r="E3" s="1185" t="s">
        <v>2822</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2932</v>
      </c>
      <c r="C4" s="1851"/>
      <c r="D4" s="2835"/>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2882</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2500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278225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0.7</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2880</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8</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6" t="s">
        <v>1730</v>
      </c>
      <c r="B1" s="2837"/>
      <c r="C1" s="2837"/>
      <c r="D1" s="2837"/>
      <c r="E1" s="2837"/>
      <c r="F1" s="2837"/>
      <c r="G1" s="2837"/>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2837</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2838</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2838</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2839</v>
      </c>
      <c r="D8" s="2145"/>
      <c r="E8" s="2145"/>
      <c r="F8" s="1243"/>
      <c r="G8" s="1243"/>
      <c r="H8" s="2135"/>
      <c r="I8" s="2135"/>
      <c r="J8" s="2135"/>
      <c r="K8" s="2135"/>
      <c r="L8" s="2135"/>
      <c r="M8" s="2135"/>
      <c r="N8" s="2135"/>
      <c r="O8" s="2135"/>
      <c r="P8" s="2135"/>
      <c r="Q8" s="2135"/>
      <c r="R8" s="2135"/>
    </row>
    <row r="9" spans="1:29" ht="15">
      <c r="A9" s="411"/>
      <c r="B9" s="1883" t="s">
        <v>1748</v>
      </c>
      <c r="C9" s="2733" t="s">
        <v>2838</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276.173</v>
      </c>
      <c r="C5" s="1826">
        <f ca="1">ROUND(B5*10000/$B$1,0)</f>
        <v>24816</v>
      </c>
      <c r="D5" s="1826">
        <f ca="1">ROUND(B5*10000/$B$2,0)</f>
        <v>11109</v>
      </c>
      <c r="E5" s="1827"/>
      <c r="F5" s="1831"/>
      <c r="G5" s="1831"/>
    </row>
    <row r="6" spans="1:9" ht="16.5">
      <c r="A6" s="1826" t="s">
        <v>1233</v>
      </c>
      <c r="B6" s="1826">
        <f ca="1">SUM(G14:G23)</f>
        <v>276.173</v>
      </c>
      <c r="C6" s="1826">
        <f t="shared" ref="C6:C8" ca="1" si="0">ROUND(B6*10000/$B$1,0)</f>
        <v>24816</v>
      </c>
      <c r="D6" s="1826">
        <f t="shared" ref="D6:D8" ca="1" si="1">ROUND(B6*10000/$B$2,0)</f>
        <v>11109</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2931</v>
      </c>
      <c r="B14" s="1830">
        <f>项目基本情况!C12</f>
        <v>111.29</v>
      </c>
      <c r="C14" s="1830">
        <f>项目基本情况!C13</f>
        <v>248.61</v>
      </c>
      <c r="D14" s="1830">
        <f ca="1">IF('数据-取费表'!B3="万元",IF(A14="估价对象1（结果表）",结果表!H121,'结果表 (1修多)'!H124),IF(A14="估价对象1（结果表）",结果表!H121,'结果表 (1修多)'!H124)/10000)</f>
        <v>276.173</v>
      </c>
      <c r="E14" s="1830">
        <f ca="1">ROUND(D14*10000/B14,0)</f>
        <v>24816</v>
      </c>
      <c r="F14" s="1830">
        <f ca="1">ROUND(D14*10000/C14,0)</f>
        <v>11109</v>
      </c>
      <c r="G14" s="1830">
        <f ca="1">IF('数据-取费表'!B3="万元",IF(A14="估价对象1（结果表）",结果表!D125,'结果表 (1修多)'!D128),IF(A14="估价对象1（结果表）",结果表!D125,'结果表 (1修多)'!D128)/10000)</f>
        <v>276.173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02" t="str">
        <f>项目基本情况!B1</f>
        <v>北京市房地产市场价值预评估</v>
      </c>
      <c r="B2" s="2902"/>
      <c r="C2" s="2902"/>
      <c r="D2" s="2902"/>
      <c r="E2" s="2902"/>
      <c r="F2" s="2902"/>
      <c r="G2" s="2902"/>
      <c r="H2" s="2902"/>
      <c r="I2" s="2902"/>
    </row>
    <row r="3" spans="1:12" ht="12.75">
      <c r="A3" s="2905" t="s">
        <v>1764</v>
      </c>
      <c r="B3" s="2906"/>
      <c r="C3" s="2906"/>
      <c r="D3" s="2906"/>
      <c r="E3" s="2906"/>
      <c r="F3" s="2906"/>
      <c r="G3" s="2906"/>
      <c r="H3" s="2906"/>
      <c r="I3" s="2906"/>
    </row>
    <row r="4" spans="1:12" ht="14.25">
      <c r="A4" s="2191" t="s">
        <v>1765</v>
      </c>
      <c r="B4" s="2192" t="s">
        <v>1766</v>
      </c>
      <c r="C4" s="2193" t="s">
        <v>2926</v>
      </c>
      <c r="D4" s="2193" t="s">
        <v>2877</v>
      </c>
      <c r="E4" s="2886" t="s">
        <v>1767</v>
      </c>
      <c r="F4" s="2887"/>
      <c r="G4" s="2887"/>
      <c r="H4" s="2887"/>
      <c r="I4" s="289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79" t="s">
        <v>1768</v>
      </c>
      <c r="B5" s="2841">
        <v>25</v>
      </c>
      <c r="C5" s="2890"/>
      <c r="D5" s="2904"/>
      <c r="E5" s="56" t="s">
        <v>1769</v>
      </c>
      <c r="F5" s="2194"/>
      <c r="G5" s="2194"/>
      <c r="H5" s="2194"/>
      <c r="I5" s="2195"/>
    </row>
    <row r="6" spans="1:12" ht="12.75">
      <c r="A6" s="2879"/>
      <c r="B6" s="2841"/>
      <c r="C6" s="2907"/>
      <c r="D6" s="2904"/>
      <c r="E6" s="56" t="s">
        <v>1770</v>
      </c>
      <c r="F6" s="2194"/>
      <c r="G6" s="2194"/>
      <c r="H6" s="2194"/>
      <c r="I6" s="2195"/>
    </row>
    <row r="7" spans="1:12" ht="12.75">
      <c r="A7" s="2879"/>
      <c r="B7" s="2841"/>
      <c r="C7" s="2891"/>
      <c r="D7" s="2904"/>
      <c r="E7" s="56" t="s">
        <v>1771</v>
      </c>
      <c r="F7" s="2194"/>
      <c r="G7" s="2194"/>
      <c r="H7" s="2194"/>
      <c r="I7" s="2195"/>
    </row>
    <row r="8" spans="1:12" ht="12.75">
      <c r="A8" s="2879" t="s">
        <v>1772</v>
      </c>
      <c r="B8" s="2841">
        <v>15</v>
      </c>
      <c r="C8" s="2890"/>
      <c r="D8" s="2904"/>
      <c r="E8" s="56" t="s">
        <v>1773</v>
      </c>
      <c r="F8" s="2194"/>
      <c r="G8" s="2194"/>
      <c r="H8" s="2194"/>
      <c r="I8" s="2195"/>
    </row>
    <row r="9" spans="1:12" ht="12.75">
      <c r="A9" s="2879"/>
      <c r="B9" s="2841"/>
      <c r="C9" s="2891"/>
      <c r="D9" s="2904"/>
      <c r="E9" s="56" t="s">
        <v>1774</v>
      </c>
      <c r="F9" s="2194"/>
      <c r="G9" s="2194"/>
      <c r="H9" s="2194"/>
      <c r="I9" s="2195"/>
    </row>
    <row r="10" spans="1:12" ht="12.75">
      <c r="A10" s="2879" t="s">
        <v>1775</v>
      </c>
      <c r="B10" s="2841">
        <v>15</v>
      </c>
      <c r="C10" s="2890"/>
      <c r="D10" s="2904"/>
      <c r="E10" s="56" t="s">
        <v>1776</v>
      </c>
      <c r="F10" s="2194"/>
      <c r="G10" s="2194"/>
      <c r="H10" s="2194"/>
      <c r="I10" s="2195"/>
    </row>
    <row r="11" spans="1:12" ht="12.75">
      <c r="A11" s="2879"/>
      <c r="B11" s="2841"/>
      <c r="C11" s="2891"/>
      <c r="D11" s="2904"/>
      <c r="E11" s="56" t="s">
        <v>1777</v>
      </c>
      <c r="F11" s="2194"/>
      <c r="G11" s="2194"/>
      <c r="H11" s="2194"/>
      <c r="I11" s="2195"/>
    </row>
    <row r="12" spans="1:12" ht="12.75">
      <c r="A12" s="2879" t="s">
        <v>1778</v>
      </c>
      <c r="B12" s="2841">
        <v>15</v>
      </c>
      <c r="C12" s="2890"/>
      <c r="D12" s="2904"/>
      <c r="E12" s="56" t="s">
        <v>1779</v>
      </c>
      <c r="F12" s="2194"/>
      <c r="G12" s="2194"/>
      <c r="H12" s="2194"/>
      <c r="I12" s="2195"/>
    </row>
    <row r="13" spans="1:12" ht="12.75">
      <c r="A13" s="2879"/>
      <c r="B13" s="2841"/>
      <c r="C13" s="2891"/>
      <c r="D13" s="2904"/>
      <c r="E13" s="56" t="s">
        <v>1780</v>
      </c>
      <c r="F13" s="2194"/>
      <c r="G13" s="2194"/>
      <c r="H13" s="2194"/>
      <c r="I13" s="2195"/>
    </row>
    <row r="14" spans="1:12" ht="12.75">
      <c r="A14" s="2879" t="s">
        <v>1781</v>
      </c>
      <c r="B14" s="2841">
        <v>30</v>
      </c>
      <c r="C14" s="2890">
        <v>5</v>
      </c>
      <c r="D14" s="2904">
        <v>5</v>
      </c>
      <c r="E14" s="56" t="s">
        <v>1782</v>
      </c>
      <c r="F14" s="2194"/>
      <c r="G14" s="2194"/>
      <c r="H14" s="2194"/>
      <c r="I14" s="2195"/>
    </row>
    <row r="15" spans="1:12" ht="12.75">
      <c r="A15" s="2879"/>
      <c r="B15" s="2841"/>
      <c r="C15" s="2907"/>
      <c r="D15" s="2904"/>
      <c r="E15" s="56" t="s">
        <v>1783</v>
      </c>
      <c r="F15" s="2194"/>
      <c r="G15" s="2194"/>
      <c r="H15" s="2194"/>
      <c r="I15" s="2195"/>
    </row>
    <row r="16" spans="1:12" ht="12.75">
      <c r="A16" s="2879"/>
      <c r="B16" s="2841"/>
      <c r="C16" s="2891"/>
      <c r="D16" s="2904"/>
      <c r="E16" s="56" t="s">
        <v>1784</v>
      </c>
      <c r="F16" s="2194"/>
      <c r="G16" s="2194"/>
      <c r="H16" s="2194"/>
      <c r="I16" s="2195"/>
    </row>
    <row r="17" spans="1:35" ht="15">
      <c r="A17" s="2196" t="s">
        <v>1785</v>
      </c>
      <c r="B17" s="2197"/>
      <c r="C17" s="57">
        <f>SUM(C5:C16)</f>
        <v>5</v>
      </c>
      <c r="D17" s="57">
        <f>SUM(D5:D16)</f>
        <v>5</v>
      </c>
      <c r="E17" s="2189"/>
      <c r="F17" s="2189"/>
      <c r="G17" s="2189"/>
      <c r="H17" s="2189"/>
      <c r="I17" s="2189"/>
    </row>
    <row r="18" spans="1:35" ht="15.75" thickBot="1">
      <c r="A18" s="2198" t="s">
        <v>1786</v>
      </c>
      <c r="B18" s="2199"/>
      <c r="C18" s="58">
        <f>ROUND(C17/SUM(C17:D17),2)</f>
        <v>0.5</v>
      </c>
      <c r="D18" s="58">
        <f>1-C18</f>
        <v>0.5</v>
      </c>
      <c r="E18" s="2189"/>
      <c r="F18" s="2189"/>
      <c r="G18" s="2189"/>
      <c r="H18" s="2189"/>
      <c r="I18" s="2189"/>
    </row>
    <row r="19" spans="1:35" ht="15">
      <c r="A19" s="2200" t="s">
        <v>1787</v>
      </c>
      <c r="B19" s="2201" t="s">
        <v>1788</v>
      </c>
      <c r="C19" s="59">
        <f ca="1">SUMIF(INDIRECT("'"&amp;C4&amp;"'"&amp;"!A:A"),结果表!B19,INDIRECT("'"&amp;C4&amp;"'"&amp;"!B:B"))</f>
        <v>4547866</v>
      </c>
      <c r="D19" s="60">
        <f ca="1">SUMIF(INDIRECT("'"&amp;D4&amp;"'"&amp;"!A:A"),结果表!B19,INDIRECT("'"&amp;D4&amp;"'"&amp;"!B:B"))</f>
        <v>5057769</v>
      </c>
      <c r="E19" s="2200" t="s">
        <v>1789</v>
      </c>
      <c r="F19" s="2201" t="s">
        <v>1788</v>
      </c>
      <c r="G19" s="61">
        <f ca="1">ROUND(C19*$C$18+D19*$D$18,0)</f>
        <v>4802818</v>
      </c>
      <c r="H19" s="2202" t="str">
        <f>'数据-取费表'!B3</f>
        <v>元</v>
      </c>
      <c r="I19" s="2189"/>
    </row>
    <row r="20" spans="1:35" ht="15">
      <c r="A20" s="2203"/>
      <c r="B20" s="2204" t="s">
        <v>1790</v>
      </c>
      <c r="C20" s="62">
        <f ca="1">SUMIF(INDIRECT("'"&amp;C4&amp;"'"&amp;"!A:A"),结果表!B20,INDIRECT("'"&amp;C4&amp;"'"&amp;"!B:B"))</f>
        <v>40865</v>
      </c>
      <c r="D20" s="63">
        <f ca="1">SUMIF(INDIRECT("'"&amp;D4&amp;"'"&amp;"!A:A"),结果表!B20,INDIRECT("'"&amp;D4&amp;"'"&amp;"!B:B"))</f>
        <v>45447</v>
      </c>
      <c r="E20" s="2203"/>
      <c r="F20" s="2204" t="s">
        <v>1790</v>
      </c>
      <c r="G20" s="64">
        <f ca="1">ROUND(C20*$C$18+D20*$D$18,0)</f>
        <v>43156</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f ca="1">IF(C19&lt;D19,D19/C19-1,C19/D19-1)</f>
        <v>0.11211917853340436</v>
      </c>
      <c r="E22" s="2189"/>
      <c r="F22" s="2189"/>
      <c r="G22" s="2189"/>
      <c r="H22" s="2189"/>
      <c r="I22" s="2189"/>
    </row>
    <row r="23" spans="1:35" ht="13.5" thickBot="1">
      <c r="A23" s="2189"/>
      <c r="B23" s="2189"/>
      <c r="C23" s="2189"/>
      <c r="D23" s="2189"/>
      <c r="E23" s="2189"/>
      <c r="F23" s="2189"/>
      <c r="G23" s="2189"/>
      <c r="H23" s="2189"/>
      <c r="I23" s="2189"/>
    </row>
    <row r="24" spans="1:35" ht="21.75" customHeight="1">
      <c r="A24" s="2910" t="s">
        <v>1793</v>
      </c>
      <c r="B24" s="2201" t="s">
        <v>1788</v>
      </c>
      <c r="C24" s="61">
        <f ca="1">D30</f>
        <v>2041088</v>
      </c>
      <c r="D24" s="992"/>
      <c r="E24" s="2189"/>
      <c r="F24" s="2189"/>
      <c r="G24" s="2189"/>
      <c r="H24" s="2189"/>
      <c r="I24" s="2189"/>
    </row>
    <row r="25" spans="1:35" ht="21.75" customHeight="1">
      <c r="A25" s="2911"/>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c r="C27" s="67"/>
      <c r="D27" s="68">
        <f ca="1">基准地价修正!E30</f>
        <v>2041088</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5" thickBot="1">
      <c r="A30" s="67" t="s">
        <v>1798</v>
      </c>
      <c r="B30" s="67">
        <f>B27</f>
        <v>0</v>
      </c>
      <c r="C30" s="67" t="e">
        <f ca="1">ROUND(D30/B30,0)</f>
        <v>#DIV/0!</v>
      </c>
      <c r="D30" s="67">
        <f ca="1">D27</f>
        <v>2041088</v>
      </c>
      <c r="E30" s="2710" t="s">
        <v>2798</v>
      </c>
      <c r="F30" s="2189"/>
      <c r="G30" s="2189"/>
      <c r="H30" s="2189"/>
      <c r="I30" s="2189"/>
    </row>
    <row r="31" spans="1:35" s="2216" customFormat="1" ht="15" hidden="1"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总价</v>
      </c>
      <c r="C32" s="1142">
        <f ca="1">IF(B32="总价",G19-C24,G20-C25)</f>
        <v>2761730</v>
      </c>
      <c r="D32" s="2189" t="str">
        <f>IF(B32="楼面单价","元/平方米",H19)</f>
        <v>元</v>
      </c>
      <c r="E32" s="2189"/>
      <c r="F32" s="2189"/>
      <c r="G32" s="2189"/>
      <c r="H32" s="2189"/>
      <c r="I32" s="2189"/>
    </row>
    <row r="33" spans="1:16" ht="15" hidden="1">
      <c r="A33" s="2219" t="s">
        <v>1800</v>
      </c>
      <c r="B33" s="2220"/>
      <c r="C33" s="2221"/>
      <c r="D33" s="2222"/>
      <c r="E33" s="2223" t="s">
        <v>1801</v>
      </c>
      <c r="F33" s="2224" t="str">
        <f>IF(B32="楼面单价","取值（单价）","取值（总价）")</f>
        <v>取值（总价）</v>
      </c>
      <c r="G33" s="2189"/>
      <c r="H33" s="2189"/>
      <c r="I33" s="2189"/>
    </row>
    <row r="34" spans="1:16" ht="15" hidden="1">
      <c r="A34" s="2225"/>
      <c r="B34" s="2226" t="s">
        <v>1802</v>
      </c>
      <c r="C34" s="72">
        <f ca="1">IF(D33="自定义",F34,C32-C35)</f>
        <v>2596026</v>
      </c>
      <c r="D34" s="1088">
        <f ca="1">IF(D33="自定义",ROUND(C34/C32,3),1-D35)</f>
        <v>0.94</v>
      </c>
      <c r="E34" s="2227" t="s">
        <v>1803</v>
      </c>
      <c r="F34" s="1824"/>
      <c r="G34" s="2189"/>
      <c r="H34" s="2189"/>
      <c r="I34" s="2189"/>
    </row>
    <row r="35" spans="1:16" ht="15.75" hidden="1" thickBot="1">
      <c r="A35" s="2228"/>
      <c r="B35" s="2229" t="s">
        <v>1804</v>
      </c>
      <c r="C35" s="73">
        <f ca="1">IF(D33="自定义",F35,ROUND(C32*D35,0))</f>
        <v>165704</v>
      </c>
      <c r="D35" s="1087">
        <f ca="1">IF(D33="自定义",ROUND(C35/C32,3),IF(D33="成本法成本比率",成本法!C56,IF(D33="收益法收益比率",收益法!J38,收益法!J41)))</f>
        <v>0.06</v>
      </c>
      <c r="E35" s="2230" t="s">
        <v>1805</v>
      </c>
      <c r="F35" s="79"/>
      <c r="G35" s="2189"/>
      <c r="H35" s="2189"/>
      <c r="I35" s="2189"/>
    </row>
    <row r="36" spans="1:16" ht="15.75" thickBot="1">
      <c r="A36" s="2892" t="s">
        <v>1806</v>
      </c>
      <c r="B36" s="2231" t="s">
        <v>1807</v>
      </c>
      <c r="C36" s="69">
        <v>0</v>
      </c>
      <c r="D36" s="2232" t="s">
        <v>2878</v>
      </c>
      <c r="E36" s="2233"/>
      <c r="F36" s="2233"/>
      <c r="G36" s="2189"/>
      <c r="H36" s="2189"/>
      <c r="I36" s="2189"/>
    </row>
    <row r="37" spans="1:16" ht="15.75" thickBot="1">
      <c r="A37" s="2893"/>
      <c r="B37" s="2234" t="s">
        <v>1808</v>
      </c>
      <c r="C37" s="71">
        <v>0</v>
      </c>
      <c r="D37" s="2199"/>
      <c r="E37" s="2199"/>
      <c r="F37" s="2233"/>
      <c r="G37" s="2199"/>
      <c r="H37" s="2199"/>
      <c r="I37" s="2199"/>
    </row>
    <row r="38" spans="1:16" ht="15.75" thickBot="1">
      <c r="A38" s="2894"/>
      <c r="B38" s="2235" t="s">
        <v>1809</v>
      </c>
      <c r="C38" s="710">
        <f>E40</f>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898" t="s">
        <v>1817</v>
      </c>
      <c r="B45" s="2899"/>
      <c r="C45" s="2900"/>
      <c r="D45" s="80">
        <f ca="1">ROUND(I102*F45,0)</f>
        <v>2761730</v>
      </c>
      <c r="E45" s="81" t="s">
        <v>1818</v>
      </c>
      <c r="F45" s="82">
        <v>1</v>
      </c>
      <c r="G45" s="83" t="s">
        <v>1819</v>
      </c>
      <c r="H45" s="2189"/>
      <c r="I45" s="2189"/>
      <c r="J45" s="2960" t="s">
        <v>1820</v>
      </c>
      <c r="K45" s="2960"/>
      <c r="L45" s="2960"/>
      <c r="M45" s="2960"/>
      <c r="N45" s="2960"/>
      <c r="O45" s="2960"/>
      <c r="P45" s="1841"/>
    </row>
    <row r="46" spans="1:16" ht="14.25" hidden="1" customHeight="1">
      <c r="A46" s="2883" t="s">
        <v>1821</v>
      </c>
      <c r="B46" s="2884"/>
      <c r="C46" s="2884"/>
      <c r="D46" s="2884"/>
      <c r="E46" s="2884"/>
      <c r="F46" s="2884"/>
      <c r="G46" s="2885"/>
      <c r="H46" s="2251"/>
      <c r="I46" s="1141"/>
      <c r="J46" s="1879">
        <v>1</v>
      </c>
      <c r="K46" s="2960" t="s">
        <v>1822</v>
      </c>
      <c r="L46" s="2960"/>
      <c r="M46" s="2961" t="str">
        <f>项目基本情况!B1</f>
        <v>北京市房地产市场价值预评估</v>
      </c>
      <c r="N46" s="2961"/>
      <c r="O46" s="2961"/>
      <c r="P46" s="1841"/>
    </row>
    <row r="47" spans="1:16" ht="12" hidden="1" customHeight="1">
      <c r="A47" s="85" t="s">
        <v>1823</v>
      </c>
      <c r="B47" s="86"/>
      <c r="C47" s="87"/>
      <c r="D47" s="88" t="s">
        <v>1824</v>
      </c>
      <c r="E47" s="14" t="s">
        <v>1825</v>
      </c>
      <c r="F47" s="89" t="s">
        <v>1826</v>
      </c>
      <c r="G47" s="90" t="s">
        <v>1827</v>
      </c>
      <c r="H47" s="2251"/>
      <c r="I47" s="1141"/>
      <c r="J47" s="1879">
        <v>2</v>
      </c>
      <c r="K47" s="2960" t="s">
        <v>1828</v>
      </c>
      <c r="L47" s="2960"/>
      <c r="M47" s="2962">
        <f>'数据-取费表'!B2</f>
        <v>43257</v>
      </c>
      <c r="N47" s="2962"/>
      <c r="O47" s="2962"/>
      <c r="P47" s="1841"/>
    </row>
    <row r="48" spans="1:16" ht="25.5" hidden="1">
      <c r="A48" s="2895" t="s">
        <v>1829</v>
      </c>
      <c r="B48" s="2896"/>
      <c r="C48" s="2896"/>
      <c r="D48" s="56">
        <f ca="1">IF(H48="情况1",0,IF(H48="情况2",D52,IF(H48="情况3",D53,IF(H48="情况4",D54))))</f>
        <v>147292</v>
      </c>
      <c r="E48" s="1889" t="str">
        <f>IF(H48="情况4","(销售额-原购置价)×税（费）率","销售额×税（费）率")</f>
        <v>销售额×税（费）率</v>
      </c>
      <c r="F48" s="91">
        <f>IF(H48="情况1","免征",'数据-取费表'!E29)</f>
        <v>5.6000000000000001E-2</v>
      </c>
      <c r="G48" s="2252" t="s">
        <v>1830</v>
      </c>
      <c r="H48" s="2253" t="s">
        <v>1831</v>
      </c>
      <c r="I48" s="2251"/>
      <c r="J48" s="1879">
        <v>3</v>
      </c>
      <c r="K48" s="2960" t="s">
        <v>1832</v>
      </c>
      <c r="L48" s="2960"/>
      <c r="M48" s="2961">
        <f ca="1">I102</f>
        <v>2761730</v>
      </c>
      <c r="N48" s="2961"/>
      <c r="O48" s="2961"/>
      <c r="P48" s="1841"/>
    </row>
    <row r="49" spans="1:16" ht="25.5" hidden="1" customHeight="1">
      <c r="A49" s="92" t="s">
        <v>1833</v>
      </c>
      <c r="B49" s="2888" t="s">
        <v>1834</v>
      </c>
      <c r="C49" s="2888"/>
      <c r="D49" s="93">
        <v>0</v>
      </c>
      <c r="E49" s="13" t="s">
        <v>1835</v>
      </c>
      <c r="F49" s="18" t="s">
        <v>48</v>
      </c>
      <c r="G49" s="2953"/>
      <c r="H49" s="2189"/>
      <c r="I49" s="2254"/>
      <c r="J49" s="1879">
        <v>4</v>
      </c>
      <c r="K49" s="2960" t="str">
        <f>IF(项目基本情况!F5="房地产抵押价值","房地产抵押价值","抵押担保权已注销时的房地产抵押价值")</f>
        <v>抵押担保权已注销时的房地产抵押价值</v>
      </c>
      <c r="L49" s="2960"/>
      <c r="M49" s="2961" t="str">
        <f>IF(项目基本情况!F5="房地产抵押价值",I110,I112)</f>
        <v>——</v>
      </c>
      <c r="N49" s="2961"/>
      <c r="O49" s="2961"/>
      <c r="P49" s="1841"/>
    </row>
    <row r="50" spans="1:16" ht="25.5" hidden="1" customHeight="1">
      <c r="A50" s="94"/>
      <c r="B50" s="2888" t="s">
        <v>1836</v>
      </c>
      <c r="C50" s="2888"/>
      <c r="D50" s="95"/>
      <c r="E50" s="21"/>
      <c r="F50" s="96"/>
      <c r="G50" s="2954"/>
      <c r="H50" s="2189"/>
      <c r="I50" s="2254"/>
      <c r="J50" s="2960" t="s">
        <v>1837</v>
      </c>
      <c r="K50" s="2960"/>
      <c r="L50" s="2960"/>
      <c r="M50" s="2960"/>
      <c r="N50" s="2960"/>
      <c r="O50" s="2960"/>
      <c r="P50" s="1841"/>
    </row>
    <row r="51" spans="1:16" ht="12" hidden="1" customHeight="1">
      <c r="A51" s="97"/>
      <c r="B51" s="2888" t="s">
        <v>1838</v>
      </c>
      <c r="C51" s="2888"/>
      <c r="D51" s="98"/>
      <c r="E51" s="20"/>
      <c r="F51" s="96"/>
      <c r="G51" s="2955"/>
      <c r="H51" s="2189"/>
      <c r="I51" s="2254"/>
      <c r="J51" s="2255" t="s">
        <v>1839</v>
      </c>
      <c r="K51" s="2960" t="s">
        <v>1840</v>
      </c>
      <c r="L51" s="2960"/>
      <c r="M51" s="2255" t="s">
        <v>1841</v>
      </c>
      <c r="N51" s="2255" t="s">
        <v>1842</v>
      </c>
      <c r="O51" s="2255" t="s">
        <v>1843</v>
      </c>
      <c r="P51" s="1841"/>
    </row>
    <row r="52" spans="1:16" ht="24" hidden="1" customHeight="1">
      <c r="A52" s="99" t="s">
        <v>1844</v>
      </c>
      <c r="B52" s="2888" t="s">
        <v>1845</v>
      </c>
      <c r="C52" s="2888"/>
      <c r="D52" s="98">
        <f ca="1">ROUND(D45*'数据-取费表'!E29/(1+'数据-取费表'!F30),0)</f>
        <v>147292</v>
      </c>
      <c r="E52" s="10" t="s">
        <v>1846</v>
      </c>
      <c r="F52" s="100">
        <f>'数据-取费表'!E29</f>
        <v>5.6000000000000001E-2</v>
      </c>
      <c r="G52" s="2256"/>
      <c r="H52" s="2189"/>
      <c r="I52" s="2254"/>
      <c r="J52" s="1879">
        <v>1</v>
      </c>
      <c r="K52" s="2920" t="s">
        <v>1847</v>
      </c>
      <c r="L52" s="2920"/>
      <c r="M52" s="776">
        <f ca="1">D48</f>
        <v>147292</v>
      </c>
      <c r="N52" s="1879" t="str">
        <f>E48</f>
        <v>销售额×税（费）率</v>
      </c>
      <c r="O52" s="777">
        <f>F48</f>
        <v>5.6000000000000001E-2</v>
      </c>
      <c r="P52" s="1841"/>
    </row>
    <row r="53" spans="1:16" ht="12" hidden="1" customHeight="1">
      <c r="A53" s="99" t="s">
        <v>1848</v>
      </c>
      <c r="B53" s="2889" t="s">
        <v>1849</v>
      </c>
      <c r="C53" s="2819"/>
      <c r="D53" s="98">
        <f ca="1">ROUND(D45*'数据-取费表'!E29/(1+'数据-取费表'!F30),0)</f>
        <v>147292</v>
      </c>
      <c r="E53" s="10" t="s">
        <v>1846</v>
      </c>
      <c r="F53" s="100">
        <f>'数据-取费表'!E29</f>
        <v>5.6000000000000001E-2</v>
      </c>
      <c r="G53" s="2256"/>
      <c r="H53" s="2189"/>
      <c r="I53" s="2254"/>
      <c r="J53" s="1879">
        <v>2</v>
      </c>
      <c r="K53" s="2920" t="s">
        <v>1850</v>
      </c>
      <c r="L53" s="2920"/>
      <c r="M53" s="776">
        <f t="shared" ref="M53:O54" ca="1" si="1">D55</f>
        <v>1381</v>
      </c>
      <c r="N53" s="1879" t="str">
        <f t="shared" si="1"/>
        <v>销售额×税（费）率</v>
      </c>
      <c r="O53" s="777">
        <f t="shared" si="1"/>
        <v>5.0000000000000001E-4</v>
      </c>
      <c r="P53" s="1841"/>
    </row>
    <row r="54" spans="1:16" ht="12" hidden="1" customHeight="1">
      <c r="A54" s="99" t="s">
        <v>1851</v>
      </c>
      <c r="B54" s="2889" t="s">
        <v>1852</v>
      </c>
      <c r="C54" s="2819"/>
      <c r="D54" s="98">
        <f ca="1">C68</f>
        <v>147292</v>
      </c>
      <c r="E54" s="20" t="s">
        <v>1853</v>
      </c>
      <c r="F54" s="100">
        <f>'数据-取费表'!E29</f>
        <v>5.6000000000000001E-2</v>
      </c>
      <c r="G54" s="2256"/>
      <c r="H54" s="2257"/>
      <c r="I54" s="2254"/>
      <c r="J54" s="1879">
        <v>3</v>
      </c>
      <c r="K54" s="2920" t="s">
        <v>1854</v>
      </c>
      <c r="L54" s="2920"/>
      <c r="M54" s="776">
        <f t="shared" ca="1" si="1"/>
        <v>1563139</v>
      </c>
      <c r="N54" s="1879" t="str">
        <f t="shared" si="1"/>
        <v>增值额×税（费）率</v>
      </c>
      <c r="O54" s="778" t="str">
        <f t="shared" si="1"/>
        <v>——</v>
      </c>
      <c r="P54" s="1841"/>
    </row>
    <row r="55" spans="1:16" ht="24" hidden="1" customHeight="1">
      <c r="A55" s="2811" t="s">
        <v>1855</v>
      </c>
      <c r="B55" s="2896"/>
      <c r="C55" s="2896"/>
      <c r="D55" s="101">
        <f ca="1">IF(H55="个人住宅",0,ROUND(D45*I55,0))</f>
        <v>1381</v>
      </c>
      <c r="E55" s="10" t="s">
        <v>1856</v>
      </c>
      <c r="F55" s="100">
        <f>IF(H55="正常",I55,"免征")</f>
        <v>5.0000000000000001E-4</v>
      </c>
      <c r="G55" s="2256"/>
      <c r="H55" s="2253" t="s">
        <v>1857</v>
      </c>
      <c r="I55" s="102">
        <f>'数据-取费表'!E37</f>
        <v>5.0000000000000001E-4</v>
      </c>
      <c r="J55" s="1879">
        <f>IF(H59="非个人房产","",4)</f>
        <v>4</v>
      </c>
      <c r="K55" s="2920" t="str">
        <f>IF(H59="非个人房产","——","个人所得税")</f>
        <v>个人所得税</v>
      </c>
      <c r="L55" s="2920"/>
      <c r="M55" s="779">
        <f ca="1">D59</f>
        <v>27617</v>
      </c>
      <c r="N55" s="1882" t="str">
        <f>E59</f>
        <v>销售额×税（费）率</v>
      </c>
      <c r="O55" s="780">
        <f>F59</f>
        <v>0.01</v>
      </c>
      <c r="P55" s="1841"/>
    </row>
    <row r="56" spans="1:16" ht="24.75" hidden="1">
      <c r="A56" s="2811" t="s">
        <v>1858</v>
      </c>
      <c r="B56" s="2896"/>
      <c r="C56" s="2896"/>
      <c r="D56" s="101">
        <f ca="1">IF(H56="个人住宅",D57,D58)</f>
        <v>1563139</v>
      </c>
      <c r="E56" s="10" t="s">
        <v>1859</v>
      </c>
      <c r="F56" s="100" t="str">
        <f>IF(H56="正常",F58,"免征")</f>
        <v>——</v>
      </c>
      <c r="G56" s="2258" t="s">
        <v>1860</v>
      </c>
      <c r="H56" s="2259" t="s">
        <v>1857</v>
      </c>
      <c r="I56" s="1019"/>
      <c r="J56" s="1879" t="str">
        <f>IF(项目基本情况!I6="上海银行",IF(J55="",4,J55+1),"")</f>
        <v/>
      </c>
      <c r="K56" s="2938" t="str">
        <f>IF(项目基本情况!I6="上海银行","其他处置费用","")</f>
        <v/>
      </c>
      <c r="L56" s="2939"/>
      <c r="M56" s="776" t="str">
        <f>IF(项目基本情况!I6="上海银行",M69,"")</f>
        <v/>
      </c>
      <c r="N56" s="2951" t="str">
        <f>IF(项目基本情况!I6="上海银行","包含处置中涉及的律师、诉讼、拍卖、评估等费用","")</f>
        <v/>
      </c>
      <c r="O56" s="2952"/>
      <c r="P56" s="1841"/>
    </row>
    <row r="57" spans="1:16" ht="12.75" hidden="1">
      <c r="A57" s="99" t="s">
        <v>1833</v>
      </c>
      <c r="B57" s="2886" t="s">
        <v>1861</v>
      </c>
      <c r="C57" s="2897"/>
      <c r="D57" s="103">
        <v>0</v>
      </c>
      <c r="E57" s="13" t="s">
        <v>1835</v>
      </c>
      <c r="F57" s="70"/>
      <c r="G57" s="2256"/>
      <c r="H57" s="1019"/>
      <c r="I57" s="1019"/>
      <c r="J57" s="2920">
        <f>IF(AND(J55="",J56=""),4,IF(项目基本情况!I6="上海银行",J56+1,J55+1))</f>
        <v>5</v>
      </c>
      <c r="K57" s="2920" t="s">
        <v>1862</v>
      </c>
      <c r="L57" s="2260" t="s">
        <v>1863</v>
      </c>
      <c r="M57" s="781"/>
      <c r="N57" s="782">
        <f ca="1">SUMIF(M52:M56,"&lt;9e307")</f>
        <v>1739429</v>
      </c>
      <c r="O57" s="2261"/>
      <c r="P57" s="1837" t="e">
        <f ca="1">N57/M49</f>
        <v>#VALUE!</v>
      </c>
    </row>
    <row r="58" spans="1:16" ht="24.75" hidden="1">
      <c r="A58" s="99" t="s">
        <v>1844</v>
      </c>
      <c r="B58" s="2886" t="s">
        <v>1864</v>
      </c>
      <c r="C58" s="2887"/>
      <c r="D58" s="101">
        <f ca="1">IF(H58="转让取得",C81,C97)</f>
        <v>1563139</v>
      </c>
      <c r="E58" s="10" t="s">
        <v>1859</v>
      </c>
      <c r="F58" s="14" t="s">
        <v>48</v>
      </c>
      <c r="G58" s="2256"/>
      <c r="H58" s="2259" t="s">
        <v>1865</v>
      </c>
      <c r="I58" s="1019"/>
      <c r="J58" s="2920"/>
      <c r="K58" s="2920"/>
      <c r="L58" s="2260" t="s">
        <v>1866</v>
      </c>
      <c r="M58" s="783"/>
      <c r="N58" s="2262" t="str">
        <f ca="1">IF(H19="元",NUMBERSTRING(INT(N57),2)&amp;"元整",NUMBERSTRING(INT(N57*10000),2)&amp;"元整")</f>
        <v>壹佰柒拾叁万玖仟肆佰贰拾玖元整</v>
      </c>
      <c r="O58" s="2263"/>
      <c r="P58" s="1841"/>
    </row>
    <row r="59" spans="1:16" ht="26.25" hidden="1" thickBot="1">
      <c r="A59" s="2812" t="s">
        <v>1867</v>
      </c>
      <c r="B59" s="2815"/>
      <c r="C59" s="2815"/>
      <c r="D59" s="104">
        <f ca="1">IF(H59="非个人房产","——",IF(H59="个人住宅",0,ROUND(D45*I59,0)))</f>
        <v>27617</v>
      </c>
      <c r="E59" s="105" t="str">
        <f>IF(H59="非个人房产","——","销售额×税（费）率")</f>
        <v>销售额×税（费）率</v>
      </c>
      <c r="F59" s="106">
        <f>IF(H59="非个人房产","——",IF(H59="个人住宅","免征",I59))</f>
        <v>0.01</v>
      </c>
      <c r="G59" s="2264" t="s">
        <v>1860</v>
      </c>
      <c r="H59" s="2259" t="s">
        <v>1868</v>
      </c>
      <c r="I59" s="107">
        <v>0.01</v>
      </c>
      <c r="J59" s="2918">
        <f>J57+1</f>
        <v>6</v>
      </c>
      <c r="K59" s="2920"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919"/>
      <c r="K60" s="2920"/>
      <c r="L60" s="2260" t="s">
        <v>1866</v>
      </c>
      <c r="M60" s="783"/>
      <c r="N60" s="2262" t="e">
        <f ca="1">IF(H19="元",NUMBERSTRING(INT(N59),2)&amp;"元整",NUMBERSTRING(INT(N59*10000),2)&amp;"元整")</f>
        <v>#VALUE!</v>
      </c>
      <c r="O60" s="2263"/>
      <c r="P60" s="1841"/>
    </row>
    <row r="61" spans="1:16" ht="13.5" hidden="1" thickBot="1">
      <c r="A61" s="2901" t="s">
        <v>1870</v>
      </c>
      <c r="B61" s="2901"/>
      <c r="C61" s="2901"/>
      <c r="D61" s="2901"/>
      <c r="E61" s="2901"/>
      <c r="F61" s="1019"/>
      <c r="G61" s="1019"/>
      <c r="H61" s="2242"/>
      <c r="I61" s="2189"/>
      <c r="J61" s="1879">
        <f>J59+1</f>
        <v>7</v>
      </c>
      <c r="K61" s="2920" t="s">
        <v>1871</v>
      </c>
      <c r="L61" s="2920"/>
      <c r="M61" s="786"/>
      <c r="N61" s="787" t="e">
        <f ca="1">IF(H19="元",ROUND(N59/项目基本情况!C12,0),ROUND(N59*10000/项目基本情况!C12,0))</f>
        <v>#VALUE!</v>
      </c>
      <c r="O61" s="2266"/>
      <c r="P61" s="1841"/>
    </row>
    <row r="62" spans="1:16" ht="12.75" hidden="1">
      <c r="A62" s="2908" t="s">
        <v>1872</v>
      </c>
      <c r="B62" s="2909"/>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2630219</v>
      </c>
      <c r="D63" s="112"/>
      <c r="E63" s="113"/>
      <c r="F63" s="1019"/>
      <c r="G63" s="1019"/>
      <c r="H63" s="2242"/>
      <c r="I63" s="2189"/>
      <c r="J63" s="2940"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2761730</v>
      </c>
      <c r="D64" s="117" t="s">
        <v>41</v>
      </c>
      <c r="E64" s="118"/>
      <c r="F64" s="1019"/>
      <c r="G64" s="1019"/>
      <c r="H64" s="2242"/>
      <c r="I64" s="2189"/>
      <c r="J64" s="2940"/>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940"/>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940"/>
      <c r="K66" s="2267" t="s">
        <v>1885</v>
      </c>
      <c r="L66" s="1840" t="e">
        <f>M49*0.5%</f>
        <v>#VALUE!</v>
      </c>
      <c r="M66" s="14" t="e">
        <f>IF(L66&gt;0.5,0.5,ROUND(L66,0))</f>
        <v>#VALUE!</v>
      </c>
      <c r="N66" s="1841" t="s">
        <v>1886</v>
      </c>
      <c r="O66" s="1841"/>
      <c r="P66" s="1841"/>
    </row>
    <row r="67" spans="1:35" ht="12.75" hidden="1">
      <c r="A67" s="120" t="s">
        <v>42</v>
      </c>
      <c r="B67" s="121" t="s">
        <v>1887</v>
      </c>
      <c r="C67" s="124">
        <f ca="1">C63-C66</f>
        <v>2630219</v>
      </c>
      <c r="D67" s="117" t="s">
        <v>41</v>
      </c>
      <c r="E67" s="118"/>
      <c r="F67" s="1019"/>
      <c r="G67" s="1019"/>
      <c r="H67" s="2242"/>
      <c r="I67" s="2189"/>
      <c r="J67" s="2940"/>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147292</v>
      </c>
      <c r="D68" s="128">
        <f>'数据-取费表'!E29</f>
        <v>5.6000000000000001E-2</v>
      </c>
      <c r="E68" s="129"/>
      <c r="F68" s="1019"/>
      <c r="G68" s="1019"/>
      <c r="H68" s="2242"/>
      <c r="I68" s="2189"/>
      <c r="J68" s="2940"/>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940"/>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912" t="s">
        <v>1892</v>
      </c>
      <c r="B70" s="2913"/>
      <c r="C70" s="2913"/>
      <c r="D70" s="2913"/>
      <c r="E70" s="2913"/>
      <c r="F70" s="2913"/>
      <c r="G70" s="2913"/>
      <c r="H70" s="2913"/>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908" t="s">
        <v>1872</v>
      </c>
      <c r="B71" s="2909"/>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2630219</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15781</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889" t="s">
        <v>1902</v>
      </c>
      <c r="F76" s="2888"/>
      <c r="G76" s="2888"/>
      <c r="H76" s="2903"/>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15781</v>
      </c>
      <c r="D78" s="145">
        <f>'数据-取费表'!E31</f>
        <v>6.000000000000001E-3</v>
      </c>
      <c r="E78" s="2880" t="s">
        <v>1907</v>
      </c>
      <c r="F78" s="2881"/>
      <c r="G78" s="2881"/>
      <c r="H78" s="2882"/>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2614438</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165.66998289081806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1563139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912" t="s">
        <v>1911</v>
      </c>
      <c r="B83" s="2913"/>
      <c r="C83" s="2913"/>
      <c r="D83" s="2913"/>
      <c r="E83" s="2913"/>
      <c r="F83" s="2913"/>
      <c r="G83" s="2913"/>
      <c r="H83" s="2913"/>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908" t="s">
        <v>1872</v>
      </c>
      <c r="B84" s="2909"/>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2630219</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15781</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80" t="s">
        <v>1919</v>
      </c>
      <c r="F91" s="2881"/>
      <c r="G91" s="2881"/>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80" t="s">
        <v>1922</v>
      </c>
      <c r="F92" s="2881"/>
      <c r="G92" s="2881"/>
      <c r="H92" s="2882"/>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15781</v>
      </c>
      <c r="D93" s="145">
        <f>'数据-取费表'!E31</f>
        <v>6.000000000000001E-3</v>
      </c>
      <c r="E93" s="2880" t="s">
        <v>1907</v>
      </c>
      <c r="F93" s="2881"/>
      <c r="G93" s="2881"/>
      <c r="H93" s="2882"/>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80" t="s">
        <v>1924</v>
      </c>
      <c r="F94" s="2881"/>
      <c r="G94" s="2881"/>
      <c r="H94" s="2882"/>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2614438</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165.66998289081806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1563139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935" t="s">
        <v>1926</v>
      </c>
      <c r="B99" s="2936"/>
      <c r="C99" s="2936"/>
      <c r="D99" s="2937"/>
      <c r="E99" s="2189"/>
      <c r="F99" s="2946" t="s">
        <v>1927</v>
      </c>
      <c r="G99" s="2947"/>
      <c r="H99" s="2947"/>
      <c r="I99" s="2948"/>
    </row>
    <row r="100" spans="1:35" ht="15.75">
      <c r="A100" s="2949" t="s">
        <v>1928</v>
      </c>
      <c r="B100" s="2950"/>
      <c r="C100" s="718" t="str">
        <f>C4</f>
        <v>比较法-商业</v>
      </c>
      <c r="D100" s="719" t="str">
        <f>D4</f>
        <v>收益法</v>
      </c>
      <c r="E100" s="2189"/>
      <c r="F100" s="2845" t="s">
        <v>1929</v>
      </c>
      <c r="G100" s="2846"/>
      <c r="H100" s="2845" t="s">
        <v>1930</v>
      </c>
      <c r="I100" s="2844"/>
    </row>
    <row r="101" spans="1:35" ht="15.75">
      <c r="A101" s="2927" t="s">
        <v>1931</v>
      </c>
      <c r="B101" s="2284" t="str">
        <f>IF(H19="元","总价（元）","总价（万元）")</f>
        <v>总价（元）</v>
      </c>
      <c r="C101" s="718">
        <f ca="1">C19</f>
        <v>4547866</v>
      </c>
      <c r="D101" s="719">
        <f ca="1">D19</f>
        <v>5057769</v>
      </c>
      <c r="E101" s="2189"/>
      <c r="F101" s="2845" t="str">
        <f>项目基本情况!I1</f>
        <v>北京市房地产</v>
      </c>
      <c r="G101" s="2846"/>
      <c r="H101" s="2843">
        <f>项目基本情况!C12</f>
        <v>111.29</v>
      </c>
      <c r="I101" s="2844"/>
    </row>
    <row r="102" spans="1:35" ht="15.75">
      <c r="A102" s="2927"/>
      <c r="B102" s="2284" t="s">
        <v>1932</v>
      </c>
      <c r="C102" s="720">
        <f ca="1">C20</f>
        <v>40865</v>
      </c>
      <c r="D102" s="721">
        <f ca="1">D20</f>
        <v>45447</v>
      </c>
      <c r="E102" s="2189"/>
      <c r="F102" s="2872" t="s">
        <v>1933</v>
      </c>
      <c r="G102" s="2873"/>
      <c r="H102" s="2285" t="str">
        <f>C106</f>
        <v>总价（元）</v>
      </c>
      <c r="I102" s="1858">
        <f ca="1">H121</f>
        <v>2761730</v>
      </c>
    </row>
    <row r="103" spans="1:35" ht="15">
      <c r="A103" s="2927" t="s">
        <v>1934</v>
      </c>
      <c r="B103" s="2286" t="str">
        <f>B101</f>
        <v>总价（元）</v>
      </c>
      <c r="C103" s="722">
        <f ca="1">H121</f>
        <v>2761730</v>
      </c>
      <c r="D103" s="723"/>
      <c r="E103" s="2189"/>
      <c r="F103" s="2872"/>
      <c r="G103" s="2873"/>
      <c r="H103" s="2285" t="s">
        <v>1932</v>
      </c>
      <c r="I103" s="1047">
        <f ca="1">I121</f>
        <v>24816</v>
      </c>
    </row>
    <row r="104" spans="1:35" ht="16.5" thickBot="1">
      <c r="A104" s="2928"/>
      <c r="B104" s="2287" t="s">
        <v>1932</v>
      </c>
      <c r="C104" s="724">
        <f ca="1">I121</f>
        <v>24816</v>
      </c>
      <c r="D104" s="725"/>
      <c r="E104" s="2189"/>
      <c r="F104" s="2944"/>
      <c r="G104" s="2945"/>
      <c r="H104" s="2929"/>
      <c r="I104" s="2930"/>
    </row>
    <row r="105" spans="1:35" ht="15.75">
      <c r="A105" s="2935" t="s">
        <v>1935</v>
      </c>
      <c r="B105" s="2936"/>
      <c r="C105" s="2936"/>
      <c r="D105" s="2937"/>
      <c r="E105" s="2189"/>
      <c r="F105" s="2933" t="s">
        <v>1936</v>
      </c>
      <c r="G105" s="2934"/>
      <c r="H105" s="2288" t="str">
        <f>C108</f>
        <v>总额（元）</v>
      </c>
      <c r="I105" s="1858">
        <f>SUMIF(I106:I108,"&lt;9E307")</f>
        <v>0</v>
      </c>
    </row>
    <row r="106" spans="1:35" ht="15">
      <c r="A106" s="2859" t="s">
        <v>1937</v>
      </c>
      <c r="B106" s="2860"/>
      <c r="C106" s="2285" t="str">
        <f>B101</f>
        <v>总价（元）</v>
      </c>
      <c r="D106" s="1048">
        <f ca="1">H121</f>
        <v>2761730</v>
      </c>
      <c r="E106" s="2189"/>
      <c r="F106" s="2861" t="s">
        <v>1938</v>
      </c>
      <c r="G106" s="2862"/>
      <c r="H106" s="2288" t="str">
        <f>C109</f>
        <v>总额（元）</v>
      </c>
      <c r="I106" s="1047">
        <f>IF(D36="同一抵押权人同一抵押物续贷",C36&amp;"（未扣减，详见特别提示）",C36)</f>
        <v>0</v>
      </c>
      <c r="K106" s="2199" t="str">
        <f>IF(D123=0,"本次评估不存在"&amp;A123&amp;"。","本次评估"&amp;A123&amp;"为"&amp;D123&amp;"元人民币。")</f>
        <v>本次评估不存在——。</v>
      </c>
    </row>
    <row r="107" spans="1:35" ht="15">
      <c r="A107" s="2859"/>
      <c r="B107" s="2860"/>
      <c r="C107" s="2285" t="s">
        <v>1932</v>
      </c>
      <c r="D107" s="1049">
        <f ca="1">I121</f>
        <v>24816</v>
      </c>
      <c r="E107" s="2189"/>
      <c r="F107" s="2861" t="s">
        <v>1939</v>
      </c>
      <c r="G107" s="2862"/>
      <c r="H107" s="2288" t="str">
        <f>C110</f>
        <v>总额（元）</v>
      </c>
      <c r="I107" s="1047">
        <f>C37</f>
        <v>0</v>
      </c>
      <c r="K107" s="2289"/>
    </row>
    <row r="108" spans="1:35" ht="15">
      <c r="A108" s="2866" t="s">
        <v>1940</v>
      </c>
      <c r="B108" s="2867"/>
      <c r="C108" s="2288" t="str">
        <f>IF(H19="元","总额（元）","总额（万元）")</f>
        <v>总额（元）</v>
      </c>
      <c r="D108" s="1048">
        <f>IF(D36="正常操作",I106+I107+I108,I107+I108)</f>
        <v>0</v>
      </c>
      <c r="E108" s="2189"/>
      <c r="F108" s="2861" t="s">
        <v>1941</v>
      </c>
      <c r="G108" s="2862"/>
      <c r="H108" s="2288" t="str">
        <f>C111</f>
        <v>总额（元）</v>
      </c>
      <c r="I108" s="1047">
        <f>C38</f>
        <v>0</v>
      </c>
    </row>
    <row r="109" spans="1:35" ht="15.75">
      <c r="A109" s="2861" t="s">
        <v>1938</v>
      </c>
      <c r="B109" s="2862"/>
      <c r="C109" s="2288" t="str">
        <f>C108</f>
        <v>总额（元）</v>
      </c>
      <c r="D109" s="635">
        <f>IF(D36="同一抵押权人同一抵押物续贷",C36&amp;"（未扣减，详见特别提示）",C36)</f>
        <v>0</v>
      </c>
      <c r="E109" s="2189"/>
      <c r="F109" s="2944"/>
      <c r="G109" s="2945"/>
      <c r="H109" s="2931"/>
      <c r="I109" s="2932"/>
    </row>
    <row r="110" spans="1:35" ht="28.5" customHeight="1">
      <c r="A110" s="2861" t="s">
        <v>1939</v>
      </c>
      <c r="B110" s="2862"/>
      <c r="C110" s="2288" t="str">
        <f>C108</f>
        <v>总额（元）</v>
      </c>
      <c r="D110" s="635">
        <f>C37</f>
        <v>0</v>
      </c>
      <c r="E110" s="2189"/>
      <c r="F110" s="2847" t="str">
        <f>IF(项目基本情况!F5="已注销","——","3.房地产抵押价值")</f>
        <v>3.房地产抵押价值</v>
      </c>
      <c r="G110" s="2848"/>
      <c r="H110" s="2290" t="str">
        <f>C112</f>
        <v>总价（元）</v>
      </c>
      <c r="I110" s="1859">
        <f ca="1">IF(F110="——","——",I102-I105)</f>
        <v>2761730</v>
      </c>
    </row>
    <row r="111" spans="1:35" ht="15">
      <c r="A111" s="2861" t="s">
        <v>1941</v>
      </c>
      <c r="B111" s="2862"/>
      <c r="C111" s="2288" t="str">
        <f>C108</f>
        <v>总额（元）</v>
      </c>
      <c r="D111" s="635">
        <f>C38</f>
        <v>0</v>
      </c>
      <c r="E111" s="2189"/>
      <c r="F111" s="2963"/>
      <c r="G111" s="2964"/>
      <c r="H111" s="2285" t="s">
        <v>1932</v>
      </c>
      <c r="I111" s="2291">
        <f ca="1">D113</f>
        <v>24816</v>
      </c>
    </row>
    <row r="112" spans="1:35" ht="26.25" customHeight="1">
      <c r="A112" s="2859" t="str">
        <f>IF(项目基本情况!F5="已注销","——","3.房地产抵押价值")</f>
        <v>3.房地产抵押价值</v>
      </c>
      <c r="B112" s="2860"/>
      <c r="C112" s="2285" t="str">
        <f>B101</f>
        <v>总价（元）</v>
      </c>
      <c r="D112" s="1048">
        <f ca="1">IF(A112="——","——",D106-D108)</f>
        <v>2761730</v>
      </c>
      <c r="E112" s="2189"/>
      <c r="F112" s="2847" t="str">
        <f>IF(项目基本情况!F5="已注销及未注销","4.抵押担保权已注销时的房地产抵押价值",IF(项目基本情况!F5="已注销","3.抵押担保权已注销时的房地产抵押价值","——"))</f>
        <v>——</v>
      </c>
      <c r="G112" s="2848"/>
      <c r="H112" s="2290" t="str">
        <f>C114</f>
        <v>总价（元）</v>
      </c>
      <c r="I112" s="1859" t="str">
        <f>IF(F112="——","——",I102-I107-I108)</f>
        <v>——</v>
      </c>
    </row>
    <row r="113" spans="1:15" ht="15">
      <c r="A113" s="2859"/>
      <c r="B113" s="2860"/>
      <c r="C113" s="2285" t="s">
        <v>1932</v>
      </c>
      <c r="D113" s="1049">
        <f ca="1">ROUND(IF(D112=D106,D107,IF(H19="元",D112/项目基本情况!C12,D112*10000/项目基本情况!C12)),0)</f>
        <v>24816</v>
      </c>
      <c r="E113" s="2189"/>
      <c r="F113" s="2963"/>
      <c r="G113" s="2964"/>
      <c r="H113" s="2285" t="s">
        <v>1932</v>
      </c>
      <c r="I113" s="2292" t="str">
        <f>D115</f>
        <v>——</v>
      </c>
    </row>
    <row r="114" spans="1:15" ht="15.75" hidden="1">
      <c r="A114" s="2859" t="str">
        <f>IF(项目基本情况!F5="已注销及未注销","4.抵押担保权已注销时的房地产抵押价值",IF(项目基本情况!F5="已注销","3.抵押担保权已注销时的房地产抵押价值","——"))</f>
        <v>——</v>
      </c>
      <c r="B114" s="2860"/>
      <c r="C114" s="2285" t="str">
        <f>B101</f>
        <v>总价（元）</v>
      </c>
      <c r="D114" s="1048" t="str">
        <f>IF(A114="——","——",D106-D110-D111)</f>
        <v>——</v>
      </c>
      <c r="E114" s="2189"/>
      <c r="F114" s="2847" t="str">
        <f>IF(项目基本情况!G5="抵押净值",IF(OR(项目基本情况!F5="已注销",项目基本情况!F5="房地产抵押价值"),"4.抵押净值","5.抵押净值"),"——")</f>
        <v>——</v>
      </c>
      <c r="G114" s="2848"/>
      <c r="H114" s="2285" t="str">
        <f>C116</f>
        <v>总价（元）</v>
      </c>
      <c r="I114" s="1858" t="str">
        <f>IF(F114="——","——",N59)</f>
        <v>——</v>
      </c>
    </row>
    <row r="115" spans="1:15" ht="15.75" hidden="1" thickBot="1">
      <c r="A115" s="2859"/>
      <c r="B115" s="2860"/>
      <c r="C115" s="2285" t="s">
        <v>1932</v>
      </c>
      <c r="D115" s="1049" t="str">
        <f>IF(A114="——","——",ROUND(IF(D114=D106,D107,IF(H19="元",D114/项目基本情况!C12,D114*10000/项目基本情况!C12)),0))</f>
        <v>——</v>
      </c>
      <c r="E115" s="2189"/>
      <c r="F115" s="2849"/>
      <c r="G115" s="2850"/>
      <c r="H115" s="2293" t="s">
        <v>1932</v>
      </c>
      <c r="I115" s="1860" t="str">
        <f ca="1">D117</f>
        <v>——</v>
      </c>
    </row>
    <row r="116" spans="1:15" ht="15.75" hidden="1">
      <c r="A116" s="2859" t="str">
        <f>IF(项目基本情况!G5="抵押净值",IF(OR(项目基本情况!F5="已注销",项目基本情况!F5="房地产抵押价值"),"4.抵押净值","5.抵押净值"),"——")</f>
        <v>——</v>
      </c>
      <c r="B116" s="2860"/>
      <c r="C116" s="2285" t="str">
        <f>B101</f>
        <v>总价（元）</v>
      </c>
      <c r="D116" s="1048" t="str">
        <f>IF(A116="——","——",N59)</f>
        <v>——</v>
      </c>
      <c r="E116" s="2189"/>
      <c r="F116" s="2959"/>
      <c r="G116" s="2959"/>
      <c r="H116" s="2915"/>
      <c r="I116" s="2915"/>
      <c r="N116" s="55"/>
      <c r="O116" s="55"/>
    </row>
    <row r="117" spans="1:15" ht="15.75" hidden="1" thickBot="1">
      <c r="A117" s="2864"/>
      <c r="B117" s="2865"/>
      <c r="C117" s="2293" t="s">
        <v>1932</v>
      </c>
      <c r="D117" s="1050" t="str">
        <f ca="1">IF(D116=D112,D113,IF(A116="——","——",N61))</f>
        <v>——</v>
      </c>
      <c r="E117" s="2189"/>
      <c r="F117" s="2839" t="str">
        <f>IF(B32="总价","（以上估价结果中单价为总价除以建筑面积得出）","（以上估价结果中总价为楼面单价乘以建筑面积得出）")</f>
        <v>（以上估价结果中单价为总价除以建筑面积得出）</v>
      </c>
      <c r="G117" s="2839"/>
      <c r="H117" s="2839"/>
      <c r="I117" s="2839"/>
      <c r="N117" s="55"/>
      <c r="O117" s="55"/>
    </row>
    <row r="118" spans="1:15" ht="15" hidden="1">
      <c r="A118" s="2916" t="s">
        <v>1942</v>
      </c>
      <c r="B118" s="2917"/>
      <c r="C118" s="2917"/>
      <c r="D118" s="2917"/>
      <c r="E118" s="2917"/>
      <c r="F118" s="2917"/>
      <c r="G118" s="2917"/>
      <c r="H118" s="2917"/>
      <c r="I118" s="2917"/>
    </row>
    <row r="119" spans="1:15" ht="14.25" hidden="1">
      <c r="A119" s="2840" t="s">
        <v>1943</v>
      </c>
      <c r="B119" s="2870" t="s">
        <v>1944</v>
      </c>
      <c r="C119" s="2870" t="s">
        <v>1945</v>
      </c>
      <c r="D119" s="2942" t="s">
        <v>1946</v>
      </c>
      <c r="E119" s="2943"/>
      <c r="F119" s="2841" t="s">
        <v>1804</v>
      </c>
      <c r="G119" s="2841"/>
      <c r="H119" s="2841" t="s">
        <v>1947</v>
      </c>
      <c r="I119" s="2941"/>
    </row>
    <row r="120" spans="1:15" ht="14.25" hidden="1">
      <c r="A120" s="2840"/>
      <c r="B120" s="2871"/>
      <c r="C120" s="2871"/>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2596026</v>
      </c>
      <c r="E121" s="1883">
        <f ca="1">ROUND(IF(B32="楼面单价",C34,IF(H19="元",D121/B121,D121*10000/B121)),0)</f>
        <v>23327</v>
      </c>
      <c r="F121" s="1883">
        <f ca="1">ROUND(IF(B32="总价",C35,IF('数据-取费表'!B3="万元",G121*B121/10000,G121*B121)),0)</f>
        <v>165704</v>
      </c>
      <c r="G121" s="1883">
        <f ca="1">ROUND(IF(B32="楼面单价",C35,IF(H19="元",F121/B121,F121*10000/B121)),0)</f>
        <v>1489</v>
      </c>
      <c r="H121" s="1883">
        <f ca="1">ROUND(IF(B32="总价",C32,IF('数据-取费表'!B3="万元",I121*B121/10000,I121*B121)),0)</f>
        <v>2761730</v>
      </c>
      <c r="I121" s="635">
        <f ca="1">ROUND(IF(B32="楼面单价",C32,IF(H19="元",H121/B121,H121*10000/B121)),0)</f>
        <v>24816</v>
      </c>
    </row>
    <row r="122" spans="1:15" ht="14.25" hidden="1">
      <c r="A122" s="2840" t="s">
        <v>1951</v>
      </c>
      <c r="B122" s="2841"/>
      <c r="C122" s="2841"/>
      <c r="D122" s="2874" t="str">
        <f ca="1">IF(H19="元",NUMBERSTRING(INT(D121),2)&amp;"元整",NUMBERSTRING(INT(D121*10000),2)&amp;"元整")</f>
        <v>贰佰伍拾玖万陆仟零贰拾陆元整</v>
      </c>
      <c r="E122" s="2921"/>
      <c r="F122" s="2874" t="str">
        <f ca="1">IF(H19="元",NUMBERSTRING(INT(F121),2)&amp;"元整",NUMBERSTRING(INT(F121*10000),2)&amp;"元整")</f>
        <v>壹拾陆万伍仟柒佰零肆元整</v>
      </c>
      <c r="G122" s="2921"/>
      <c r="H122" s="2874" t="str">
        <f ca="1">IF(H19="元",NUMBERSTRING(INT(H121),2)&amp;"元整",NUMBERSTRING(INT(H121*10000),2)&amp;"元整")</f>
        <v>贰佰柒拾陆万壹仟柒佰叁拾元整</v>
      </c>
      <c r="I122" s="2875"/>
    </row>
    <row r="123" spans="1:15" ht="15" hidden="1">
      <c r="A123" s="2922" t="str">
        <f>IF(项目基本情况!D5="房地产市场价值","——",MID(A108,3,LEN(A108)-2))</f>
        <v>——</v>
      </c>
      <c r="B123" s="2852"/>
      <c r="C123" s="2923"/>
      <c r="D123" s="2851">
        <f>I105</f>
        <v>0</v>
      </c>
      <c r="E123" s="2852"/>
      <c r="F123" s="2852"/>
      <c r="G123" s="2852"/>
      <c r="H123" s="2852"/>
      <c r="I123" s="2853"/>
    </row>
    <row r="124" spans="1:15" ht="14.25" hidden="1">
      <c r="A124" s="2924" t="s">
        <v>1951</v>
      </c>
      <c r="B124" s="2925"/>
      <c r="C124" s="2926"/>
      <c r="D124" s="2854">
        <f>H109</f>
        <v>0</v>
      </c>
      <c r="E124" s="2855"/>
      <c r="F124" s="2855"/>
      <c r="G124" s="2855"/>
      <c r="H124" s="2855"/>
      <c r="I124" s="2856"/>
    </row>
    <row r="125" spans="1:15" ht="15" hidden="1">
      <c r="A125" s="2857" t="str">
        <f>IF(项目基本情况!D5="房地产市场价值","——",MID(A112,3,LEN(A112)-2))</f>
        <v>——</v>
      </c>
      <c r="B125" s="2858"/>
      <c r="C125" s="2858"/>
      <c r="D125" s="2851">
        <f ca="1">I110</f>
        <v>2761730</v>
      </c>
      <c r="E125" s="2852"/>
      <c r="F125" s="2852"/>
      <c r="G125" s="2852"/>
      <c r="H125" s="2852"/>
      <c r="I125" s="2853"/>
    </row>
    <row r="126" spans="1:15" ht="14.25" hidden="1">
      <c r="A126" s="2840" t="s">
        <v>1951</v>
      </c>
      <c r="B126" s="2841"/>
      <c r="C126" s="2841"/>
      <c r="D126" s="2854">
        <f ca="1">I111</f>
        <v>24816</v>
      </c>
      <c r="E126" s="2855"/>
      <c r="F126" s="2855"/>
      <c r="G126" s="2855"/>
      <c r="H126" s="2855"/>
      <c r="I126" s="2856"/>
    </row>
    <row r="127" spans="1:15" ht="15.75" hidden="1" thickBot="1">
      <c r="A127" s="2857" t="str">
        <f>IF(项目基本情况!D5="房地产市场价值","——",MID(A114,3,LEN(A114)-2))</f>
        <v>——</v>
      </c>
      <c r="B127" s="2858"/>
      <c r="C127" s="2858"/>
      <c r="D127" s="2956" t="str">
        <f>I112</f>
        <v>——</v>
      </c>
      <c r="E127" s="2957"/>
      <c r="F127" s="2957"/>
      <c r="G127" s="2957"/>
      <c r="H127" s="2957"/>
      <c r="I127" s="2958"/>
    </row>
    <row r="128" spans="1:15" ht="15.75" hidden="1" thickTop="1" thickBot="1">
      <c r="A128" s="2840" t="s">
        <v>1951</v>
      </c>
      <c r="B128" s="2841"/>
      <c r="C128" s="2842"/>
      <c r="D128" s="2914" t="str">
        <f>I113</f>
        <v>——</v>
      </c>
      <c r="E128" s="2914"/>
      <c r="F128" s="2914"/>
      <c r="G128" s="2914"/>
      <c r="H128" s="2914"/>
      <c r="I128" s="2914"/>
    </row>
    <row r="129" spans="1:9" ht="16.5" hidden="1" thickTop="1" thickBot="1">
      <c r="A129" s="2857" t="str">
        <f>IF(项目基本情况!D5="房地产市场价值","——",MID(F114,3,LEN(F114)-2))</f>
        <v>——</v>
      </c>
      <c r="B129" s="2858"/>
      <c r="C129" s="2851"/>
      <c r="D129" s="2863" t="str">
        <f>I114</f>
        <v>——</v>
      </c>
      <c r="E129" s="2863"/>
      <c r="F129" s="2863"/>
      <c r="G129" s="2863"/>
      <c r="H129" s="2863"/>
      <c r="I129" s="2863"/>
    </row>
    <row r="130" spans="1:9" ht="15.75" hidden="1" thickTop="1" thickBot="1">
      <c r="A130" s="2868" t="s">
        <v>1951</v>
      </c>
      <c r="B130" s="2869"/>
      <c r="C130" s="2869"/>
      <c r="D130" s="2876">
        <f>H116</f>
        <v>0</v>
      </c>
      <c r="E130" s="2877"/>
      <c r="F130" s="2877"/>
      <c r="G130" s="2877"/>
      <c r="H130" s="2877"/>
      <c r="I130" s="2878"/>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838" t="str">
        <f>IF(B32="总价","（以上估价结果中楼面单价为总价除以建筑面积得出）","（以上估价结果中总价为楼面单价乘以建筑面积得出）")</f>
        <v>（以上估价结果中楼面单价为总价除以建筑面积得出）</v>
      </c>
      <c r="B132" s="2838"/>
      <c r="C132" s="2838"/>
      <c r="D132" s="2838"/>
      <c r="E132" s="2838"/>
      <c r="F132" s="2838"/>
      <c r="G132" s="2838"/>
      <c r="H132" s="2838"/>
      <c r="I132" s="2838"/>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75" t="s">
        <v>1960</v>
      </c>
      <c r="B2" s="2975"/>
      <c r="C2" s="2975"/>
      <c r="D2" s="2975"/>
      <c r="E2" s="2975"/>
      <c r="F2" s="2975"/>
      <c r="G2" s="2975"/>
      <c r="H2" s="2975"/>
      <c r="I2" s="2975"/>
    </row>
    <row r="3" spans="1:12" ht="12.75">
      <c r="A3" s="2905" t="s">
        <v>1764</v>
      </c>
      <c r="B3" s="2906"/>
      <c r="C3" s="2906"/>
      <c r="D3" s="2906"/>
      <c r="E3" s="2906"/>
      <c r="F3" s="2906"/>
      <c r="G3" s="2906"/>
      <c r="H3" s="2906"/>
      <c r="I3" s="2906"/>
    </row>
    <row r="4" spans="1:12" ht="14.25">
      <c r="A4" s="2191" t="s">
        <v>1765</v>
      </c>
      <c r="B4" s="2192" t="s">
        <v>1766</v>
      </c>
      <c r="C4" s="2193"/>
      <c r="D4" s="2193"/>
      <c r="E4" s="2886" t="s">
        <v>1961</v>
      </c>
      <c r="F4" s="2887"/>
      <c r="G4" s="2887"/>
      <c r="H4" s="2887"/>
      <c r="I4" s="289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1768</v>
      </c>
      <c r="B5" s="2841">
        <v>25</v>
      </c>
      <c r="C5" s="2890"/>
      <c r="D5" s="2904"/>
      <c r="E5" s="56" t="s">
        <v>1769</v>
      </c>
      <c r="F5" s="2194"/>
      <c r="G5" s="2194"/>
      <c r="H5" s="2194"/>
      <c r="I5" s="2195"/>
    </row>
    <row r="6" spans="1:12" ht="12.75">
      <c r="A6" s="2879"/>
      <c r="B6" s="2841"/>
      <c r="C6" s="2907"/>
      <c r="D6" s="2904"/>
      <c r="E6" s="56" t="s">
        <v>1770</v>
      </c>
      <c r="F6" s="2194"/>
      <c r="G6" s="2194"/>
      <c r="H6" s="2194"/>
      <c r="I6" s="2195"/>
    </row>
    <row r="7" spans="1:12" ht="12.75">
      <c r="A7" s="2879"/>
      <c r="B7" s="2841"/>
      <c r="C7" s="2891"/>
      <c r="D7" s="2904"/>
      <c r="E7" s="56" t="s">
        <v>1771</v>
      </c>
      <c r="F7" s="2194"/>
      <c r="G7" s="2194"/>
      <c r="H7" s="2194"/>
      <c r="I7" s="2195"/>
    </row>
    <row r="8" spans="1:12" ht="12.75">
      <c r="A8" s="2879" t="s">
        <v>1772</v>
      </c>
      <c r="B8" s="2841">
        <v>15</v>
      </c>
      <c r="C8" s="2890"/>
      <c r="D8" s="2904"/>
      <c r="E8" s="56" t="s">
        <v>1773</v>
      </c>
      <c r="F8" s="2194"/>
      <c r="G8" s="2194"/>
      <c r="H8" s="2194"/>
      <c r="I8" s="2195"/>
    </row>
    <row r="9" spans="1:12" ht="12.75">
      <c r="A9" s="2879"/>
      <c r="B9" s="2841"/>
      <c r="C9" s="2891"/>
      <c r="D9" s="2904"/>
      <c r="E9" s="56" t="s">
        <v>1774</v>
      </c>
      <c r="F9" s="2194"/>
      <c r="G9" s="2194"/>
      <c r="H9" s="2194"/>
      <c r="I9" s="2195"/>
    </row>
    <row r="10" spans="1:12" ht="12.75">
      <c r="A10" s="2879" t="s">
        <v>1775</v>
      </c>
      <c r="B10" s="2841">
        <v>15</v>
      </c>
      <c r="C10" s="2890"/>
      <c r="D10" s="2904"/>
      <c r="E10" s="56" t="s">
        <v>1776</v>
      </c>
      <c r="F10" s="2194"/>
      <c r="G10" s="2194"/>
      <c r="H10" s="2194"/>
      <c r="I10" s="2195"/>
    </row>
    <row r="11" spans="1:12" ht="12.75">
      <c r="A11" s="2879"/>
      <c r="B11" s="2841"/>
      <c r="C11" s="2891"/>
      <c r="D11" s="2904"/>
      <c r="E11" s="56" t="s">
        <v>1777</v>
      </c>
      <c r="F11" s="2194"/>
      <c r="G11" s="2194"/>
      <c r="H11" s="2194"/>
      <c r="I11" s="2195"/>
    </row>
    <row r="12" spans="1:12" ht="12.75">
      <c r="A12" s="2879" t="s">
        <v>1778</v>
      </c>
      <c r="B12" s="2841">
        <v>15</v>
      </c>
      <c r="C12" s="2890"/>
      <c r="D12" s="2904"/>
      <c r="E12" s="56" t="s">
        <v>1779</v>
      </c>
      <c r="F12" s="2194"/>
      <c r="G12" s="2194"/>
      <c r="H12" s="2194"/>
      <c r="I12" s="2195"/>
    </row>
    <row r="13" spans="1:12" ht="12.75">
      <c r="A13" s="2879"/>
      <c r="B13" s="2841"/>
      <c r="C13" s="2891"/>
      <c r="D13" s="2904"/>
      <c r="E13" s="56" t="s">
        <v>1780</v>
      </c>
      <c r="F13" s="2194"/>
      <c r="G13" s="2194"/>
      <c r="H13" s="2194"/>
      <c r="I13" s="2195"/>
    </row>
    <row r="14" spans="1:12" ht="12.75">
      <c r="A14" s="2879" t="s">
        <v>1781</v>
      </c>
      <c r="B14" s="2841">
        <v>30</v>
      </c>
      <c r="C14" s="2890"/>
      <c r="D14" s="2904"/>
      <c r="E14" s="56" t="s">
        <v>1782</v>
      </c>
      <c r="F14" s="2194"/>
      <c r="G14" s="2194"/>
      <c r="H14" s="2194"/>
      <c r="I14" s="2195"/>
    </row>
    <row r="15" spans="1:12" ht="12.75">
      <c r="A15" s="2879"/>
      <c r="B15" s="2841"/>
      <c r="C15" s="2907"/>
      <c r="D15" s="2904"/>
      <c r="E15" s="56" t="s">
        <v>1783</v>
      </c>
      <c r="F15" s="2194"/>
      <c r="G15" s="2194"/>
      <c r="H15" s="2194"/>
      <c r="I15" s="2195"/>
    </row>
    <row r="16" spans="1:12" ht="12.75">
      <c r="A16" s="2879"/>
      <c r="B16" s="2841"/>
      <c r="C16" s="2891"/>
      <c r="D16" s="2904"/>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0" t="s">
        <v>1793</v>
      </c>
      <c r="B24" s="2201" t="s">
        <v>1788</v>
      </c>
      <c r="C24" s="61">
        <f>D30</f>
        <v>0</v>
      </c>
      <c r="D24" s="992"/>
      <c r="E24" s="2189"/>
      <c r="F24" s="2189"/>
      <c r="G24" s="2189"/>
      <c r="H24" s="2189"/>
      <c r="I24" s="2189"/>
    </row>
    <row r="25" spans="1:35" ht="21.75" customHeight="1">
      <c r="A25" s="2911"/>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2799</v>
      </c>
      <c r="F30" s="2189"/>
      <c r="G30" s="2189"/>
      <c r="H30" s="2189"/>
      <c r="I30" s="2189"/>
    </row>
    <row r="31" spans="1:35" s="2216" customFormat="1" ht="15.75" thickBot="1">
      <c r="A31" s="2966" t="s">
        <v>1964</v>
      </c>
      <c r="B31" s="2966"/>
      <c r="C31" s="2966"/>
      <c r="D31" s="2966"/>
      <c r="E31" s="2966"/>
      <c r="F31" s="2966"/>
      <c r="G31" s="2966"/>
      <c r="H31" s="2966"/>
      <c r="I31" s="2966"/>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892" t="s">
        <v>1973</v>
      </c>
      <c r="B37" s="2231" t="s">
        <v>1974</v>
      </c>
      <c r="C37" s="69"/>
      <c r="D37" s="2232"/>
      <c r="E37" s="2233"/>
      <c r="F37" s="2233"/>
      <c r="G37" s="2189"/>
      <c r="H37" s="2189"/>
      <c r="I37" s="2189"/>
    </row>
    <row r="38" spans="1:16" ht="15.75" thickBot="1">
      <c r="A38" s="2893"/>
      <c r="B38" s="2234" t="s">
        <v>1975</v>
      </c>
      <c r="C38" s="71"/>
      <c r="D38" s="2199"/>
      <c r="E38" s="2199"/>
      <c r="F38" s="2233"/>
      <c r="G38" s="2199"/>
      <c r="H38" s="2199"/>
      <c r="I38" s="2199"/>
    </row>
    <row r="39" spans="1:16" ht="15.75" thickBot="1">
      <c r="A39" s="2894"/>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898" t="s">
        <v>1986</v>
      </c>
      <c r="B46" s="2899"/>
      <c r="C46" s="2900"/>
      <c r="D46" s="80">
        <f>ROUND(I103*F46,0)</f>
        <v>0</v>
      </c>
      <c r="E46" s="81" t="s">
        <v>1987</v>
      </c>
      <c r="F46" s="82">
        <v>1</v>
      </c>
      <c r="G46" s="83" t="s">
        <v>1988</v>
      </c>
      <c r="H46" s="2189"/>
      <c r="I46" s="2189"/>
      <c r="J46" s="2960" t="s">
        <v>1820</v>
      </c>
      <c r="K46" s="2960"/>
      <c r="L46" s="2960"/>
      <c r="M46" s="2960"/>
      <c r="N46" s="2960"/>
      <c r="O46" s="2960"/>
      <c r="P46" s="1841"/>
    </row>
    <row r="47" spans="1:16" ht="14.25" customHeight="1">
      <c r="A47" s="2883" t="s">
        <v>1821</v>
      </c>
      <c r="B47" s="2884"/>
      <c r="C47" s="2884"/>
      <c r="D47" s="2884"/>
      <c r="E47" s="2884"/>
      <c r="F47" s="2884"/>
      <c r="G47" s="2885"/>
      <c r="H47" s="2251"/>
      <c r="I47" s="1141"/>
      <c r="J47" s="1879">
        <v>1</v>
      </c>
      <c r="K47" s="2960" t="s">
        <v>1822</v>
      </c>
      <c r="L47" s="2960"/>
      <c r="M47" s="2976"/>
      <c r="N47" s="2976"/>
      <c r="O47" s="2976"/>
      <c r="P47" s="1841"/>
    </row>
    <row r="48" spans="1:16" ht="12" customHeight="1">
      <c r="A48" s="85" t="s">
        <v>1823</v>
      </c>
      <c r="B48" s="86"/>
      <c r="C48" s="87"/>
      <c r="D48" s="88" t="s">
        <v>1824</v>
      </c>
      <c r="E48" s="14" t="s">
        <v>1825</v>
      </c>
      <c r="F48" s="89" t="s">
        <v>1826</v>
      </c>
      <c r="G48" s="90" t="s">
        <v>1827</v>
      </c>
      <c r="H48" s="2251"/>
      <c r="I48" s="1141"/>
      <c r="J48" s="1879">
        <v>2</v>
      </c>
      <c r="K48" s="2960" t="s">
        <v>1828</v>
      </c>
      <c r="L48" s="2960"/>
      <c r="M48" s="2962">
        <f>'数据-取费表'!B2</f>
        <v>43257</v>
      </c>
      <c r="N48" s="2962"/>
      <c r="O48" s="2962"/>
      <c r="P48" s="1841"/>
    </row>
    <row r="49" spans="1:16" ht="25.5">
      <c r="A49" s="2895" t="s">
        <v>1829</v>
      </c>
      <c r="B49" s="2896"/>
      <c r="C49" s="2896"/>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960" t="s">
        <v>1832</v>
      </c>
      <c r="L49" s="2960"/>
      <c r="M49" s="2961">
        <f>I103</f>
        <v>0</v>
      </c>
      <c r="N49" s="2961"/>
      <c r="O49" s="2961"/>
      <c r="P49" s="1841"/>
    </row>
    <row r="50" spans="1:16" ht="25.5" customHeight="1">
      <c r="A50" s="92" t="s">
        <v>1833</v>
      </c>
      <c r="B50" s="2888" t="s">
        <v>1834</v>
      </c>
      <c r="C50" s="2888"/>
      <c r="D50" s="93">
        <v>0</v>
      </c>
      <c r="E50" s="13" t="s">
        <v>1835</v>
      </c>
      <c r="F50" s="18" t="s">
        <v>48</v>
      </c>
      <c r="G50" s="2953"/>
      <c r="H50" s="2189"/>
      <c r="I50" s="2254"/>
      <c r="J50" s="1879">
        <v>4</v>
      </c>
      <c r="K50" s="2960" t="str">
        <f>IF(项目基本情况!F5="房地产抵押价值","房地产抵押价值","抵押担保权已注销时的房地产抵押价值")</f>
        <v>抵押担保权已注销时的房地产抵押价值</v>
      </c>
      <c r="L50" s="2960"/>
      <c r="M50" s="2961" t="str">
        <f>IF(项目基本情况!F5="房地产抵押价值",I111,I113)</f>
        <v>——</v>
      </c>
      <c r="N50" s="2961"/>
      <c r="O50" s="2961"/>
      <c r="P50" s="1841"/>
    </row>
    <row r="51" spans="1:16" ht="25.5" customHeight="1">
      <c r="A51" s="94"/>
      <c r="B51" s="2888" t="s">
        <v>1836</v>
      </c>
      <c r="C51" s="2888"/>
      <c r="D51" s="95"/>
      <c r="E51" s="21"/>
      <c r="F51" s="96"/>
      <c r="G51" s="2954"/>
      <c r="H51" s="2189"/>
      <c r="I51" s="2254"/>
      <c r="J51" s="2960" t="s">
        <v>1837</v>
      </c>
      <c r="K51" s="2960"/>
      <c r="L51" s="2960"/>
      <c r="M51" s="2960"/>
      <c r="N51" s="2960"/>
      <c r="O51" s="2960"/>
      <c r="P51" s="1841"/>
    </row>
    <row r="52" spans="1:16" ht="12" customHeight="1">
      <c r="A52" s="97"/>
      <c r="B52" s="2888" t="s">
        <v>1838</v>
      </c>
      <c r="C52" s="2888"/>
      <c r="D52" s="98"/>
      <c r="E52" s="20"/>
      <c r="F52" s="96"/>
      <c r="G52" s="2955"/>
      <c r="H52" s="2189"/>
      <c r="I52" s="2254"/>
      <c r="J52" s="2255" t="s">
        <v>1839</v>
      </c>
      <c r="K52" s="2960" t="s">
        <v>1840</v>
      </c>
      <c r="L52" s="2960"/>
      <c r="M52" s="2255" t="s">
        <v>1841</v>
      </c>
      <c r="N52" s="2255" t="s">
        <v>1842</v>
      </c>
      <c r="O52" s="2255" t="s">
        <v>1843</v>
      </c>
      <c r="P52" s="1841"/>
    </row>
    <row r="53" spans="1:16" ht="24" customHeight="1">
      <c r="A53" s="99" t="s">
        <v>1844</v>
      </c>
      <c r="B53" s="2888" t="s">
        <v>1845</v>
      </c>
      <c r="C53" s="2888"/>
      <c r="D53" s="98">
        <f>ROUND(D46*'数据-取费表'!E29/(1+'数据-取费表'!F30),0)</f>
        <v>0</v>
      </c>
      <c r="E53" s="10" t="s">
        <v>1846</v>
      </c>
      <c r="F53" s="100">
        <f>'数据-取费表'!E29</f>
        <v>5.6000000000000001E-2</v>
      </c>
      <c r="G53" s="2256"/>
      <c r="H53" s="2189"/>
      <c r="I53" s="2254"/>
      <c r="J53" s="1879">
        <v>1</v>
      </c>
      <c r="K53" s="2920" t="s">
        <v>1847</v>
      </c>
      <c r="L53" s="2920"/>
      <c r="M53" s="776">
        <f>D49</f>
        <v>0</v>
      </c>
      <c r="N53" s="1879" t="str">
        <f>E49</f>
        <v>销售额×税（费）率</v>
      </c>
      <c r="O53" s="777">
        <f>F49</f>
        <v>5.6000000000000001E-2</v>
      </c>
      <c r="P53" s="1841"/>
    </row>
    <row r="54" spans="1:16" ht="12" customHeight="1">
      <c r="A54" s="99" t="s">
        <v>1848</v>
      </c>
      <c r="B54" s="2889" t="s">
        <v>1849</v>
      </c>
      <c r="C54" s="2819"/>
      <c r="D54" s="98">
        <f>ROUND(D46*'数据-取费表'!E29/(1+'数据-取费表'!F30),0)</f>
        <v>0</v>
      </c>
      <c r="E54" s="10" t="s">
        <v>1846</v>
      </c>
      <c r="F54" s="100">
        <f>'数据-取费表'!E29</f>
        <v>5.6000000000000001E-2</v>
      </c>
      <c r="G54" s="2256"/>
      <c r="H54" s="2189"/>
      <c r="I54" s="2254"/>
      <c r="J54" s="1879">
        <v>2</v>
      </c>
      <c r="K54" s="2920" t="s">
        <v>1850</v>
      </c>
      <c r="L54" s="2920"/>
      <c r="M54" s="776">
        <f t="shared" ref="M54:O55" si="1">D56</f>
        <v>0</v>
      </c>
      <c r="N54" s="1879" t="str">
        <f t="shared" si="1"/>
        <v>销售额×税（费）率</v>
      </c>
      <c r="O54" s="777">
        <f t="shared" si="1"/>
        <v>5.0000000000000001E-4</v>
      </c>
      <c r="P54" s="1841"/>
    </row>
    <row r="55" spans="1:16" ht="12" customHeight="1">
      <c r="A55" s="99" t="s">
        <v>1851</v>
      </c>
      <c r="B55" s="2889" t="s">
        <v>1852</v>
      </c>
      <c r="C55" s="2819"/>
      <c r="D55" s="98">
        <f>C69</f>
        <v>0</v>
      </c>
      <c r="E55" s="20" t="s">
        <v>1853</v>
      </c>
      <c r="F55" s="100">
        <f>'数据-取费表'!E29</f>
        <v>5.6000000000000001E-2</v>
      </c>
      <c r="G55" s="2256"/>
      <c r="H55" s="2257"/>
      <c r="I55" s="2254"/>
      <c r="J55" s="1879">
        <v>3</v>
      </c>
      <c r="K55" s="2920" t="s">
        <v>1854</v>
      </c>
      <c r="L55" s="2920"/>
      <c r="M55" s="776">
        <f t="shared" si="1"/>
        <v>0</v>
      </c>
      <c r="N55" s="1879" t="str">
        <f t="shared" si="1"/>
        <v>增值额×税（费）率</v>
      </c>
      <c r="O55" s="778" t="str">
        <f t="shared" si="1"/>
        <v>——</v>
      </c>
      <c r="P55" s="1841"/>
    </row>
    <row r="56" spans="1:16" ht="24" customHeight="1">
      <c r="A56" s="2811" t="s">
        <v>1855</v>
      </c>
      <c r="B56" s="2896"/>
      <c r="C56" s="2896"/>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920" t="str">
        <f>IF(H60="非个人房产","——","个人所得税")</f>
        <v>——</v>
      </c>
      <c r="L56" s="2920"/>
      <c r="M56" s="779" t="str">
        <f>D60</f>
        <v>——</v>
      </c>
      <c r="N56" s="1882" t="str">
        <f>E60</f>
        <v>——</v>
      </c>
      <c r="O56" s="780" t="str">
        <f>F60</f>
        <v>——</v>
      </c>
      <c r="P56" s="1841"/>
    </row>
    <row r="57" spans="1:16" ht="24.75">
      <c r="A57" s="2811" t="s">
        <v>1858</v>
      </c>
      <c r="B57" s="2896"/>
      <c r="C57" s="2896"/>
      <c r="D57" s="101">
        <f>IF(H57="个人住宅",D58,D59)</f>
        <v>0</v>
      </c>
      <c r="E57" s="10" t="s">
        <v>1859</v>
      </c>
      <c r="F57" s="100" t="str">
        <f>IF(H57="正常",F59,"免征")</f>
        <v>——</v>
      </c>
      <c r="G57" s="2258" t="s">
        <v>1860</v>
      </c>
      <c r="H57" s="2259" t="s">
        <v>1857</v>
      </c>
      <c r="I57" s="1019"/>
      <c r="J57" s="1879" t="str">
        <f>IF(项目基本情况!I6="上海银行",IF(J56="",4,J56+1),"")</f>
        <v/>
      </c>
      <c r="K57" s="2938" t="str">
        <f>IF(项目基本情况!I6="上海银行","其他处置费用","")</f>
        <v/>
      </c>
      <c r="L57" s="2939"/>
      <c r="M57" s="776" t="str">
        <f>IF(项目基本情况!I6="上海银行",M70,"")</f>
        <v/>
      </c>
      <c r="N57" s="2951" t="str">
        <f>IF(项目基本情况!I6="上海银行","包含处置中涉及的律师、诉讼、拍卖、评估等费用","")</f>
        <v/>
      </c>
      <c r="O57" s="2952"/>
      <c r="P57" s="1841"/>
    </row>
    <row r="58" spans="1:16" ht="12.75">
      <c r="A58" s="99" t="s">
        <v>1833</v>
      </c>
      <c r="B58" s="2886" t="s">
        <v>1861</v>
      </c>
      <c r="C58" s="2897"/>
      <c r="D58" s="103">
        <v>0</v>
      </c>
      <c r="E58" s="13" t="s">
        <v>1835</v>
      </c>
      <c r="F58" s="70"/>
      <c r="G58" s="2256"/>
      <c r="H58" s="1019"/>
      <c r="I58" s="1019"/>
      <c r="J58" s="2920">
        <f>IF(AND(J56="",J57=""),4,IF(项目基本情况!I6="上海银行",J57+1,J56+1))</f>
        <v>4</v>
      </c>
      <c r="K58" s="2920" t="s">
        <v>1862</v>
      </c>
      <c r="L58" s="2260" t="s">
        <v>1863</v>
      </c>
      <c r="M58" s="781"/>
      <c r="N58" s="782">
        <f>SUMIF(M53:M57,"&lt;9e307")</f>
        <v>0</v>
      </c>
      <c r="O58" s="2261"/>
      <c r="P58" s="1837" t="e">
        <f>N58/M50</f>
        <v>#VALUE!</v>
      </c>
    </row>
    <row r="59" spans="1:16" ht="24.75">
      <c r="A59" s="99" t="s">
        <v>1844</v>
      </c>
      <c r="B59" s="2886" t="s">
        <v>1864</v>
      </c>
      <c r="C59" s="2887"/>
      <c r="D59" s="101">
        <f>IF(H59="转让取得",C82,C98)</f>
        <v>0</v>
      </c>
      <c r="E59" s="10" t="s">
        <v>1859</v>
      </c>
      <c r="F59" s="14" t="s">
        <v>48</v>
      </c>
      <c r="G59" s="2256"/>
      <c r="H59" s="2259" t="s">
        <v>1865</v>
      </c>
      <c r="I59" s="1019"/>
      <c r="J59" s="2920"/>
      <c r="K59" s="2920"/>
      <c r="L59" s="2260" t="s">
        <v>1866</v>
      </c>
      <c r="M59" s="783"/>
      <c r="N59" s="2262" t="str">
        <f>IF(H19="元",NUMBERSTRING(INT(N58),2)&amp;"元整",NUMBERSTRING(INT(N58*10000),2)&amp;"元整")</f>
        <v>零元整</v>
      </c>
      <c r="O59" s="2263"/>
      <c r="P59" s="1841"/>
    </row>
    <row r="60" spans="1:16" ht="24.75" thickBot="1">
      <c r="A60" s="2812" t="s">
        <v>1867</v>
      </c>
      <c r="B60" s="2815"/>
      <c r="C60" s="2815"/>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918">
        <f>J58+1</f>
        <v>5</v>
      </c>
      <c r="K60" s="2920" t="s">
        <v>1869</v>
      </c>
      <c r="L60" s="1879" t="s">
        <v>1863</v>
      </c>
      <c r="M60" s="784"/>
      <c r="N60" s="785" t="e">
        <f>M50-N58</f>
        <v>#VALUE!</v>
      </c>
      <c r="O60" s="2265"/>
      <c r="P60" s="1841"/>
    </row>
    <row r="61" spans="1:16" ht="12" customHeight="1">
      <c r="A61" s="2062"/>
      <c r="B61" s="2189"/>
      <c r="C61" s="2189"/>
      <c r="D61" s="2189"/>
      <c r="E61" s="1019"/>
      <c r="F61" s="1019"/>
      <c r="G61" s="1019"/>
      <c r="H61" s="2242"/>
      <c r="I61" s="2189"/>
      <c r="J61" s="2919"/>
      <c r="K61" s="2920"/>
      <c r="L61" s="2260" t="s">
        <v>1866</v>
      </c>
      <c r="M61" s="783"/>
      <c r="N61" s="2262" t="e">
        <f>IF(H19="元",NUMBERSTRING(INT(N60),2)&amp;"元整",NUMBERSTRING(INT(N60*10000),2)&amp;"元整")</f>
        <v>#VALUE!</v>
      </c>
      <c r="O61" s="2263"/>
      <c r="P61" s="1841"/>
    </row>
    <row r="62" spans="1:16" ht="13.5" thickBot="1">
      <c r="A62" s="2901" t="s">
        <v>1870</v>
      </c>
      <c r="B62" s="2901"/>
      <c r="C62" s="2901"/>
      <c r="D62" s="2901"/>
      <c r="E62" s="2901"/>
      <c r="F62" s="1019"/>
      <c r="G62" s="1019"/>
      <c r="H62" s="2242"/>
      <c r="I62" s="2189"/>
      <c r="J62" s="1879">
        <f>J60+1</f>
        <v>6</v>
      </c>
      <c r="K62" s="2920" t="s">
        <v>1871</v>
      </c>
      <c r="L62" s="2920"/>
      <c r="M62" s="786"/>
      <c r="N62" s="787" t="e">
        <f>IF(H19="元",ROUND(N60/项目基本情况!C12,0),ROUND(N60*10000/项目基本情况!C12,0))</f>
        <v>#VALUE!</v>
      </c>
      <c r="O62" s="2266"/>
      <c r="P62" s="1841"/>
    </row>
    <row r="63" spans="1:16" ht="12.75">
      <c r="A63" s="2908" t="s">
        <v>1872</v>
      </c>
      <c r="B63" s="2909"/>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940"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940"/>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940"/>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940"/>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940"/>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940"/>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940"/>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912" t="s">
        <v>1892</v>
      </c>
      <c r="B71" s="2913"/>
      <c r="C71" s="2913"/>
      <c r="D71" s="2913"/>
      <c r="E71" s="2913"/>
      <c r="F71" s="2913"/>
      <c r="G71" s="2913"/>
      <c r="H71" s="2913"/>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908" t="s">
        <v>1872</v>
      </c>
      <c r="B72" s="2909"/>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889" t="s">
        <v>1902</v>
      </c>
      <c r="F77" s="2888"/>
      <c r="G77" s="2888"/>
      <c r="H77" s="2903"/>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80" t="s">
        <v>1907</v>
      </c>
      <c r="F79" s="2881"/>
      <c r="G79" s="2881"/>
      <c r="H79" s="2882"/>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912" t="s">
        <v>1911</v>
      </c>
      <c r="B84" s="2913"/>
      <c r="C84" s="2913"/>
      <c r="D84" s="2913"/>
      <c r="E84" s="2913"/>
      <c r="F84" s="2913"/>
      <c r="G84" s="2913"/>
      <c r="H84" s="2913"/>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908" t="s">
        <v>1872</v>
      </c>
      <c r="B85" s="2909"/>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80" t="s">
        <v>1919</v>
      </c>
      <c r="F92" s="2881"/>
      <c r="G92" s="2881"/>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80" t="s">
        <v>1922</v>
      </c>
      <c r="F93" s="2881"/>
      <c r="G93" s="2881"/>
      <c r="H93" s="2882"/>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80" t="s">
        <v>1907</v>
      </c>
      <c r="F94" s="2881"/>
      <c r="G94" s="2881"/>
      <c r="H94" s="2882"/>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80" t="s">
        <v>1924</v>
      </c>
      <c r="F95" s="2881"/>
      <c r="G95" s="2881"/>
      <c r="H95" s="2882"/>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935" t="s">
        <v>1926</v>
      </c>
      <c r="B100" s="2936"/>
      <c r="C100" s="2936"/>
      <c r="D100" s="2937"/>
      <c r="E100" s="2189"/>
      <c r="F100" s="2946" t="s">
        <v>1927</v>
      </c>
      <c r="G100" s="2947"/>
      <c r="H100" s="2947"/>
      <c r="I100" s="2948"/>
    </row>
    <row r="101" spans="1:35" ht="15.75">
      <c r="A101" s="2949" t="s">
        <v>1928</v>
      </c>
      <c r="B101" s="2950"/>
      <c r="C101" s="718">
        <f>C4</f>
        <v>0</v>
      </c>
      <c r="D101" s="719">
        <f>D4</f>
        <v>0</v>
      </c>
      <c r="E101" s="2189"/>
      <c r="F101" s="2845" t="s">
        <v>1929</v>
      </c>
      <c r="G101" s="2846"/>
      <c r="H101" s="2971" t="s">
        <v>1930</v>
      </c>
      <c r="I101" s="2844"/>
    </row>
    <row r="102" spans="1:35" ht="15.75">
      <c r="A102" s="2972" t="s">
        <v>1990</v>
      </c>
      <c r="B102" s="2284" t="str">
        <f>IF(H19="元","总价（元）","总价（万元）")</f>
        <v>总价（元）</v>
      </c>
      <c r="C102" s="718" t="e">
        <f ca="1">C19</f>
        <v>#REF!</v>
      </c>
      <c r="D102" s="719" t="e">
        <f ca="1">D19</f>
        <v>#REF!</v>
      </c>
      <c r="E102" s="2189"/>
      <c r="F102" s="2973"/>
      <c r="G102" s="2974"/>
      <c r="H102" s="2843">
        <f>典型户型修正!B25</f>
        <v>0</v>
      </c>
      <c r="I102" s="2844"/>
    </row>
    <row r="103" spans="1:35" ht="15.75">
      <c r="A103" s="2972"/>
      <c r="B103" s="2284" t="s">
        <v>1932</v>
      </c>
      <c r="C103" s="720" t="e">
        <f ca="1">C20</f>
        <v>#REF!</v>
      </c>
      <c r="D103" s="721" t="e">
        <f ca="1">D20</f>
        <v>#REF!</v>
      </c>
      <c r="E103" s="2189"/>
      <c r="F103" s="2872" t="s">
        <v>1933</v>
      </c>
      <c r="G103" s="2873"/>
      <c r="H103" s="2285" t="str">
        <f>C109</f>
        <v>总价（元）</v>
      </c>
      <c r="I103" s="1858">
        <f>H124</f>
        <v>0</v>
      </c>
    </row>
    <row r="104" spans="1:35" ht="15">
      <c r="A104" s="2972" t="s">
        <v>1991</v>
      </c>
      <c r="B104" s="2286" t="str">
        <f>B102</f>
        <v>总价（元）</v>
      </c>
      <c r="C104" s="1187" t="e">
        <f ca="1">ROUND(IF('数据-取费表'!B4="总价",G19,IF(H19="元",G20*'数据-取费表'!E5,G20*'数据-取费表'!E5/10000)),0)</f>
        <v>#REF!</v>
      </c>
      <c r="D104" s="723"/>
      <c r="E104" s="2189"/>
      <c r="F104" s="2872"/>
      <c r="G104" s="2873"/>
      <c r="H104" s="2285" t="s">
        <v>1932</v>
      </c>
      <c r="I104" s="1047" t="e">
        <f>I124</f>
        <v>#DIV/0!</v>
      </c>
    </row>
    <row r="105" spans="1:35" ht="15.75">
      <c r="A105" s="2972"/>
      <c r="B105" s="2284" t="s">
        <v>1932</v>
      </c>
      <c r="C105" s="1188" t="e">
        <f ca="1">ROUND(IF('数据-取费表'!B4="楼面单价",G20,IF(H19="元",G19/'数据-取费表'!E5,G19*10000/'数据-取费表'!E5)),0)</f>
        <v>#REF!</v>
      </c>
      <c r="D105" s="723"/>
      <c r="E105" s="2189"/>
      <c r="F105" s="2944"/>
      <c r="G105" s="2945"/>
      <c r="H105" s="2929"/>
      <c r="I105" s="2930"/>
    </row>
    <row r="106" spans="1:35" ht="15.75">
      <c r="A106" s="2965" t="s">
        <v>1992</v>
      </c>
      <c r="B106" s="2324" t="str">
        <f>B102</f>
        <v>总价（元）</v>
      </c>
      <c r="C106" s="722">
        <f>H124</f>
        <v>0</v>
      </c>
      <c r="D106" s="1186"/>
      <c r="E106" s="2189"/>
      <c r="F106" s="2933" t="s">
        <v>1936</v>
      </c>
      <c r="G106" s="2934"/>
      <c r="H106" s="2288" t="str">
        <f>C111</f>
        <v>总额（元）</v>
      </c>
      <c r="I106" s="1858">
        <f>SUMIF(I107:I109,"&lt;9E307")</f>
        <v>0</v>
      </c>
    </row>
    <row r="107" spans="1:35" ht="15.75" thickBot="1">
      <c r="A107" s="2928"/>
      <c r="B107" s="2287" t="s">
        <v>1932</v>
      </c>
      <c r="C107" s="724" t="e">
        <f>I124</f>
        <v>#DIV/0!</v>
      </c>
      <c r="D107" s="725"/>
      <c r="E107" s="2189"/>
      <c r="F107" s="2861" t="s">
        <v>1938</v>
      </c>
      <c r="G107" s="2862"/>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68" t="s">
        <v>1935</v>
      </c>
      <c r="B108" s="2969"/>
      <c r="C108" s="2969"/>
      <c r="D108" s="2970"/>
      <c r="E108" s="2189"/>
      <c r="F108" s="2861" t="s">
        <v>1939</v>
      </c>
      <c r="G108" s="2862"/>
      <c r="H108" s="2288" t="str">
        <f>C113</f>
        <v>总额（元）</v>
      </c>
      <c r="I108" s="1047">
        <f>C38</f>
        <v>0</v>
      </c>
      <c r="K108" s="2289"/>
    </row>
    <row r="109" spans="1:35" ht="15">
      <c r="A109" s="2859" t="s">
        <v>1993</v>
      </c>
      <c r="B109" s="2860"/>
      <c r="C109" s="2285" t="str">
        <f>B102</f>
        <v>总价（元）</v>
      </c>
      <c r="D109" s="1048">
        <f>H124</f>
        <v>0</v>
      </c>
      <c r="E109" s="2189"/>
      <c r="F109" s="2861" t="s">
        <v>1941</v>
      </c>
      <c r="G109" s="2862"/>
      <c r="H109" s="2288" t="str">
        <f>C114</f>
        <v>总额（元）</v>
      </c>
      <c r="I109" s="1047">
        <f>C39</f>
        <v>0</v>
      </c>
    </row>
    <row r="110" spans="1:35" ht="15.75">
      <c r="A110" s="2859"/>
      <c r="B110" s="2860"/>
      <c r="C110" s="2285" t="s">
        <v>1932</v>
      </c>
      <c r="D110" s="1049" t="e">
        <f>I124</f>
        <v>#DIV/0!</v>
      </c>
      <c r="E110" s="2189"/>
      <c r="F110" s="2944"/>
      <c r="G110" s="2945"/>
      <c r="H110" s="2931"/>
      <c r="I110" s="2932"/>
    </row>
    <row r="111" spans="1:35" ht="28.5" customHeight="1">
      <c r="A111" s="2866" t="s">
        <v>1940</v>
      </c>
      <c r="B111" s="2867"/>
      <c r="C111" s="2288" t="str">
        <f>IF(H19="元","总额（元）","总额（万元）")</f>
        <v>总额（元）</v>
      </c>
      <c r="D111" s="1048">
        <f>IF(D37="正常操作",I107+I108+I109,I108+I109)</f>
        <v>0</v>
      </c>
      <c r="E111" s="2189"/>
      <c r="F111" s="2847" t="str">
        <f>IF(项目基本情况!F5="已注销","——","3.房地产抵押价值")</f>
        <v>3.房地产抵押价值</v>
      </c>
      <c r="G111" s="2848"/>
      <c r="H111" s="2325" t="str">
        <f>C115</f>
        <v>总价（元）</v>
      </c>
      <c r="I111" s="1858">
        <f>IF(F111="——","——",I103-I106)</f>
        <v>0</v>
      </c>
    </row>
    <row r="112" spans="1:35" ht="15">
      <c r="A112" s="2861" t="s">
        <v>1938</v>
      </c>
      <c r="B112" s="2862"/>
      <c r="C112" s="2288" t="str">
        <f>C111</f>
        <v>总额（元）</v>
      </c>
      <c r="D112" s="635">
        <f>IF(D37="同一抵押权人同一抵押物续贷",C37&amp;"（未扣减，详见特别提示）",C37)</f>
        <v>0</v>
      </c>
      <c r="E112" s="2189"/>
      <c r="F112" s="2963"/>
      <c r="G112" s="2964"/>
      <c r="H112" s="2285" t="s">
        <v>1932</v>
      </c>
      <c r="I112" s="2291" t="e">
        <f>D116</f>
        <v>#DIV/0!</v>
      </c>
    </row>
    <row r="113" spans="1:26" ht="15.75">
      <c r="A113" s="2861" t="s">
        <v>1939</v>
      </c>
      <c r="B113" s="2862"/>
      <c r="C113" s="2288" t="str">
        <f>C111</f>
        <v>总额（元）</v>
      </c>
      <c r="D113" s="635">
        <f>C38</f>
        <v>0</v>
      </c>
      <c r="E113" s="2189"/>
      <c r="F113" s="2847" t="str">
        <f>IF(项目基本情况!F5="已注销及未注销","4.抵押担保权已注销时的房地产抵押价值",IF(项目基本情况!F5="已注销","3.抵押担保权已注销时的房地产抵押价值","——"))</f>
        <v>——</v>
      </c>
      <c r="G113" s="2848"/>
      <c r="H113" s="2325" t="str">
        <f>C117</f>
        <v>总价（元）</v>
      </c>
      <c r="I113" s="1858" t="str">
        <f>IF(F113="——","——",I103-I108-I109)</f>
        <v>——</v>
      </c>
    </row>
    <row r="114" spans="1:26" ht="15">
      <c r="A114" s="2861" t="s">
        <v>1941</v>
      </c>
      <c r="B114" s="2862"/>
      <c r="C114" s="2288" t="str">
        <f>C111</f>
        <v>总额（元）</v>
      </c>
      <c r="D114" s="635">
        <f>C39</f>
        <v>0</v>
      </c>
      <c r="E114" s="2189"/>
      <c r="F114" s="2963"/>
      <c r="G114" s="2964"/>
      <c r="H114" s="2285" t="s">
        <v>1932</v>
      </c>
      <c r="I114" s="1047" t="str">
        <f>D118</f>
        <v>——</v>
      </c>
    </row>
    <row r="115" spans="1:26" ht="15.75">
      <c r="A115" s="2859" t="str">
        <f>IF(项目基本情况!F5="已注销","——","3.房地产抵押价值")</f>
        <v>3.房地产抵押价值</v>
      </c>
      <c r="B115" s="2860"/>
      <c r="C115" s="2285" t="str">
        <f>B102</f>
        <v>总价（元）</v>
      </c>
      <c r="D115" s="1048">
        <f>IF(A115="——","——",D109-D111)</f>
        <v>0</v>
      </c>
      <c r="E115" s="2189"/>
      <c r="F115" s="2847" t="str">
        <f>IF(项目基本情况!G5="抵押净值",IF(OR(项目基本情况!F5="已注销",项目基本情况!F5="房地产抵押价值"),"4.抵押净值","5.抵押净值"),"——")</f>
        <v>——</v>
      </c>
      <c r="G115" s="2848"/>
      <c r="H115" s="2285" t="str">
        <f>C119</f>
        <v>总价（元）</v>
      </c>
      <c r="I115" s="1858" t="str">
        <f>IF(F115="——","——",N60)</f>
        <v>——</v>
      </c>
    </row>
    <row r="116" spans="1:26" ht="15.75" thickBot="1">
      <c r="A116" s="2859"/>
      <c r="B116" s="2860"/>
      <c r="C116" s="2285" t="s">
        <v>1994</v>
      </c>
      <c r="D116" s="1049" t="e">
        <f>ROUND(IF(D115=D109,D110,IF(H19="元",D115/B124,D115*10000/B124)),0)</f>
        <v>#DIV/0!</v>
      </c>
      <c r="E116" s="2189"/>
      <c r="F116" s="2849"/>
      <c r="G116" s="2850"/>
      <c r="H116" s="2293" t="s">
        <v>1994</v>
      </c>
      <c r="I116" s="1860" t="str">
        <f>D120</f>
        <v>——</v>
      </c>
    </row>
    <row r="117" spans="1:26" ht="15.75">
      <c r="A117" s="2859" t="str">
        <f>IF(项目基本情况!F5="已注销及未注销","4.抵押担保权已注销时的房地产抵押价值",IF(项目基本情况!F5="已注销","3.抵押担保权已注销时的房地产抵押价值","——"))</f>
        <v>——</v>
      </c>
      <c r="B117" s="2860"/>
      <c r="C117" s="2285" t="str">
        <f>B102</f>
        <v>总价（元）</v>
      </c>
      <c r="D117" s="1048" t="str">
        <f>IF(A117="——","——",D109-D113-D114)</f>
        <v>——</v>
      </c>
      <c r="E117" s="2189"/>
      <c r="F117" s="2959"/>
      <c r="G117" s="2959"/>
      <c r="H117" s="2915"/>
      <c r="I117" s="2915"/>
      <c r="N117" s="55"/>
      <c r="O117" s="55"/>
    </row>
    <row r="118" spans="1:26" s="1841" customFormat="1" ht="15">
      <c r="A118" s="2859"/>
      <c r="B118" s="2860"/>
      <c r="C118" s="2285" t="s">
        <v>1994</v>
      </c>
      <c r="D118" s="1049" t="str">
        <f>IF(A117="——","——",IF(H19="元",ROUND(D117/B124,0),ROUND(D117*10000/B124,0)))</f>
        <v>——</v>
      </c>
      <c r="E118" s="2189"/>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6"/>
      <c r="K118" s="796"/>
      <c r="L118" s="796"/>
      <c r="M118" s="796"/>
      <c r="N118" s="55"/>
      <c r="O118" s="55"/>
      <c r="P118" s="796"/>
      <c r="Q118" s="796"/>
      <c r="R118" s="796"/>
      <c r="S118" s="796"/>
      <c r="T118" s="796"/>
      <c r="U118" s="796"/>
      <c r="V118" s="796"/>
      <c r="W118" s="796"/>
      <c r="X118" s="796"/>
      <c r="Y118" s="796"/>
      <c r="Z118" s="796"/>
    </row>
    <row r="119" spans="1:26" s="1841" customFormat="1" ht="15">
      <c r="A119" s="2859" t="str">
        <f>IF(项目基本情况!G5="抵押净值",IF(OR(项目基本情况!F5="已注销",项目基本情况!F5="房地产抵押价值"),"4.抵押净值","5.抵押净值"),"——")</f>
        <v>——</v>
      </c>
      <c r="B119" s="2860"/>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864"/>
      <c r="B120" s="2865"/>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916" t="s">
        <v>1995</v>
      </c>
      <c r="B121" s="2917"/>
      <c r="C121" s="2917"/>
      <c r="D121" s="2917"/>
      <c r="E121" s="2917"/>
      <c r="F121" s="2917"/>
      <c r="G121" s="2917"/>
      <c r="H121" s="2917"/>
      <c r="I121" s="2917"/>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40" t="s">
        <v>1943</v>
      </c>
      <c r="B122" s="2870" t="s">
        <v>1996</v>
      </c>
      <c r="C122" s="2870" t="s">
        <v>1997</v>
      </c>
      <c r="D122" s="2942" t="s">
        <v>1946</v>
      </c>
      <c r="E122" s="2943"/>
      <c r="F122" s="2841" t="s">
        <v>1998</v>
      </c>
      <c r="G122" s="2841"/>
      <c r="H122" s="2841" t="s">
        <v>1947</v>
      </c>
      <c r="I122" s="2941"/>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40"/>
      <c r="B123" s="2871"/>
      <c r="C123" s="2871"/>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40" t="s">
        <v>1951</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6"/>
      <c r="K125" s="796"/>
      <c r="L125" s="796"/>
      <c r="M125" s="796"/>
      <c r="N125" s="796"/>
      <c r="O125" s="796"/>
      <c r="P125" s="796"/>
      <c r="Q125" s="796"/>
      <c r="R125" s="796"/>
      <c r="S125" s="796"/>
      <c r="T125" s="796"/>
      <c r="U125" s="796"/>
      <c r="V125" s="796"/>
      <c r="W125" s="796"/>
      <c r="X125" s="796"/>
      <c r="Y125" s="796"/>
      <c r="Z125" s="796"/>
    </row>
    <row r="126" spans="1:26" s="1841" customFormat="1" ht="15">
      <c r="A126" s="2922" t="str">
        <f>IF(项目基本情况!D5="房地产市场价值","——",MID(A111,3,LEN(A111)-2))</f>
        <v>——</v>
      </c>
      <c r="B126" s="2852"/>
      <c r="C126" s="2923"/>
      <c r="D126" s="2851">
        <f>I106</f>
        <v>0</v>
      </c>
      <c r="E126" s="2852"/>
      <c r="F126" s="2852"/>
      <c r="G126" s="2852"/>
      <c r="H126" s="2852"/>
      <c r="I126" s="2853"/>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24" t="s">
        <v>1951</v>
      </c>
      <c r="B127" s="2925"/>
      <c r="C127" s="2926"/>
      <c r="D127" s="2854">
        <f>H110</f>
        <v>0</v>
      </c>
      <c r="E127" s="2855"/>
      <c r="F127" s="2855"/>
      <c r="G127" s="2855"/>
      <c r="H127" s="2855"/>
      <c r="I127" s="2856"/>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57" t="str">
        <f>IF(项目基本情况!D5="房地产市场价值","——",MID(A115,3,LEN(A115)-2))</f>
        <v>——</v>
      </c>
      <c r="B128" s="2858"/>
      <c r="C128" s="2858"/>
      <c r="D128" s="2851">
        <f>I111</f>
        <v>0</v>
      </c>
      <c r="E128" s="2852"/>
      <c r="F128" s="2852"/>
      <c r="G128" s="2852"/>
      <c r="H128" s="2852"/>
      <c r="I128" s="2853"/>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40" t="s">
        <v>1951</v>
      </c>
      <c r="B129" s="2841"/>
      <c r="C129" s="2841"/>
      <c r="D129" s="2854" t="e">
        <f>I112</f>
        <v>#DIV/0!</v>
      </c>
      <c r="E129" s="2855"/>
      <c r="F129" s="2855"/>
      <c r="G129" s="2855"/>
      <c r="H129" s="2855"/>
      <c r="I129" s="2856"/>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57" t="str">
        <f>IF(项目基本情况!D5="房地产市场价值","——",MID(A117,3,LEN(A117)-2))</f>
        <v>——</v>
      </c>
      <c r="B130" s="2858"/>
      <c r="C130" s="2858"/>
      <c r="D130" s="2956" t="str">
        <f>I113</f>
        <v>——</v>
      </c>
      <c r="E130" s="2957"/>
      <c r="F130" s="2957"/>
      <c r="G130" s="2957"/>
      <c r="H130" s="2957"/>
      <c r="I130" s="2958"/>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40" t="s">
        <v>1951</v>
      </c>
      <c r="B131" s="2841"/>
      <c r="C131" s="2842"/>
      <c r="D131" s="2914" t="str">
        <f>I114</f>
        <v>——</v>
      </c>
      <c r="E131" s="2914"/>
      <c r="F131" s="2914"/>
      <c r="G131" s="2914"/>
      <c r="H131" s="2914"/>
      <c r="I131" s="2914"/>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57" t="str">
        <f>IF(项目基本情况!D5="房地产市场价值","——",MID(F115,3,LEN(F115)-2))</f>
        <v>——</v>
      </c>
      <c r="B132" s="2858"/>
      <c r="C132" s="2851"/>
      <c r="D132" s="2863" t="str">
        <f>I115</f>
        <v>——</v>
      </c>
      <c r="E132" s="2863"/>
      <c r="F132" s="2863"/>
      <c r="G132" s="2863"/>
      <c r="H132" s="2863"/>
      <c r="I132" s="2863"/>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868" t="s">
        <v>1951</v>
      </c>
      <c r="B133" s="2869"/>
      <c r="C133" s="2869"/>
      <c r="D133" s="2876">
        <f>H117</f>
        <v>0</v>
      </c>
      <c r="E133" s="2877"/>
      <c r="F133" s="2877"/>
      <c r="G133" s="2877"/>
      <c r="H133" s="2877"/>
      <c r="I133" s="2878"/>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K57"/>
  <sheetViews>
    <sheetView tabSelected="1" topLeftCell="A10" zoomScale="95" zoomScaleNormal="95" workbookViewId="0">
      <selection activeCell="K33" sqref="K3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11867961</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106640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 ca="1">C6+C7+C8</f>
        <v>8413621</v>
      </c>
      <c r="D5" s="195" t="s">
        <v>2006</v>
      </c>
      <c r="E5" s="1528" t="s">
        <v>2007</v>
      </c>
      <c r="F5" s="1528" t="s">
        <v>2008</v>
      </c>
      <c r="G5" s="174"/>
    </row>
    <row r="6" spans="1:7" s="175" customFormat="1" ht="13.5" customHeight="1">
      <c r="A6" s="176" t="s">
        <v>2009</v>
      </c>
      <c r="B6" s="177" t="s">
        <v>2010</v>
      </c>
      <c r="C6" s="1527">
        <f ca="1">基准地价修正!E29</f>
        <v>8164601</v>
      </c>
      <c r="D6" s="1529"/>
      <c r="E6" s="1530"/>
      <c r="F6" s="1530"/>
      <c r="G6" s="179"/>
    </row>
    <row r="7" spans="1:7" s="175" customFormat="1" ht="13.5" customHeight="1">
      <c r="A7" s="176" t="s">
        <v>2011</v>
      </c>
      <c r="B7" s="177" t="s">
        <v>2012</v>
      </c>
      <c r="C7" s="199">
        <f ca="1">ROUND(C6*F7,0)</f>
        <v>249020</v>
      </c>
      <c r="D7" s="199"/>
      <c r="E7" s="1530"/>
      <c r="F7" s="1531">
        <f>'数据-取费表'!E36+'数据-取费表'!E37</f>
        <v>3.0499999999999999E-2</v>
      </c>
      <c r="G7" s="179"/>
    </row>
    <row r="8" spans="1:7" s="180" customFormat="1">
      <c r="A8" s="176" t="s">
        <v>2013</v>
      </c>
      <c r="B8" s="177" t="s">
        <v>2014</v>
      </c>
      <c r="C8" s="199" t="str">
        <f>IF(G8="已包含在土地购买价格中","0",'数据-取费表'!E13)</f>
        <v>0</v>
      </c>
      <c r="D8" s="1532"/>
      <c r="E8" s="199"/>
      <c r="F8" s="1531"/>
      <c r="G8" s="2329" t="s">
        <v>2934</v>
      </c>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111.29</v>
      </c>
      <c r="E19" s="195">
        <f>'数据-取费表'!E15</f>
        <v>200</v>
      </c>
      <c r="F19" s="196"/>
      <c r="G19" s="2329" t="s">
        <v>2935</v>
      </c>
    </row>
    <row r="20" spans="1:7" s="175" customFormat="1" ht="13.5" customHeight="1">
      <c r="A20" s="204" t="s">
        <v>2028</v>
      </c>
      <c r="B20" s="173" t="s">
        <v>2029</v>
      </c>
      <c r="C20" s="183">
        <f ca="1">ROUND((C5+C19)*F20,0)</f>
        <v>168272</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369653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365993</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f ca="1">ROUND(IF('数据-取费表'!B23&lt;=1,C20*F22*'数据-取费表'!B24/2,C20*(POWER((1+F22),'数据-取费表'!B24/2)-1)),0)</f>
        <v>3660</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 ca="1">C28</f>
        <v>1716379</v>
      </c>
      <c r="D27" s="185">
        <f>C29</f>
        <v>4.0000000000000001E-3</v>
      </c>
      <c r="E27" s="186" t="s">
        <v>2033</v>
      </c>
      <c r="F27" s="196">
        <f>'数据-取费表'!E28</f>
        <v>0.2</v>
      </c>
      <c r="G27" s="197" t="s">
        <v>2048</v>
      </c>
    </row>
    <row r="28" spans="1:7" s="175" customFormat="1" ht="13.5" customHeight="1">
      <c r="A28" s="176" t="s">
        <v>2037</v>
      </c>
      <c r="B28" s="198" t="s">
        <v>2049</v>
      </c>
      <c r="C28" s="199">
        <f ca="1">ROUND((C5+C19+C20)*F27*'数据-取费表'!B22/'数据-取费表'!B21,0)</f>
        <v>1716379</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11566654</v>
      </c>
      <c r="D31" s="1537"/>
      <c r="E31" s="195"/>
      <c r="F31" s="1538"/>
      <c r="G31" s="184" t="s">
        <v>2055</v>
      </c>
    </row>
    <row r="32" spans="1:7" s="172" customFormat="1" ht="15.75">
      <c r="A32" s="201" t="s">
        <v>2056</v>
      </c>
      <c r="B32" s="202"/>
      <c r="C32" s="1539"/>
      <c r="D32" s="1539"/>
      <c r="E32" s="1539"/>
      <c r="F32" s="1539"/>
      <c r="G32" s="203"/>
    </row>
    <row r="33" spans="1:11" s="175" customFormat="1" ht="13.5" customHeight="1">
      <c r="A33" s="204" t="s">
        <v>2057</v>
      </c>
      <c r="B33" s="173" t="s">
        <v>2058</v>
      </c>
      <c r="C33" s="205">
        <f>SUM(C34:C38)</f>
        <v>318567</v>
      </c>
      <c r="D33" s="183"/>
      <c r="E33" s="1528"/>
      <c r="F33" s="191"/>
      <c r="G33" s="184"/>
      <c r="K33" s="175" t="s">
        <v>2936</v>
      </c>
    </row>
    <row r="34" spans="1:11" s="206" customFormat="1" ht="13.5" customHeight="1">
      <c r="A34" s="176" t="s">
        <v>2037</v>
      </c>
      <c r="B34" s="177" t="s">
        <v>2059</v>
      </c>
      <c r="C34" s="199">
        <f>IF(B1="仅计算典型户型",'数据-取费表'!F18,'数据-取费表'!E18)</f>
        <v>278225</v>
      </c>
      <c r="D34" s="1529"/>
      <c r="E34" s="199"/>
      <c r="F34" s="1540" t="str">
        <f>IF('数据-取费表'!B25=0,"",'数据-取费表'!E20)</f>
        <v/>
      </c>
      <c r="G34" s="179"/>
    </row>
    <row r="35" spans="1:11" ht="13.5" customHeight="1">
      <c r="A35" s="176" t="s">
        <v>2011</v>
      </c>
      <c r="B35" s="177" t="s">
        <v>2060</v>
      </c>
      <c r="C35" s="199">
        <f>ROUND(C34*F35,0)</f>
        <v>13911</v>
      </c>
      <c r="D35" s="199"/>
      <c r="E35" s="199"/>
      <c r="F35" s="1541">
        <f>'数据-取费表'!E21</f>
        <v>0.05</v>
      </c>
      <c r="G35" s="179" t="s">
        <v>2061</v>
      </c>
    </row>
    <row r="36" spans="1:11" ht="24">
      <c r="A36" s="176" t="s">
        <v>2013</v>
      </c>
      <c r="B36" s="177" t="s">
        <v>2062</v>
      </c>
      <c r="C36" s="199">
        <f>ROUND(IF('数据-取费表'!B10="住宅",C34*F36,0),0)</f>
        <v>0</v>
      </c>
      <c r="D36" s="199"/>
      <c r="E36" s="199"/>
      <c r="F36" s="1541">
        <f>'数据-取费表'!E22</f>
        <v>0</v>
      </c>
      <c r="G36" s="207" t="s">
        <v>2063</v>
      </c>
    </row>
    <row r="37" spans="1:11"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11" ht="13.5" customHeight="1">
      <c r="A38" s="176" t="s">
        <v>2066</v>
      </c>
      <c r="B38" s="177" t="s">
        <v>2067</v>
      </c>
      <c r="C38" s="199">
        <f>ROUND(C34*F38,0)</f>
        <v>4173</v>
      </c>
      <c r="D38" s="199"/>
      <c r="E38" s="199"/>
      <c r="F38" s="1541">
        <f>'数据-取费表'!E24</f>
        <v>1.4999999999999999E-2</v>
      </c>
      <c r="G38" s="179" t="s">
        <v>2061</v>
      </c>
    </row>
    <row r="39" spans="1:11" s="175" customFormat="1" ht="13.5" customHeight="1">
      <c r="A39" s="204" t="s">
        <v>2026</v>
      </c>
      <c r="B39" s="173" t="s">
        <v>2029</v>
      </c>
      <c r="C39" s="183">
        <f>ROUND(C33*F20,0)</f>
        <v>6371</v>
      </c>
      <c r="D39" s="183"/>
      <c r="E39" s="183"/>
      <c r="F39" s="187"/>
      <c r="G39" s="184" t="s">
        <v>2068</v>
      </c>
    </row>
    <row r="40" spans="1:11" s="175" customFormat="1" ht="13.5" customHeight="1">
      <c r="A40" s="204" t="s">
        <v>2028</v>
      </c>
      <c r="B40" s="173" t="s">
        <v>2032</v>
      </c>
      <c r="C40" s="1815">
        <f>F21</f>
        <v>0.02</v>
      </c>
      <c r="D40" s="186" t="s">
        <v>2069</v>
      </c>
      <c r="E40" s="183"/>
      <c r="F40" s="187"/>
      <c r="G40" s="184" t="s">
        <v>2070</v>
      </c>
    </row>
    <row r="41" spans="1:11" s="175" customFormat="1" ht="13.5" customHeight="1">
      <c r="A41" s="204" t="s">
        <v>2031</v>
      </c>
      <c r="B41" s="173" t="s">
        <v>2036</v>
      </c>
      <c r="C41" s="183">
        <f ca="1">ROUND(SUM(C42:C43),0)</f>
        <v>7068</v>
      </c>
      <c r="D41" s="185">
        <f ca="1">C44</f>
        <v>4.0000000000000002E-4</v>
      </c>
      <c r="E41" s="186" t="s">
        <v>2069</v>
      </c>
      <c r="F41" s="187"/>
      <c r="G41" s="184" t="str">
        <f>IF('数据-取费表'!B23&lt;=1,"单利计息。","复利计息。")</f>
        <v>单利计息。</v>
      </c>
    </row>
    <row r="42" spans="1:11" ht="13.5" customHeight="1">
      <c r="A42" s="176" t="s">
        <v>2037</v>
      </c>
      <c r="B42" s="177" t="s">
        <v>2038</v>
      </c>
      <c r="C42" s="188">
        <f ca="1">ROUND(IF('数据-取费表'!B23&lt;=1,C33*F22*'数据-取费表'!B22/2,C33*(POWER((1+F22),'数据-取费表'!B22/2)-1)),0)</f>
        <v>6929</v>
      </c>
      <c r="D42" s="188"/>
      <c r="E42" s="188"/>
      <c r="F42" s="189"/>
      <c r="G42" s="2977" t="s">
        <v>2071</v>
      </c>
    </row>
    <row r="43" spans="1:11" ht="13.5" customHeight="1">
      <c r="A43" s="176" t="s">
        <v>2011</v>
      </c>
      <c r="B43" s="177" t="s">
        <v>2040</v>
      </c>
      <c r="C43" s="188">
        <f ca="1">ROUND(IF('数据-取费表'!B23&lt;=1,C39*F22*'数据-取费表'!B22/2,C39*(POWER((1+F22),'数据-取费表'!B22/2)-1)),0)</f>
        <v>139</v>
      </c>
      <c r="D43" s="188"/>
      <c r="E43" s="188"/>
      <c r="F43" s="189"/>
      <c r="G43" s="2978"/>
    </row>
    <row r="44" spans="1:11" ht="13.5" customHeight="1">
      <c r="A44" s="176" t="s">
        <v>2013</v>
      </c>
      <c r="B44" s="177" t="s">
        <v>2042</v>
      </c>
      <c r="C44" s="188">
        <f ca="1">ROUND(IF('数据-取费表'!B23&lt;=1,C40*F22*'数据-取费表'!B22/2,C40*(POWER((1+F22),'数据-取费表'!B22/2)-1)),4)</f>
        <v>4.0000000000000002E-4</v>
      </c>
      <c r="D44" s="188"/>
      <c r="E44" s="188"/>
      <c r="F44" s="189"/>
      <c r="G44" s="2979"/>
    </row>
    <row r="45" spans="1:11" s="175" customFormat="1" ht="13.5" customHeight="1">
      <c r="A45" s="204" t="s">
        <v>2035</v>
      </c>
      <c r="B45" s="194" t="s">
        <v>2047</v>
      </c>
      <c r="C45" s="195">
        <f>C46</f>
        <v>64988</v>
      </c>
      <c r="D45" s="185">
        <f>C47</f>
        <v>4.0000000000000001E-3</v>
      </c>
      <c r="E45" s="186" t="s">
        <v>2069</v>
      </c>
      <c r="F45" s="196"/>
      <c r="G45" s="197" t="s">
        <v>2072</v>
      </c>
    </row>
    <row r="46" spans="1:11" s="175" customFormat="1" ht="13.5" customHeight="1">
      <c r="A46" s="176" t="s">
        <v>2037</v>
      </c>
      <c r="B46" s="198" t="s">
        <v>2073</v>
      </c>
      <c r="C46" s="199">
        <f>ROUND((C33+C39)*F27,0)</f>
        <v>64988</v>
      </c>
      <c r="D46" s="209"/>
      <c r="E46" s="186"/>
      <c r="F46" s="196"/>
      <c r="G46" s="197"/>
    </row>
    <row r="47" spans="1:11" s="175" customFormat="1" ht="13.5" customHeight="1">
      <c r="A47" s="176" t="s">
        <v>2011</v>
      </c>
      <c r="B47" s="198" t="s">
        <v>2074</v>
      </c>
      <c r="C47" s="188">
        <f>ROUND(C40*F27,4)</f>
        <v>4.0000000000000001E-3</v>
      </c>
      <c r="D47" s="209"/>
      <c r="E47" s="186"/>
      <c r="F47" s="196"/>
      <c r="G47" s="197"/>
    </row>
    <row r="48" spans="1:11"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430439</v>
      </c>
      <c r="D49" s="183"/>
      <c r="E49" s="183"/>
      <c r="F49" s="210"/>
      <c r="G49" s="184" t="s">
        <v>2079</v>
      </c>
    </row>
    <row r="50" spans="1:7" s="206" customFormat="1" ht="24">
      <c r="A50" s="1302" t="s">
        <v>2080</v>
      </c>
      <c r="B50" s="173" t="s">
        <v>2081</v>
      </c>
      <c r="C50" s="183"/>
      <c r="D50" s="183"/>
      <c r="E50" s="183"/>
      <c r="F50" s="210">
        <f>IF('数据-取费表'!B25=0,'数据-取费表'!E20,1)</f>
        <v>0.7</v>
      </c>
      <c r="G50" s="197" t="s">
        <v>2082</v>
      </c>
    </row>
    <row r="51" spans="1:7" ht="16.5" customHeight="1">
      <c r="A51" s="1302" t="s">
        <v>2083</v>
      </c>
      <c r="B51" s="173" t="s">
        <v>2084</v>
      </c>
      <c r="C51" s="183">
        <f ca="1">ROUND(C49*F50,0)</f>
        <v>301307</v>
      </c>
      <c r="D51" s="183"/>
      <c r="E51" s="183"/>
      <c r="F51" s="210"/>
      <c r="G51" s="184" t="s">
        <v>2085</v>
      </c>
    </row>
    <row r="52" spans="1:7" s="172" customFormat="1" ht="16.5" thickBot="1">
      <c r="A52" s="211" t="s">
        <v>2086</v>
      </c>
      <c r="B52" s="212"/>
      <c r="C52" s="213">
        <f ca="1">C31+C51</f>
        <v>11867961</v>
      </c>
      <c r="D52" s="212"/>
      <c r="E52" s="212"/>
      <c r="F52" s="212"/>
      <c r="G52" s="214"/>
    </row>
    <row r="55" spans="1:7" ht="15">
      <c r="B55" s="216" t="s">
        <v>2087</v>
      </c>
      <c r="C55" s="217"/>
    </row>
    <row r="56" spans="1:7">
      <c r="B56" s="219" t="s">
        <v>2088</v>
      </c>
      <c r="C56" s="220">
        <f ca="1">ROUND(C51/C52,3)</f>
        <v>2.5000000000000001E-2</v>
      </c>
    </row>
    <row r="57" spans="1:7">
      <c r="B57" s="219" t="s">
        <v>2089</v>
      </c>
      <c r="C57" s="221">
        <f ca="1">1-C56</f>
        <v>0.97499999999999998</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0.30000000000000004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2824</v>
      </c>
      <c r="D1" s="1735"/>
      <c r="E1" s="2377" t="s">
        <v>2830</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3006" t="s">
        <v>2335</v>
      </c>
      <c r="D4" s="3007"/>
      <c r="E4" s="3008" t="s">
        <v>2336</v>
      </c>
      <c r="F4" s="3009"/>
      <c r="G4" s="3006" t="s">
        <v>2337</v>
      </c>
      <c r="H4" s="3007"/>
      <c r="I4" s="3006" t="s">
        <v>2338</v>
      </c>
      <c r="J4" s="3007"/>
      <c r="K4" s="594" t="s">
        <v>2339</v>
      </c>
      <c r="L4" s="1240"/>
      <c r="M4" s="1241"/>
      <c r="N4" s="1241"/>
      <c r="O4" s="1241"/>
      <c r="P4" s="3010" t="s">
        <v>2340</v>
      </c>
      <c r="Q4" s="2999"/>
      <c r="R4" s="2992" t="s">
        <v>2336</v>
      </c>
      <c r="S4" s="2993"/>
      <c r="T4" s="2992" t="s">
        <v>2337</v>
      </c>
      <c r="U4" s="2993"/>
      <c r="V4" s="3014" t="s">
        <v>2338</v>
      </c>
      <c r="W4" s="3014"/>
      <c r="X4" s="1896"/>
      <c r="Y4" s="2992" t="s">
        <v>2340</v>
      </c>
      <c r="Z4" s="2993"/>
      <c r="AA4" s="3003" t="s">
        <v>2336</v>
      </c>
      <c r="AB4" s="3003" t="s">
        <v>2337</v>
      </c>
      <c r="AC4" s="3003" t="s">
        <v>2338</v>
      </c>
    </row>
    <row r="5" spans="1:29" ht="15">
      <c r="A5" s="383"/>
      <c r="B5" s="384"/>
      <c r="C5" s="3017" t="s">
        <v>2833</v>
      </c>
      <c r="D5" s="3018"/>
      <c r="E5" s="3015" t="e">
        <f>#REF!</f>
        <v>#REF!</v>
      </c>
      <c r="F5" s="3016"/>
      <c r="G5" s="3021" t="e">
        <f>#REF!</f>
        <v>#REF!</v>
      </c>
      <c r="H5" s="3018"/>
      <c r="I5" s="3021" t="e">
        <f>#REF!</f>
        <v>#REF!</v>
      </c>
      <c r="J5" s="3018"/>
      <c r="K5" s="594"/>
      <c r="L5" s="1240"/>
      <c r="M5" s="1241"/>
      <c r="N5" s="1241"/>
      <c r="O5" s="1241"/>
      <c r="P5" s="301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594" t="s">
        <v>2346</v>
      </c>
      <c r="L6" s="1240"/>
      <c r="M6" s="1241"/>
      <c r="N6" s="1241"/>
      <c r="O6" s="1241"/>
      <c r="P6" s="301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98" t="s">
        <v>2348</v>
      </c>
      <c r="Q7" s="2998"/>
      <c r="R7" s="747" t="s">
        <v>25</v>
      </c>
      <c r="S7" s="748">
        <f t="shared" ref="S7:S15" si="0">F7</f>
        <v>100</v>
      </c>
      <c r="T7" s="747" t="s">
        <v>25</v>
      </c>
      <c r="U7" s="748">
        <f t="shared" ref="U7:U15" si="1">H7</f>
        <v>100</v>
      </c>
      <c r="V7" s="747" t="s">
        <v>25</v>
      </c>
      <c r="W7" s="748">
        <f t="shared" ref="W7:W15" si="2">J7</f>
        <v>100</v>
      </c>
      <c r="X7" s="749"/>
      <c r="Y7" s="2990" t="s">
        <v>2348</v>
      </c>
      <c r="Z7" s="2991"/>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98" t="s">
        <v>2351</v>
      </c>
      <c r="Q8" s="2991"/>
      <c r="R8" s="747" t="s">
        <v>25</v>
      </c>
      <c r="S8" s="748">
        <f t="shared" si="0"/>
        <v>100</v>
      </c>
      <c r="T8" s="747" t="s">
        <v>25</v>
      </c>
      <c r="U8" s="748">
        <f t="shared" si="1"/>
        <v>100</v>
      </c>
      <c r="V8" s="747" t="s">
        <v>25</v>
      </c>
      <c r="W8" s="748">
        <f t="shared" si="2"/>
        <v>100</v>
      </c>
      <c r="X8" s="749"/>
      <c r="Y8" s="2990" t="s">
        <v>2351</v>
      </c>
      <c r="Z8" s="2991"/>
      <c r="AA8" s="750">
        <f t="shared" ref="AA8:AA47" si="3">D8/F8</f>
        <v>1</v>
      </c>
      <c r="AB8" s="750">
        <f t="shared" ref="AB8:AB47" si="4">D8/H8</f>
        <v>1</v>
      </c>
      <c r="AC8" s="750">
        <f t="shared" ref="AC8:AC47" si="5">D8/J8</f>
        <v>1</v>
      </c>
    </row>
    <row r="9" spans="1:29" s="35" customFormat="1">
      <c r="A9" s="395" t="s">
        <v>2352</v>
      </c>
      <c r="B9" s="28" t="s">
        <v>2353</v>
      </c>
      <c r="C9" s="2742" t="s">
        <v>2834</v>
      </c>
      <c r="D9" s="51">
        <v>100</v>
      </c>
      <c r="E9" s="399" t="s">
        <v>2815</v>
      </c>
      <c r="F9" s="51">
        <f>SUMIF(64:64,E9,65:65)-SUMIF(64:64,C9,65:65)+100</f>
        <v>100</v>
      </c>
      <c r="G9" s="399" t="s">
        <v>2815</v>
      </c>
      <c r="H9" s="51">
        <f>SUMIF(64:64,G9,65:65)-SUMIF(64:64,C9,65:65)+100</f>
        <v>100</v>
      </c>
      <c r="I9" s="399" t="s">
        <v>2815</v>
      </c>
      <c r="J9" s="51">
        <f>SUMIF(64:64,I9,65:65)-SUMIF(64:64,C9,65:65)+100</f>
        <v>100</v>
      </c>
      <c r="K9" s="595"/>
      <c r="L9" s="1242"/>
      <c r="M9" s="1243"/>
      <c r="N9" s="1243"/>
      <c r="O9" s="1243"/>
      <c r="P9" s="2980"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52">
        <f>SUMIF(66:66,E10,67:67)-SUMIF(66:66,C10,67:67)+100</f>
        <v>100</v>
      </c>
      <c r="G10" s="403" t="s">
        <v>2835</v>
      </c>
      <c r="H10" s="52">
        <f>SUMIF(66:66,G10,67:67)-SUMIF(66:66,C10,67:67)+100</f>
        <v>100</v>
      </c>
      <c r="I10" s="403" t="s">
        <v>2835</v>
      </c>
      <c r="J10" s="52">
        <f>SUMIF(66:66,I10,67:67)-SUMIF(66:66,C10,67:67)+100</f>
        <v>100</v>
      </c>
      <c r="K10" s="596">
        <v>2</v>
      </c>
      <c r="L10" s="1245"/>
      <c r="M10" s="1246"/>
      <c r="N10" s="1246"/>
      <c r="O10" s="1246"/>
      <c r="P10" s="2980"/>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0"/>
      <c r="Q11" s="1883" t="str">
        <f t="shared" si="6"/>
        <v>容积率</v>
      </c>
      <c r="R11" s="747" t="s">
        <v>25</v>
      </c>
      <c r="S11" s="748">
        <f t="shared" si="0"/>
        <v>100</v>
      </c>
      <c r="T11" s="747" t="s">
        <v>25</v>
      </c>
      <c r="U11" s="748">
        <f t="shared" si="1"/>
        <v>100</v>
      </c>
      <c r="V11" s="747" t="s">
        <v>25</v>
      </c>
      <c r="W11" s="748">
        <f t="shared" si="2"/>
        <v>100</v>
      </c>
      <c r="X11" s="749"/>
      <c r="Y11" s="2841"/>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0"/>
      <c r="Q12" s="1883">
        <f t="shared" si="6"/>
        <v>111</v>
      </c>
      <c r="R12" s="747" t="s">
        <v>25</v>
      </c>
      <c r="S12" s="748">
        <f t="shared" si="0"/>
        <v>100</v>
      </c>
      <c r="T12" s="747" t="s">
        <v>25</v>
      </c>
      <c r="U12" s="748">
        <f t="shared" si="1"/>
        <v>100</v>
      </c>
      <c r="V12" s="747" t="s">
        <v>25</v>
      </c>
      <c r="W12" s="748">
        <f t="shared" si="2"/>
        <v>100</v>
      </c>
      <c r="X12" s="749"/>
      <c r="Y12" s="2841"/>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0"/>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0"/>
      <c r="Q14" s="1883">
        <f t="shared" si="6"/>
        <v>111</v>
      </c>
      <c r="R14" s="747" t="s">
        <v>25</v>
      </c>
      <c r="S14" s="748">
        <f t="shared" si="0"/>
        <v>100</v>
      </c>
      <c r="T14" s="747" t="s">
        <v>25</v>
      </c>
      <c r="U14" s="748">
        <f t="shared" si="1"/>
        <v>100</v>
      </c>
      <c r="V14" s="747" t="s">
        <v>25</v>
      </c>
      <c r="W14" s="748">
        <f t="shared" si="2"/>
        <v>100</v>
      </c>
      <c r="X14" s="749"/>
      <c r="Y14" s="2841"/>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9" t="s">
        <v>2359</v>
      </c>
      <c r="Q15" s="1895" t="str">
        <f t="shared" si="6"/>
        <v>办公集聚程度</v>
      </c>
      <c r="R15" s="751" t="s">
        <v>25</v>
      </c>
      <c r="S15" s="752">
        <f t="shared" si="0"/>
        <v>100</v>
      </c>
      <c r="T15" s="751" t="s">
        <v>25</v>
      </c>
      <c r="U15" s="752">
        <f t="shared" si="1"/>
        <v>100</v>
      </c>
      <c r="V15" s="751" t="s">
        <v>25</v>
      </c>
      <c r="W15" s="752">
        <f t="shared" si="2"/>
        <v>100</v>
      </c>
      <c r="X15" s="1896"/>
      <c r="Y15" s="3001"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3000"/>
      <c r="Q16" s="1895"/>
      <c r="R16" s="751"/>
      <c r="S16" s="752"/>
      <c r="T16" s="751"/>
      <c r="U16" s="752"/>
      <c r="V16" s="751"/>
      <c r="W16" s="752"/>
      <c r="X16" s="1896"/>
      <c r="Y16" s="3002"/>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00"/>
      <c r="Q17" s="1895" t="str">
        <f>B17</f>
        <v>交通便捷度</v>
      </c>
      <c r="R17" s="751" t="s">
        <v>25</v>
      </c>
      <c r="S17" s="752">
        <f>F17</f>
        <v>100</v>
      </c>
      <c r="T17" s="751" t="s">
        <v>25</v>
      </c>
      <c r="U17" s="752">
        <f>H17</f>
        <v>100</v>
      </c>
      <c r="V17" s="751" t="s">
        <v>25</v>
      </c>
      <c r="W17" s="752">
        <f>J17</f>
        <v>100</v>
      </c>
      <c r="X17" s="1896"/>
      <c r="Y17" s="3002"/>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3000"/>
      <c r="Q18" s="1895"/>
      <c r="R18" s="751"/>
      <c r="S18" s="752"/>
      <c r="T18" s="751"/>
      <c r="U18" s="752"/>
      <c r="V18" s="751"/>
      <c r="W18" s="752"/>
      <c r="X18" s="1896"/>
      <c r="Y18" s="3002"/>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00"/>
      <c r="Q19" s="1895" t="str">
        <f>B19</f>
        <v>公共配套设施</v>
      </c>
      <c r="R19" s="751" t="s">
        <v>25</v>
      </c>
      <c r="S19" s="752">
        <f>F19</f>
        <v>100</v>
      </c>
      <c r="T19" s="751" t="s">
        <v>25</v>
      </c>
      <c r="U19" s="752">
        <f>H19</f>
        <v>100</v>
      </c>
      <c r="V19" s="751" t="s">
        <v>25</v>
      </c>
      <c r="W19" s="752">
        <f>J19</f>
        <v>100</v>
      </c>
      <c r="X19" s="1896"/>
      <c r="Y19" s="3002"/>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3000"/>
      <c r="Q20" s="1895"/>
      <c r="R20" s="751"/>
      <c r="S20" s="752"/>
      <c r="T20" s="751"/>
      <c r="U20" s="752"/>
      <c r="V20" s="751"/>
      <c r="W20" s="752"/>
      <c r="X20" s="1896"/>
      <c r="Y20" s="3002"/>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3000"/>
      <c r="Q21" s="1895" t="str">
        <f>B21</f>
        <v>基础设施水平</v>
      </c>
      <c r="R21" s="751" t="s">
        <v>25</v>
      </c>
      <c r="S21" s="752">
        <f>F21</f>
        <v>100</v>
      </c>
      <c r="T21" s="751" t="s">
        <v>25</v>
      </c>
      <c r="U21" s="752">
        <f>H21</f>
        <v>100</v>
      </c>
      <c r="V21" s="751" t="s">
        <v>25</v>
      </c>
      <c r="W21" s="752">
        <f>J21</f>
        <v>100</v>
      </c>
      <c r="X21" s="1896"/>
      <c r="Y21" s="3002"/>
      <c r="Z21" s="1898" t="str">
        <f>Q21</f>
        <v>基础设施水平</v>
      </c>
      <c r="AA21" s="1899">
        <f t="shared" ref="AA21" si="8">D21/F21</f>
        <v>1</v>
      </c>
      <c r="AB21" s="1899">
        <f t="shared" ref="AB21" si="9">D21/H21</f>
        <v>1</v>
      </c>
      <c r="AC21" s="1899">
        <f t="shared" ref="AC21" si="10">D21/J21</f>
        <v>1</v>
      </c>
    </row>
    <row r="22" spans="1:29" ht="15">
      <c r="A22" s="408"/>
      <c r="B22" s="615"/>
      <c r="C22" s="2464" t="s">
        <v>2836</v>
      </c>
      <c r="D22" s="427"/>
      <c r="E22" s="2464" t="s">
        <v>2836</v>
      </c>
      <c r="F22" s="427"/>
      <c r="G22" s="2464" t="s">
        <v>2836</v>
      </c>
      <c r="H22" s="427"/>
      <c r="I22" s="2464" t="s">
        <v>2836</v>
      </c>
      <c r="J22" s="427"/>
      <c r="K22" s="1465"/>
      <c r="L22" s="1250"/>
      <c r="M22" s="1241"/>
      <c r="N22" s="1241"/>
      <c r="O22" s="1241"/>
      <c r="P22" s="3000"/>
      <c r="Q22" s="1895"/>
      <c r="R22" s="751"/>
      <c r="S22" s="752"/>
      <c r="T22" s="751"/>
      <c r="U22" s="752"/>
      <c r="V22" s="751"/>
      <c r="W22" s="752"/>
      <c r="X22" s="1896"/>
      <c r="Y22" s="3002"/>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00"/>
      <c r="Q23" s="1895" t="str">
        <f>B23</f>
        <v>环境质量</v>
      </c>
      <c r="R23" s="751" t="s">
        <v>25</v>
      </c>
      <c r="S23" s="752">
        <f>F23</f>
        <v>100</v>
      </c>
      <c r="T23" s="751" t="s">
        <v>25</v>
      </c>
      <c r="U23" s="752">
        <f>H23</f>
        <v>100</v>
      </c>
      <c r="V23" s="751" t="s">
        <v>25</v>
      </c>
      <c r="W23" s="752">
        <f>J23</f>
        <v>100</v>
      </c>
      <c r="X23" s="1896"/>
      <c r="Y23" s="3002"/>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3000"/>
      <c r="Q24" s="1895"/>
      <c r="R24" s="751"/>
      <c r="S24" s="752"/>
      <c r="T24" s="751"/>
      <c r="U24" s="752"/>
      <c r="V24" s="751"/>
      <c r="W24" s="752"/>
      <c r="X24" s="1896"/>
      <c r="Y24" s="3002"/>
      <c r="Z24" s="1898"/>
      <c r="AA24" s="1899">
        <v>1</v>
      </c>
      <c r="AB24" s="1899">
        <v>1</v>
      </c>
      <c r="AC24" s="1899">
        <v>1</v>
      </c>
    </row>
    <row r="25" spans="1:29" ht="27">
      <c r="A25" s="383"/>
      <c r="B25" s="613" t="s">
        <v>2477</v>
      </c>
      <c r="C25" s="2465" t="s">
        <v>2851</v>
      </c>
      <c r="D25" s="415">
        <v>100</v>
      </c>
      <c r="E25" s="414" t="s">
        <v>2840</v>
      </c>
      <c r="F25" s="415">
        <f>SUMIF(87:87,E26,88:88)-SUMIF(87:87,C26,88:88)+100</f>
        <v>102</v>
      </c>
      <c r="G25" s="414" t="s">
        <v>2840</v>
      </c>
      <c r="H25" s="415">
        <f>SUMIF(87:87,G26,88:88)-SUMIF(87:87,C26,88:88)+100</f>
        <v>102</v>
      </c>
      <c r="I25" s="414" t="s">
        <v>2852</v>
      </c>
      <c r="J25" s="415">
        <f>SUMIF(87:87,I26,88:88)-SUMIF(87:87,C26,88:88)+100</f>
        <v>100</v>
      </c>
      <c r="K25" s="598">
        <v>2</v>
      </c>
      <c r="L25" s="1250"/>
      <c r="M25" s="1241"/>
      <c r="N25" s="1241"/>
      <c r="O25" s="1241"/>
      <c r="P25" s="3000"/>
      <c r="Q25" s="1895" t="str">
        <f>B25</f>
        <v>毗邻道路的类型与等级</v>
      </c>
      <c r="R25" s="751" t="s">
        <v>25</v>
      </c>
      <c r="S25" s="752">
        <f>F25</f>
        <v>102</v>
      </c>
      <c r="T25" s="751" t="s">
        <v>25</v>
      </c>
      <c r="U25" s="752">
        <f>H25</f>
        <v>102</v>
      </c>
      <c r="V25" s="751" t="s">
        <v>25</v>
      </c>
      <c r="W25" s="752">
        <f>J25</f>
        <v>100</v>
      </c>
      <c r="X25" s="1896"/>
      <c r="Y25" s="3002"/>
      <c r="Z25" s="1898" t="str">
        <f>Q25</f>
        <v>毗邻道路的类型与等级</v>
      </c>
      <c r="AA25" s="1899">
        <f t="shared" si="3"/>
        <v>0.98039215686274506</v>
      </c>
      <c r="AB25" s="1899">
        <f t="shared" si="4"/>
        <v>0.98039215686274506</v>
      </c>
      <c r="AC25" s="1899">
        <f t="shared" si="5"/>
        <v>1</v>
      </c>
    </row>
    <row r="26" spans="1:29" ht="15">
      <c r="A26" s="383"/>
      <c r="B26" s="614"/>
      <c r="C26" s="616" t="s">
        <v>2845</v>
      </c>
      <c r="D26" s="415"/>
      <c r="E26" s="600" t="s">
        <v>2843</v>
      </c>
      <c r="F26" s="415"/>
      <c r="G26" s="616" t="s">
        <v>2843</v>
      </c>
      <c r="H26" s="415"/>
      <c r="I26" s="600" t="s">
        <v>2845</v>
      </c>
      <c r="J26" s="415"/>
      <c r="K26" s="599"/>
      <c r="L26" s="1250"/>
      <c r="M26" s="1241"/>
      <c r="N26" s="1241"/>
      <c r="O26" s="1241"/>
      <c r="P26" s="3000"/>
      <c r="Q26" s="1895"/>
      <c r="R26" s="751"/>
      <c r="S26" s="752"/>
      <c r="T26" s="751"/>
      <c r="U26" s="752"/>
      <c r="V26" s="751"/>
      <c r="W26" s="752"/>
      <c r="X26" s="1896"/>
      <c r="Y26" s="3002"/>
      <c r="Z26" s="1898"/>
      <c r="AA26" s="1899">
        <v>1</v>
      </c>
      <c r="AB26" s="1899">
        <v>1</v>
      </c>
      <c r="AC26" s="1899">
        <v>1</v>
      </c>
    </row>
    <row r="27" spans="1:29" ht="15.75" thickBot="1">
      <c r="A27" s="408"/>
      <c r="B27" s="614" t="s">
        <v>2450</v>
      </c>
      <c r="C27" s="616" t="s">
        <v>2832</v>
      </c>
      <c r="D27" s="415">
        <v>100</v>
      </c>
      <c r="E27" s="600" t="s">
        <v>2832</v>
      </c>
      <c r="F27" s="415">
        <f>SUMIF(89:89,E27,90:90)-SUMIF(89:89,C27,90:90)+100</f>
        <v>100</v>
      </c>
      <c r="G27" s="616" t="s">
        <v>2831</v>
      </c>
      <c r="H27" s="415">
        <f>SUMIF(89:89,G27,90:90)-SUMIF(89:89,C27,90:90)+100</f>
        <v>104</v>
      </c>
      <c r="I27" s="600" t="s">
        <v>2831</v>
      </c>
      <c r="J27" s="415">
        <f>SUMIF(89:89,I27,90:90)-SUMIF(89:89,C27,90:90)+100</f>
        <v>104</v>
      </c>
      <c r="K27" s="596">
        <v>2</v>
      </c>
      <c r="L27" s="1250"/>
      <c r="M27" s="1241"/>
      <c r="N27" s="1241"/>
      <c r="O27" s="1241"/>
      <c r="P27" s="3000"/>
      <c r="Q27" s="1895" t="str">
        <f t="shared" ref="Q27:Q47" si="11">B27</f>
        <v>楼层</v>
      </c>
      <c r="R27" s="751" t="s">
        <v>25</v>
      </c>
      <c r="S27" s="752">
        <f>F27</f>
        <v>100</v>
      </c>
      <c r="T27" s="751" t="s">
        <v>25</v>
      </c>
      <c r="U27" s="752">
        <f>H27</f>
        <v>104</v>
      </c>
      <c r="V27" s="751" t="s">
        <v>25</v>
      </c>
      <c r="W27" s="752">
        <f>J27</f>
        <v>104</v>
      </c>
      <c r="X27" s="1896"/>
      <c r="Y27" s="3002"/>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3000"/>
      <c r="Q28" s="1883" t="str">
        <f t="shared" si="11"/>
        <v>朝向</v>
      </c>
      <c r="R28" s="747" t="s">
        <v>25</v>
      </c>
      <c r="S28" s="748">
        <f>F28</f>
        <v>100</v>
      </c>
      <c r="T28" s="747" t="s">
        <v>25</v>
      </c>
      <c r="U28" s="748">
        <f>H28</f>
        <v>100</v>
      </c>
      <c r="V28" s="747" t="s">
        <v>25</v>
      </c>
      <c r="W28" s="748">
        <f>J28</f>
        <v>100</v>
      </c>
      <c r="X28" s="749"/>
      <c r="Y28" s="3002"/>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3000"/>
      <c r="Q29" s="1895">
        <f t="shared" si="11"/>
        <v>111</v>
      </c>
      <c r="R29" s="751" t="s">
        <v>25</v>
      </c>
      <c r="S29" s="752">
        <f t="shared" ref="S29:S47" si="12">F29</f>
        <v>100</v>
      </c>
      <c r="T29" s="751" t="s">
        <v>25</v>
      </c>
      <c r="U29" s="752">
        <f t="shared" ref="U29:U47" si="13">H29</f>
        <v>100</v>
      </c>
      <c r="V29" s="751" t="s">
        <v>25</v>
      </c>
      <c r="W29" s="752">
        <f t="shared" ref="W29:W47" si="14">J29</f>
        <v>100</v>
      </c>
      <c r="X29" s="1896"/>
      <c r="Y29" s="3002"/>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3000"/>
      <c r="Q30" s="1895">
        <f t="shared" si="11"/>
        <v>111</v>
      </c>
      <c r="R30" s="751" t="s">
        <v>25</v>
      </c>
      <c r="S30" s="752">
        <f t="shared" si="12"/>
        <v>100</v>
      </c>
      <c r="T30" s="751" t="s">
        <v>25</v>
      </c>
      <c r="U30" s="752">
        <f t="shared" si="13"/>
        <v>100</v>
      </c>
      <c r="V30" s="751" t="s">
        <v>25</v>
      </c>
      <c r="W30" s="752">
        <f t="shared" si="14"/>
        <v>100</v>
      </c>
      <c r="X30" s="1896"/>
      <c r="Y30" s="3002"/>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3000"/>
      <c r="Q31" s="1895">
        <f t="shared" si="11"/>
        <v>111</v>
      </c>
      <c r="R31" s="751" t="s">
        <v>25</v>
      </c>
      <c r="S31" s="752">
        <f t="shared" si="12"/>
        <v>100</v>
      </c>
      <c r="T31" s="751" t="s">
        <v>25</v>
      </c>
      <c r="U31" s="752">
        <f t="shared" si="13"/>
        <v>100</v>
      </c>
      <c r="V31" s="751" t="s">
        <v>25</v>
      </c>
      <c r="W31" s="752">
        <f t="shared" si="14"/>
        <v>100</v>
      </c>
      <c r="X31" s="1896"/>
      <c r="Y31" s="3002"/>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3000"/>
      <c r="Q32" s="1895">
        <f t="shared" si="11"/>
        <v>111</v>
      </c>
      <c r="R32" s="751" t="s">
        <v>25</v>
      </c>
      <c r="S32" s="752">
        <f t="shared" si="12"/>
        <v>100</v>
      </c>
      <c r="T32" s="751" t="s">
        <v>25</v>
      </c>
      <c r="U32" s="752">
        <f t="shared" si="13"/>
        <v>100</v>
      </c>
      <c r="V32" s="751" t="s">
        <v>25</v>
      </c>
      <c r="W32" s="752">
        <f t="shared" si="14"/>
        <v>100</v>
      </c>
      <c r="X32" s="1896"/>
      <c r="Y32" s="3002"/>
      <c r="Z32" s="1898">
        <f t="shared" si="15"/>
        <v>111</v>
      </c>
      <c r="AA32" s="1899">
        <f t="shared" si="3"/>
        <v>1</v>
      </c>
      <c r="AB32" s="1899">
        <f t="shared" si="4"/>
        <v>1</v>
      </c>
      <c r="AC32" s="1899">
        <f t="shared" si="5"/>
        <v>1</v>
      </c>
    </row>
    <row r="33" spans="1:29" ht="15">
      <c r="A33" s="419" t="s">
        <v>2363</v>
      </c>
      <c r="B33" s="28" t="s">
        <v>2479</v>
      </c>
      <c r="C33" s="2468" t="s">
        <v>2853</v>
      </c>
      <c r="D33" s="448">
        <v>100</v>
      </c>
      <c r="E33" s="2468" t="s">
        <v>2853</v>
      </c>
      <c r="F33" s="442">
        <f>SUMIF(101:101,E33,102:102)-SUMIF(101:101,C33,102:102)+100</f>
        <v>100</v>
      </c>
      <c r="G33" s="2468" t="s">
        <v>2853</v>
      </c>
      <c r="H33" s="415">
        <f>SUMIF(101:101,G33,102:102)-SUMIF(101:101,C33,102:102)+100</f>
        <v>100</v>
      </c>
      <c r="I33" s="2468" t="s">
        <v>2853</v>
      </c>
      <c r="J33" s="448">
        <f>SUMIF(101:101,I33,102:102)-SUMIF(101:101,C33,102:102)+100</f>
        <v>100</v>
      </c>
      <c r="K33" s="596">
        <v>5</v>
      </c>
      <c r="L33" s="1250"/>
      <c r="M33" s="1241"/>
      <c r="N33" s="1241"/>
      <c r="O33" s="1241"/>
      <c r="P33" s="2985" t="s">
        <v>2365</v>
      </c>
      <c r="Q33" s="1895" t="str">
        <f t="shared" si="11"/>
        <v>建筑类型</v>
      </c>
      <c r="R33" s="751" t="s">
        <v>25</v>
      </c>
      <c r="S33" s="752">
        <f t="shared" si="12"/>
        <v>100</v>
      </c>
      <c r="T33" s="751" t="s">
        <v>25</v>
      </c>
      <c r="U33" s="752">
        <f t="shared" si="13"/>
        <v>100</v>
      </c>
      <c r="V33" s="751" t="s">
        <v>25</v>
      </c>
      <c r="W33" s="752">
        <f t="shared" si="14"/>
        <v>100</v>
      </c>
      <c r="X33" s="1896"/>
      <c r="Y33" s="2988"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2986"/>
      <c r="Q34" s="753" t="str">
        <f t="shared" si="11"/>
        <v>项目建筑规模</v>
      </c>
      <c r="R34" s="754" t="s">
        <v>25</v>
      </c>
      <c r="S34" s="755">
        <f t="shared" si="12"/>
        <v>100</v>
      </c>
      <c r="T34" s="754" t="s">
        <v>25</v>
      </c>
      <c r="U34" s="755">
        <f t="shared" si="13"/>
        <v>100</v>
      </c>
      <c r="V34" s="754" t="s">
        <v>25</v>
      </c>
      <c r="W34" s="755">
        <f t="shared" si="14"/>
        <v>100</v>
      </c>
      <c r="X34" s="756"/>
      <c r="Y34" s="2988"/>
      <c r="Z34" s="757" t="str">
        <f t="shared" si="15"/>
        <v>项目建筑规模</v>
      </c>
      <c r="AA34" s="1899">
        <f t="shared" si="3"/>
        <v>1</v>
      </c>
      <c r="AB34" s="1899">
        <f t="shared" si="4"/>
        <v>1</v>
      </c>
      <c r="AC34" s="1899">
        <f t="shared" si="5"/>
        <v>1</v>
      </c>
    </row>
    <row r="35" spans="1:29" ht="15">
      <c r="A35" s="453"/>
      <c r="B35" s="402" t="s">
        <v>2367</v>
      </c>
      <c r="C35" s="441" t="s">
        <v>2825</v>
      </c>
      <c r="D35" s="415">
        <v>100</v>
      </c>
      <c r="E35" s="441" t="s">
        <v>2825</v>
      </c>
      <c r="F35" s="442">
        <f>SUMIF(106:106,E35,107:107)-SUMIF(106:106,C35,107:107)+100</f>
        <v>100</v>
      </c>
      <c r="G35" s="441" t="s">
        <v>2825</v>
      </c>
      <c r="H35" s="415">
        <f>SUMIF(106:106,G35,107:107)-SUMIF(106:106,C35,107:107)+100</f>
        <v>100</v>
      </c>
      <c r="I35" s="441" t="s">
        <v>2825</v>
      </c>
      <c r="J35" s="415">
        <f>SUMIF(106:106,I35,107:107)-SUMIF(106:106,C35,107:107)+100</f>
        <v>100</v>
      </c>
      <c r="K35" s="596">
        <v>5</v>
      </c>
      <c r="L35" s="1250"/>
      <c r="M35" s="1241"/>
      <c r="N35" s="1241"/>
      <c r="O35" s="1241"/>
      <c r="P35" s="2986"/>
      <c r="Q35" s="1895" t="str">
        <f t="shared" si="11"/>
        <v>建筑结构</v>
      </c>
      <c r="R35" s="751" t="s">
        <v>25</v>
      </c>
      <c r="S35" s="752">
        <f t="shared" si="12"/>
        <v>100</v>
      </c>
      <c r="T35" s="751" t="s">
        <v>25</v>
      </c>
      <c r="U35" s="752">
        <f t="shared" si="13"/>
        <v>100</v>
      </c>
      <c r="V35" s="751" t="s">
        <v>25</v>
      </c>
      <c r="W35" s="752">
        <f t="shared" si="14"/>
        <v>100</v>
      </c>
      <c r="X35" s="1896"/>
      <c r="Y35" s="2988"/>
      <c r="Z35" s="1898" t="str">
        <f t="shared" si="15"/>
        <v>建筑结构</v>
      </c>
      <c r="AA35" s="1899">
        <f t="shared" si="3"/>
        <v>1</v>
      </c>
      <c r="AB35" s="1899">
        <f t="shared" si="4"/>
        <v>1</v>
      </c>
      <c r="AC35" s="1899">
        <f t="shared" si="5"/>
        <v>1</v>
      </c>
    </row>
    <row r="36" spans="1:29" ht="15">
      <c r="A36" s="453"/>
      <c r="B36" s="402" t="s">
        <v>2452</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v>2</v>
      </c>
      <c r="L36" s="1250"/>
      <c r="M36" s="1241"/>
      <c r="N36" s="1241"/>
      <c r="O36" s="1241"/>
      <c r="P36" s="2986"/>
      <c r="Q36" s="1895" t="str">
        <f t="shared" si="11"/>
        <v>公共部分装修</v>
      </c>
      <c r="R36" s="751" t="s">
        <v>25</v>
      </c>
      <c r="S36" s="752">
        <f t="shared" si="12"/>
        <v>100</v>
      </c>
      <c r="T36" s="751" t="s">
        <v>25</v>
      </c>
      <c r="U36" s="752">
        <f t="shared" si="13"/>
        <v>100</v>
      </c>
      <c r="V36" s="751" t="s">
        <v>25</v>
      </c>
      <c r="W36" s="752">
        <f t="shared" si="14"/>
        <v>100</v>
      </c>
      <c r="X36" s="1896"/>
      <c r="Y36" s="2988"/>
      <c r="Z36" s="1898" t="str">
        <f t="shared" si="15"/>
        <v>公共部分装修</v>
      </c>
      <c r="AA36" s="1899">
        <f t="shared" si="3"/>
        <v>1</v>
      </c>
      <c r="AB36" s="1899">
        <f t="shared" si="4"/>
        <v>1</v>
      </c>
      <c r="AC36" s="1899">
        <f t="shared" si="5"/>
        <v>1</v>
      </c>
    </row>
    <row r="37" spans="1:29" ht="15">
      <c r="A37" s="453"/>
      <c r="B37" s="402" t="s">
        <v>2453</v>
      </c>
      <c r="C37" s="455">
        <f>'数据-取费表'!E20</f>
        <v>0.7</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2986"/>
      <c r="Q37" s="1895" t="str">
        <f t="shared" si="11"/>
        <v>成新度</v>
      </c>
      <c r="R37" s="751" t="s">
        <v>25</v>
      </c>
      <c r="S37" s="752" t="e">
        <f t="shared" si="12"/>
        <v>#REF!</v>
      </c>
      <c r="T37" s="751" t="s">
        <v>25</v>
      </c>
      <c r="U37" s="752" t="e">
        <f t="shared" si="13"/>
        <v>#REF!</v>
      </c>
      <c r="V37" s="751" t="s">
        <v>25</v>
      </c>
      <c r="W37" s="752" t="e">
        <f t="shared" si="14"/>
        <v>#REF!</v>
      </c>
      <c r="X37" s="1896"/>
      <c r="Y37" s="2988"/>
      <c r="Z37" s="1898" t="str">
        <f t="shared" si="15"/>
        <v>成新度</v>
      </c>
      <c r="AA37" s="1899" t="e">
        <f t="shared" si="3"/>
        <v>#REF!</v>
      </c>
      <c r="AB37" s="1899" t="e">
        <f t="shared" si="4"/>
        <v>#REF!</v>
      </c>
      <c r="AC37" s="1899" t="e">
        <f t="shared" si="5"/>
        <v>#REF!</v>
      </c>
    </row>
    <row r="38" spans="1:29" s="35" customFormat="1" ht="15">
      <c r="A38" s="454"/>
      <c r="B38" s="402" t="s">
        <v>2480</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5</v>
      </c>
      <c r="L38" s="1242"/>
      <c r="M38" s="1243"/>
      <c r="N38" s="1243"/>
      <c r="O38" s="1243"/>
      <c r="P38" s="2986"/>
      <c r="Q38" s="1883" t="str">
        <f t="shared" si="11"/>
        <v>写字楼等级</v>
      </c>
      <c r="R38" s="747" t="s">
        <v>25</v>
      </c>
      <c r="S38" s="748">
        <f t="shared" si="12"/>
        <v>100</v>
      </c>
      <c r="T38" s="747" t="s">
        <v>25</v>
      </c>
      <c r="U38" s="748">
        <f t="shared" si="13"/>
        <v>100</v>
      </c>
      <c r="V38" s="747" t="s">
        <v>25</v>
      </c>
      <c r="W38" s="748">
        <f t="shared" si="14"/>
        <v>100</v>
      </c>
      <c r="X38" s="749"/>
      <c r="Y38" s="2988"/>
      <c r="Z38" s="23" t="str">
        <f t="shared" si="15"/>
        <v>写字楼等级</v>
      </c>
      <c r="AA38" s="750">
        <f t="shared" si="3"/>
        <v>1</v>
      </c>
      <c r="AB38" s="750">
        <f t="shared" si="4"/>
        <v>1</v>
      </c>
      <c r="AC38" s="750">
        <f t="shared" si="5"/>
        <v>1</v>
      </c>
    </row>
    <row r="39" spans="1:29" ht="15">
      <c r="A39" s="453"/>
      <c r="B39" s="402" t="s">
        <v>2481</v>
      </c>
      <c r="C39" s="441" t="s">
        <v>2863</v>
      </c>
      <c r="D39" s="415">
        <v>100</v>
      </c>
      <c r="E39" s="441" t="s">
        <v>2863</v>
      </c>
      <c r="F39" s="442">
        <f>SUMIF(115:115,E39,116:116)-SUMIF(115:115,C39,116:116)+100</f>
        <v>100</v>
      </c>
      <c r="G39" s="441" t="s">
        <v>2863</v>
      </c>
      <c r="H39" s="415">
        <f>SUMIF(115:115,G39,116:116)-SUMIF(115:115,C39,116:116)+100</f>
        <v>100</v>
      </c>
      <c r="I39" s="441" t="s">
        <v>2863</v>
      </c>
      <c r="J39" s="415">
        <f>SUMIF(115:115,I39,116:116)-SUMIF(115:115,C39,116:116)+100</f>
        <v>100</v>
      </c>
      <c r="K39" s="596">
        <v>2</v>
      </c>
      <c r="L39" s="1250"/>
      <c r="M39" s="1241"/>
      <c r="N39" s="1241"/>
      <c r="O39" s="1241"/>
      <c r="P39" s="2986" t="s">
        <v>2365</v>
      </c>
      <c r="Q39" s="1895" t="str">
        <f t="shared" si="11"/>
        <v>物业管理</v>
      </c>
      <c r="R39" s="751" t="s">
        <v>25</v>
      </c>
      <c r="S39" s="752">
        <f t="shared" si="12"/>
        <v>100</v>
      </c>
      <c r="T39" s="751" t="s">
        <v>25</v>
      </c>
      <c r="U39" s="752">
        <f t="shared" si="13"/>
        <v>100</v>
      </c>
      <c r="V39" s="751" t="s">
        <v>25</v>
      </c>
      <c r="W39" s="752">
        <f t="shared" si="14"/>
        <v>100</v>
      </c>
      <c r="X39" s="1896"/>
      <c r="Y39" s="2988" t="s">
        <v>2365</v>
      </c>
      <c r="Z39" s="1898" t="str">
        <f t="shared" si="15"/>
        <v>物业管理</v>
      </c>
      <c r="AA39" s="1899">
        <f t="shared" si="3"/>
        <v>1</v>
      </c>
      <c r="AB39" s="1899">
        <f t="shared" si="4"/>
        <v>1</v>
      </c>
      <c r="AC39" s="1899">
        <f t="shared" si="5"/>
        <v>1</v>
      </c>
    </row>
    <row r="40" spans="1:29" ht="15">
      <c r="A40" s="453"/>
      <c r="B40" s="402" t="s">
        <v>2454</v>
      </c>
      <c r="C40" s="441" t="s">
        <v>2866</v>
      </c>
      <c r="D40" s="415">
        <v>100</v>
      </c>
      <c r="E40" s="441" t="s">
        <v>2866</v>
      </c>
      <c r="F40" s="442">
        <f>SUMIF(117:117,E40,118:118)-SUMIF(117:117,C40,118:118)+100</f>
        <v>100</v>
      </c>
      <c r="G40" s="441" t="s">
        <v>2866</v>
      </c>
      <c r="H40" s="415">
        <f>SUMIF(117:117,G40,118:118)-SUMIF(117:117,C40,118:118)+100</f>
        <v>100</v>
      </c>
      <c r="I40" s="441" t="s">
        <v>2866</v>
      </c>
      <c r="J40" s="415">
        <f>SUMIF(117:117,I40,118:118)-SUMIF(117:117,C40,118:118)+100</f>
        <v>100</v>
      </c>
      <c r="K40" s="596">
        <v>1</v>
      </c>
      <c r="L40" s="1250"/>
      <c r="M40" s="1241"/>
      <c r="N40" s="1241"/>
      <c r="O40" s="1241"/>
      <c r="P40" s="2986"/>
      <c r="Q40" s="1895" t="str">
        <f t="shared" si="11"/>
        <v>市政基础设施</v>
      </c>
      <c r="R40" s="751" t="s">
        <v>25</v>
      </c>
      <c r="S40" s="752">
        <f t="shared" si="12"/>
        <v>100</v>
      </c>
      <c r="T40" s="751" t="s">
        <v>25</v>
      </c>
      <c r="U40" s="752">
        <f t="shared" si="13"/>
        <v>100</v>
      </c>
      <c r="V40" s="751" t="s">
        <v>25</v>
      </c>
      <c r="W40" s="752">
        <f t="shared" si="14"/>
        <v>100</v>
      </c>
      <c r="X40" s="1896"/>
      <c r="Y40" s="2988"/>
      <c r="Z40" s="1898" t="str">
        <f t="shared" si="15"/>
        <v>市政基础设施</v>
      </c>
      <c r="AA40" s="1899">
        <f t="shared" si="3"/>
        <v>1</v>
      </c>
      <c r="AB40" s="1899">
        <f t="shared" si="4"/>
        <v>1</v>
      </c>
      <c r="AC40" s="1899">
        <f t="shared" si="5"/>
        <v>1</v>
      </c>
    </row>
    <row r="41" spans="1:29" ht="15">
      <c r="A41" s="453"/>
      <c r="B41" s="402" t="s">
        <v>2456</v>
      </c>
      <c r="C41" s="600" t="s">
        <v>2869</v>
      </c>
      <c r="D41" s="415">
        <v>100</v>
      </c>
      <c r="E41" s="600" t="s">
        <v>2869</v>
      </c>
      <c r="F41" s="442">
        <f>SUMIF(119:119,E41,120:120)-SUMIF(119:119,C41,120:120)+100</f>
        <v>100</v>
      </c>
      <c r="G41" s="600" t="s">
        <v>2869</v>
      </c>
      <c r="H41" s="415">
        <f>SUMIF(119:119,G41,120:120)-SUMIF(119:119,C41,120:120)+100</f>
        <v>100</v>
      </c>
      <c r="I41" s="600" t="s">
        <v>2869</v>
      </c>
      <c r="J41" s="415">
        <f>SUMIF(119:119,I41,120:120)-SUMIF(119:119,C41,120:120)+100</f>
        <v>100</v>
      </c>
      <c r="K41" s="596">
        <v>2</v>
      </c>
      <c r="L41" s="1250"/>
      <c r="M41" s="1241"/>
      <c r="N41" s="1241"/>
      <c r="O41" s="1241"/>
      <c r="P41" s="2986"/>
      <c r="Q41" s="1895" t="str">
        <f t="shared" si="11"/>
        <v>层高</v>
      </c>
      <c r="R41" s="751" t="s">
        <v>25</v>
      </c>
      <c r="S41" s="752">
        <f t="shared" si="12"/>
        <v>100</v>
      </c>
      <c r="T41" s="751" t="s">
        <v>25</v>
      </c>
      <c r="U41" s="752">
        <f t="shared" si="13"/>
        <v>100</v>
      </c>
      <c r="V41" s="751" t="s">
        <v>25</v>
      </c>
      <c r="W41" s="752">
        <f t="shared" si="14"/>
        <v>100</v>
      </c>
      <c r="X41" s="1896"/>
      <c r="Y41" s="2988"/>
      <c r="Z41" s="1898" t="str">
        <f t="shared" si="15"/>
        <v>层高</v>
      </c>
      <c r="AA41" s="1899">
        <f t="shared" si="3"/>
        <v>1</v>
      </c>
      <c r="AB41" s="1899">
        <f t="shared" si="4"/>
        <v>1</v>
      </c>
      <c r="AC41" s="1899">
        <f t="shared" si="5"/>
        <v>1</v>
      </c>
    </row>
    <row r="42" spans="1:29" s="452" customFormat="1" ht="15">
      <c r="A42" s="449"/>
      <c r="B42" s="1900" t="s">
        <v>2482</v>
      </c>
      <c r="C42" s="414" t="s">
        <v>2876</v>
      </c>
      <c r="D42" s="415">
        <v>100</v>
      </c>
      <c r="E42" s="414" t="s">
        <v>2876</v>
      </c>
      <c r="F42" s="442">
        <f>SUMIF(121:121,E42,122:122)-SUMIF(121:121,C42,122:122)+100</f>
        <v>100</v>
      </c>
      <c r="G42" s="414" t="s">
        <v>2874</v>
      </c>
      <c r="H42" s="415">
        <f>SUMIF(121:121,G42,122:122)-SUMIF(121:121,C42,122:122)+100</f>
        <v>98</v>
      </c>
      <c r="I42" s="414" t="s">
        <v>2879</v>
      </c>
      <c r="J42" s="415">
        <f>SUMIF(121:121,I42,122:122)-SUMIF(121:121,C42,122:122)+100</f>
        <v>102</v>
      </c>
      <c r="K42" s="597"/>
      <c r="L42" s="1248"/>
      <c r="M42" s="1251"/>
      <c r="N42" s="1251"/>
      <c r="O42" s="1251"/>
      <c r="P42" s="2986"/>
      <c r="Q42" s="753" t="str">
        <f t="shared" si="11"/>
        <v>单套建筑面积</v>
      </c>
      <c r="R42" s="754" t="s">
        <v>25</v>
      </c>
      <c r="S42" s="755">
        <f t="shared" si="12"/>
        <v>100</v>
      </c>
      <c r="T42" s="754" t="s">
        <v>25</v>
      </c>
      <c r="U42" s="755">
        <f t="shared" si="13"/>
        <v>98</v>
      </c>
      <c r="V42" s="754" t="s">
        <v>25</v>
      </c>
      <c r="W42" s="755">
        <f t="shared" si="14"/>
        <v>102</v>
      </c>
      <c r="X42" s="756"/>
      <c r="Y42" s="2988"/>
      <c r="Z42" s="757" t="str">
        <f t="shared" si="15"/>
        <v>单套建筑面积</v>
      </c>
      <c r="AA42" s="1899">
        <f t="shared" si="3"/>
        <v>1</v>
      </c>
      <c r="AB42" s="1899">
        <f t="shared" si="4"/>
        <v>1.0204081632653061</v>
      </c>
      <c r="AC42" s="1899">
        <f t="shared" si="5"/>
        <v>0.98039215686274506</v>
      </c>
    </row>
    <row r="43" spans="1:29" ht="15">
      <c r="A43" s="453"/>
      <c r="B43" s="402" t="s">
        <v>2459</v>
      </c>
      <c r="C43" s="441" t="s">
        <v>2857</v>
      </c>
      <c r="D43" s="415">
        <v>100</v>
      </c>
      <c r="E43" s="441" t="s">
        <v>2857</v>
      </c>
      <c r="F43" s="442">
        <f>SUMIF(123:123,E43,124:124)-SUMIF(123:123,C43,124:124)+100</f>
        <v>100</v>
      </c>
      <c r="G43" s="441" t="s">
        <v>2857</v>
      </c>
      <c r="H43" s="415">
        <f>SUMIF(123:123,G43,124:124)-SUMIF(123:123,C43,124:124)+100</f>
        <v>100</v>
      </c>
      <c r="I43" s="441" t="s">
        <v>2857</v>
      </c>
      <c r="J43" s="415">
        <f>SUMIF(123:123,I43,124:124)-SUMIF(123:123,C43,124:124)+100</f>
        <v>100</v>
      </c>
      <c r="K43" s="596">
        <v>2</v>
      </c>
      <c r="L43" s="1250"/>
      <c r="M43" s="1241"/>
      <c r="N43" s="1241"/>
      <c r="O43" s="1241"/>
      <c r="P43" s="2986"/>
      <c r="Q43" s="1895" t="str">
        <f t="shared" si="11"/>
        <v>内部装修</v>
      </c>
      <c r="R43" s="751" t="s">
        <v>25</v>
      </c>
      <c r="S43" s="752">
        <f t="shared" si="12"/>
        <v>100</v>
      </c>
      <c r="T43" s="751" t="s">
        <v>25</v>
      </c>
      <c r="U43" s="752">
        <f t="shared" si="13"/>
        <v>100</v>
      </c>
      <c r="V43" s="751" t="s">
        <v>25</v>
      </c>
      <c r="W43" s="752">
        <f t="shared" si="14"/>
        <v>100</v>
      </c>
      <c r="X43" s="1896"/>
      <c r="Y43" s="2988"/>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2986"/>
      <c r="Q44" s="1895" t="str">
        <f t="shared" si="11"/>
        <v>内部装修维护情况</v>
      </c>
      <c r="R44" s="751" t="s">
        <v>25</v>
      </c>
      <c r="S44" s="752">
        <f t="shared" si="12"/>
        <v>102</v>
      </c>
      <c r="T44" s="751" t="s">
        <v>25</v>
      </c>
      <c r="U44" s="752">
        <f t="shared" si="13"/>
        <v>102</v>
      </c>
      <c r="V44" s="751" t="s">
        <v>25</v>
      </c>
      <c r="W44" s="752">
        <f t="shared" si="14"/>
        <v>102</v>
      </c>
      <c r="X44" s="1896"/>
      <c r="Y44" s="2988"/>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2986"/>
      <c r="Q45" s="1883">
        <f t="shared" si="11"/>
        <v>111</v>
      </c>
      <c r="R45" s="747" t="s">
        <v>25</v>
      </c>
      <c r="S45" s="748">
        <f t="shared" si="12"/>
        <v>100</v>
      </c>
      <c r="T45" s="747" t="s">
        <v>25</v>
      </c>
      <c r="U45" s="748">
        <f t="shared" si="13"/>
        <v>100</v>
      </c>
      <c r="V45" s="747" t="s">
        <v>25</v>
      </c>
      <c r="W45" s="748">
        <f t="shared" si="14"/>
        <v>100</v>
      </c>
      <c r="X45" s="749"/>
      <c r="Y45" s="2988"/>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2986"/>
      <c r="Q46" s="1895">
        <f t="shared" si="11"/>
        <v>111</v>
      </c>
      <c r="R46" s="751" t="s">
        <v>25</v>
      </c>
      <c r="S46" s="752">
        <f t="shared" si="12"/>
        <v>100</v>
      </c>
      <c r="T46" s="751" t="s">
        <v>25</v>
      </c>
      <c r="U46" s="752">
        <f t="shared" si="13"/>
        <v>100</v>
      </c>
      <c r="V46" s="751" t="s">
        <v>25</v>
      </c>
      <c r="W46" s="752">
        <f t="shared" si="14"/>
        <v>100</v>
      </c>
      <c r="X46" s="1896"/>
      <c r="Y46" s="2988"/>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2987"/>
      <c r="Q47" s="1895">
        <f t="shared" si="11"/>
        <v>111</v>
      </c>
      <c r="R47" s="751" t="s">
        <v>25</v>
      </c>
      <c r="S47" s="752">
        <f t="shared" si="12"/>
        <v>100</v>
      </c>
      <c r="T47" s="751" t="s">
        <v>25</v>
      </c>
      <c r="U47" s="752">
        <f t="shared" si="13"/>
        <v>100</v>
      </c>
      <c r="V47" s="751" t="s">
        <v>25</v>
      </c>
      <c r="W47" s="752">
        <f t="shared" si="14"/>
        <v>100</v>
      </c>
      <c r="X47" s="1896"/>
      <c r="Y47" s="2989"/>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80" t="str">
        <f>A48</f>
        <v>成交单价（元/平方米）</v>
      </c>
      <c r="Q48" s="2981"/>
      <c r="R48" s="2982" t="e">
        <f>E48</f>
        <v>#REF!</v>
      </c>
      <c r="S48" s="2982"/>
      <c r="T48" s="2982" t="e">
        <f>G48</f>
        <v>#REF!</v>
      </c>
      <c r="U48" s="2982"/>
      <c r="V48" s="2982" t="e">
        <f>I48</f>
        <v>#REF!</v>
      </c>
      <c r="W48" s="2982"/>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80" t="str">
        <f>A49</f>
        <v>比较价值（元/平方米）</v>
      </c>
      <c r="Q49" s="2981"/>
      <c r="R49" s="2982" t="e">
        <f>IF(E1="售价",ROUND(PRODUCT(R48,AA7:AA47),0),ROUND(PRODUCT(R48,AA7:AA47),1))</f>
        <v>#REF!</v>
      </c>
      <c r="S49" s="2982"/>
      <c r="T49" s="2982" t="e">
        <f>IF(E1="售价",ROUND(PRODUCT(T48,AB7:AB47),0),ROUND(PRODUCT(T48,AB7:AB47),1))</f>
        <v>#REF!</v>
      </c>
      <c r="U49" s="2982"/>
      <c r="V49" s="2982" t="e">
        <f>IF(E1="售价",ROUND(PRODUCT(V48,AC7:AC47),0),ROUND(PRODUCT(V48,AC7:AC47),1))</f>
        <v>#REF!</v>
      </c>
      <c r="W49" s="2982"/>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2983" t="str">
        <f>A50</f>
        <v>估价对象XX用房的比较价值（楼面单价，元/平方米）</v>
      </c>
      <c r="Q50" s="2980"/>
      <c r="R50" s="2984" t="e">
        <f>IF(E1="售价",ROUND(AVERAGE(R49:V49),0),ROUND(AVERAGE(R49:V49),1))</f>
        <v>#REF!</v>
      </c>
      <c r="S50" s="2984"/>
      <c r="T50" s="2984"/>
      <c r="U50" s="2984"/>
      <c r="V50" s="2984"/>
      <c r="W50" s="2984"/>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2841</v>
      </c>
      <c r="D87" s="2732" t="s">
        <v>2842</v>
      </c>
      <c r="E87" s="2732" t="s">
        <v>2844</v>
      </c>
      <c r="F87" s="2732" t="s">
        <v>2846</v>
      </c>
      <c r="G87" s="2732" t="s">
        <v>2847</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2848</v>
      </c>
      <c r="D89" s="2732" t="s">
        <v>2849</v>
      </c>
      <c r="E89" s="2732" t="s">
        <v>2850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2875</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2856</v>
      </c>
      <c r="D108" s="2732" t="s">
        <v>2858</v>
      </c>
      <c r="E108" s="2732" t="s">
        <v>2859</v>
      </c>
      <c r="F108" s="2731" t="s">
        <v>2860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2862</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2864</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2836</v>
      </c>
      <c r="D117" s="537" t="s">
        <v>2865</v>
      </c>
      <c r="E117" s="537" t="s">
        <v>2866</v>
      </c>
      <c r="F117" s="537" t="s">
        <v>2867</v>
      </c>
      <c r="G117" s="537" t="s">
        <v>2868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2870</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2871</v>
      </c>
      <c r="D121" s="537" t="s">
        <v>2872</v>
      </c>
      <c r="E121" s="537" t="s">
        <v>2873</v>
      </c>
      <c r="F121" s="567" t="s">
        <v>2874</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2856</v>
      </c>
      <c r="D123" s="2732" t="s">
        <v>2858</v>
      </c>
      <c r="E123" s="2732" t="s">
        <v>2859</v>
      </c>
      <c r="F123" s="2731" t="s">
        <v>2860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37" sqref="I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2824</v>
      </c>
      <c r="D1" s="2448"/>
      <c r="E1" s="2377" t="s">
        <v>2830</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3006" t="s">
        <v>2335</v>
      </c>
      <c r="D4" s="3007"/>
      <c r="E4" s="3008" t="s">
        <v>2336</v>
      </c>
      <c r="F4" s="3009"/>
      <c r="G4" s="3006" t="s">
        <v>2337</v>
      </c>
      <c r="H4" s="3007"/>
      <c r="I4" s="3006" t="s">
        <v>2338</v>
      </c>
      <c r="J4" s="3007"/>
      <c r="K4" s="594"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14" t="s">
        <v>2337</v>
      </c>
      <c r="AC4" s="3003" t="s">
        <v>2338</v>
      </c>
    </row>
    <row r="5" spans="1:29" ht="15">
      <c r="A5" s="383"/>
      <c r="B5" s="384"/>
      <c r="C5" s="3021" t="s">
        <v>2341</v>
      </c>
      <c r="D5" s="3018"/>
      <c r="E5" s="3033" t="s">
        <v>2885</v>
      </c>
      <c r="F5" s="3016"/>
      <c r="G5" s="3017" t="s">
        <v>2886</v>
      </c>
      <c r="H5" s="3018"/>
      <c r="I5" s="3017" t="s">
        <v>2886</v>
      </c>
      <c r="J5" s="3018"/>
      <c r="K5" s="594"/>
      <c r="L5" s="1240"/>
      <c r="M5" s="1241"/>
      <c r="N5" s="1241"/>
      <c r="O5" s="1241"/>
      <c r="P5" s="3031"/>
      <c r="Q5" s="3000"/>
      <c r="R5" s="2994"/>
      <c r="S5" s="2995"/>
      <c r="T5" s="2994"/>
      <c r="U5" s="2995"/>
      <c r="V5" s="3014"/>
      <c r="W5" s="3014"/>
      <c r="X5" s="1896"/>
      <c r="Y5" s="2994"/>
      <c r="Z5" s="2995"/>
      <c r="AA5" s="3004"/>
      <c r="AB5" s="3014"/>
      <c r="AC5" s="3004"/>
    </row>
    <row r="6" spans="1:29" ht="15.75" thickBot="1">
      <c r="A6" s="385"/>
      <c r="B6" s="386"/>
      <c r="C6" s="3019" t="s">
        <v>2345</v>
      </c>
      <c r="D6" s="3020"/>
      <c r="E6" s="3022" t="s">
        <v>2345</v>
      </c>
      <c r="F6" s="3023"/>
      <c r="G6" s="3019" t="s">
        <v>2345</v>
      </c>
      <c r="H6" s="3020"/>
      <c r="I6" s="3019" t="s">
        <v>2345</v>
      </c>
      <c r="J6" s="3020"/>
      <c r="K6" s="594" t="s">
        <v>2346</v>
      </c>
      <c r="L6" s="1240"/>
      <c r="M6" s="1241"/>
      <c r="N6" s="1241"/>
      <c r="O6" s="1241"/>
      <c r="P6" s="3032"/>
      <c r="Q6" s="3013"/>
      <c r="R6" s="2994"/>
      <c r="S6" s="2995"/>
      <c r="T6" s="2996"/>
      <c r="U6" s="2997"/>
      <c r="V6" s="3014"/>
      <c r="W6" s="3014"/>
      <c r="X6" s="1896"/>
      <c r="Y6" s="2996"/>
      <c r="Z6" s="2997"/>
      <c r="AA6" s="3005"/>
      <c r="AB6" s="3014"/>
      <c r="AC6" s="3005"/>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2990" t="s">
        <v>2348</v>
      </c>
      <c r="Q7" s="2998"/>
      <c r="R7" s="747" t="s">
        <v>25</v>
      </c>
      <c r="S7" s="748">
        <f t="shared" ref="S7:S15" si="0">F7</f>
        <v>100</v>
      </c>
      <c r="T7" s="747" t="s">
        <v>25</v>
      </c>
      <c r="U7" s="748">
        <f t="shared" ref="U7:U15" si="1">H7</f>
        <v>100</v>
      </c>
      <c r="V7" s="747" t="s">
        <v>25</v>
      </c>
      <c r="W7" s="748">
        <f t="shared" ref="W7:W15" si="2">J7</f>
        <v>100</v>
      </c>
      <c r="X7" s="749"/>
      <c r="Y7" s="2990" t="s">
        <v>2348</v>
      </c>
      <c r="Z7" s="2991"/>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2990" t="s">
        <v>2351</v>
      </c>
      <c r="Q8" s="2991"/>
      <c r="R8" s="747" t="s">
        <v>25</v>
      </c>
      <c r="S8" s="748">
        <f t="shared" si="0"/>
        <v>100</v>
      </c>
      <c r="T8" s="747" t="s">
        <v>25</v>
      </c>
      <c r="U8" s="748">
        <f t="shared" si="1"/>
        <v>100</v>
      </c>
      <c r="V8" s="747" t="s">
        <v>25</v>
      </c>
      <c r="W8" s="748">
        <f t="shared" si="2"/>
        <v>100</v>
      </c>
      <c r="X8" s="749"/>
      <c r="Y8" s="2990" t="s">
        <v>2351</v>
      </c>
      <c r="Z8" s="2991"/>
      <c r="AA8" s="750">
        <f t="shared" ref="AA8:AA46" si="3">D8/F8</f>
        <v>1</v>
      </c>
      <c r="AB8" s="750">
        <f t="shared" ref="AB8:AB46" si="4">D8/H8</f>
        <v>1</v>
      </c>
      <c r="AC8" s="750">
        <f t="shared" ref="AC8:AC46" si="5">D8/J8</f>
        <v>1</v>
      </c>
    </row>
    <row r="9" spans="1:29" s="35" customFormat="1">
      <c r="A9" s="395" t="s">
        <v>2352</v>
      </c>
      <c r="B9" s="28" t="s">
        <v>2353</v>
      </c>
      <c r="C9" s="2742" t="s">
        <v>2887</v>
      </c>
      <c r="D9" s="51">
        <v>100</v>
      </c>
      <c r="E9" s="397" t="s">
        <v>2882</v>
      </c>
      <c r="F9" s="398">
        <f>SUMIF(63:63,E9,64:64)-SUMIF(63:63,C9,64:64)+100</f>
        <v>100</v>
      </c>
      <c r="G9" s="397" t="s">
        <v>2882</v>
      </c>
      <c r="H9" s="51">
        <f>SUMIF(63:63,G9,64:64)-SUMIF(63:63,C9,64:64)+100</f>
        <v>100</v>
      </c>
      <c r="I9" s="397" t="s">
        <v>2882</v>
      </c>
      <c r="J9" s="51">
        <f>SUMIF(63:63,I9,64:64)-SUMIF(63:63,C9,64:64)+100</f>
        <v>100</v>
      </c>
      <c r="K9" s="595"/>
      <c r="L9" s="1242"/>
      <c r="M9" s="1243"/>
      <c r="N9" s="1243"/>
      <c r="O9" s="1243"/>
      <c r="P9" s="3034"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596">
        <v>0</v>
      </c>
      <c r="L10" s="1245"/>
      <c r="M10" s="1246"/>
      <c r="N10" s="1246"/>
      <c r="O10" s="1246"/>
      <c r="P10" s="3034"/>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34"/>
      <c r="Q11" s="1883" t="str">
        <f t="shared" si="6"/>
        <v>容积率</v>
      </c>
      <c r="R11" s="747" t="s">
        <v>25</v>
      </c>
      <c r="S11" s="748">
        <f t="shared" si="0"/>
        <v>100</v>
      </c>
      <c r="T11" s="747" t="s">
        <v>25</v>
      </c>
      <c r="U11" s="748">
        <f t="shared" si="1"/>
        <v>100</v>
      </c>
      <c r="V11" s="747" t="s">
        <v>25</v>
      </c>
      <c r="W11" s="748">
        <f t="shared" si="2"/>
        <v>100</v>
      </c>
      <c r="X11" s="749"/>
      <c r="Y11" s="2841"/>
      <c r="Z11" s="23" t="str">
        <f t="shared" si="7"/>
        <v>容积率</v>
      </c>
      <c r="AA11" s="750">
        <f t="shared" si="3"/>
        <v>1</v>
      </c>
      <c r="AB11" s="750">
        <f t="shared" si="4"/>
        <v>1</v>
      </c>
      <c r="AC11" s="750">
        <f t="shared" si="5"/>
        <v>1</v>
      </c>
    </row>
    <row r="12" spans="1:29" s="35" customFormat="1" ht="15.75" thickBot="1">
      <c r="A12" s="411"/>
      <c r="B12" s="2748" t="s">
        <v>2928</v>
      </c>
      <c r="C12" s="2749" t="s">
        <v>2929</v>
      </c>
      <c r="D12" s="413">
        <v>100</v>
      </c>
      <c r="E12" s="2747" t="s">
        <v>2930</v>
      </c>
      <c r="F12" s="405">
        <f>SUMIF(70:70,E12,71:71)-SUMIF(70:70,C12,71:71)+100</f>
        <v>110</v>
      </c>
      <c r="G12" s="2747" t="s">
        <v>2930</v>
      </c>
      <c r="H12" s="52">
        <f>SUMIF(70:70,G12,71:71)-SUMIF(70:70,C12,71:71)+100</f>
        <v>110</v>
      </c>
      <c r="I12" s="2747" t="s">
        <v>2930</v>
      </c>
      <c r="J12" s="52">
        <f>SUMIF(70:70,I12,71:71)-SUMIF(70:70,C12,71:71)+100</f>
        <v>110</v>
      </c>
      <c r="K12" s="597"/>
      <c r="L12" s="1242"/>
      <c r="M12" s="1243"/>
      <c r="N12" s="1243"/>
      <c r="O12" s="1243"/>
      <c r="P12" s="3034"/>
      <c r="Q12" s="1883" t="str">
        <f t="shared" si="6"/>
        <v>权属不清</v>
      </c>
      <c r="R12" s="747" t="s">
        <v>25</v>
      </c>
      <c r="S12" s="748">
        <f t="shared" si="0"/>
        <v>110</v>
      </c>
      <c r="T12" s="747" t="s">
        <v>25</v>
      </c>
      <c r="U12" s="748">
        <f t="shared" si="1"/>
        <v>110</v>
      </c>
      <c r="V12" s="747" t="s">
        <v>25</v>
      </c>
      <c r="W12" s="748">
        <f t="shared" si="2"/>
        <v>110</v>
      </c>
      <c r="X12" s="749"/>
      <c r="Y12" s="2841"/>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34"/>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34"/>
      <c r="Q14" s="1883">
        <f t="shared" si="6"/>
        <v>111</v>
      </c>
      <c r="R14" s="747" t="s">
        <v>25</v>
      </c>
      <c r="S14" s="748">
        <f t="shared" si="0"/>
        <v>100</v>
      </c>
      <c r="T14" s="747" t="s">
        <v>25</v>
      </c>
      <c r="U14" s="748">
        <f t="shared" si="1"/>
        <v>100</v>
      </c>
      <c r="V14" s="747" t="s">
        <v>25</v>
      </c>
      <c r="W14" s="748">
        <f t="shared" si="2"/>
        <v>100</v>
      </c>
      <c r="X14" s="749"/>
      <c r="Y14" s="2841"/>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28" t="s">
        <v>2359</v>
      </c>
      <c r="Q15" s="1895" t="str">
        <f t="shared" si="6"/>
        <v>商业繁华度</v>
      </c>
      <c r="R15" s="751" t="s">
        <v>25</v>
      </c>
      <c r="S15" s="752">
        <f t="shared" si="0"/>
        <v>100</v>
      </c>
      <c r="T15" s="751" t="s">
        <v>25</v>
      </c>
      <c r="U15" s="752">
        <f t="shared" si="1"/>
        <v>98</v>
      </c>
      <c r="V15" s="751" t="s">
        <v>25</v>
      </c>
      <c r="W15" s="752">
        <f t="shared" si="2"/>
        <v>100</v>
      </c>
      <c r="X15" s="1896"/>
      <c r="Y15" s="3001"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29"/>
      <c r="Q16" s="1895"/>
      <c r="R16" s="751"/>
      <c r="S16" s="752"/>
      <c r="T16" s="751"/>
      <c r="U16" s="752"/>
      <c r="V16" s="751"/>
      <c r="W16" s="752"/>
      <c r="X16" s="1896"/>
      <c r="Y16" s="3002"/>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29"/>
      <c r="Q17" s="1895" t="str">
        <f>B17</f>
        <v>交通便捷度</v>
      </c>
      <c r="R17" s="751" t="s">
        <v>25</v>
      </c>
      <c r="S17" s="752">
        <f>F17</f>
        <v>100</v>
      </c>
      <c r="T17" s="751" t="s">
        <v>25</v>
      </c>
      <c r="U17" s="752">
        <f>H17</f>
        <v>100</v>
      </c>
      <c r="V17" s="751" t="s">
        <v>25</v>
      </c>
      <c r="W17" s="752">
        <f>J17</f>
        <v>100</v>
      </c>
      <c r="X17" s="1896"/>
      <c r="Y17" s="3002"/>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29"/>
      <c r="Q18" s="1895"/>
      <c r="R18" s="751"/>
      <c r="S18" s="752"/>
      <c r="T18" s="751"/>
      <c r="U18" s="752"/>
      <c r="V18" s="751"/>
      <c r="W18" s="752"/>
      <c r="X18" s="1896"/>
      <c r="Y18" s="3002"/>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29"/>
      <c r="Q19" s="1895" t="str">
        <f>B19</f>
        <v>公共配套设施</v>
      </c>
      <c r="R19" s="751" t="s">
        <v>25</v>
      </c>
      <c r="S19" s="752">
        <f>F19</f>
        <v>100</v>
      </c>
      <c r="T19" s="751" t="s">
        <v>25</v>
      </c>
      <c r="U19" s="752">
        <f>H19</f>
        <v>100</v>
      </c>
      <c r="V19" s="751" t="s">
        <v>25</v>
      </c>
      <c r="W19" s="752">
        <f>J19</f>
        <v>100</v>
      </c>
      <c r="X19" s="1896"/>
      <c r="Y19" s="3002"/>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29"/>
      <c r="Q20" s="1895"/>
      <c r="R20" s="751"/>
      <c r="S20" s="752"/>
      <c r="T20" s="751"/>
      <c r="U20" s="752"/>
      <c r="V20" s="751"/>
      <c r="W20" s="752"/>
      <c r="X20" s="1896"/>
      <c r="Y20" s="3002"/>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29"/>
      <c r="Q21" s="1895" t="str">
        <f>B21</f>
        <v>基础设施水平</v>
      </c>
      <c r="R21" s="751" t="s">
        <v>25</v>
      </c>
      <c r="S21" s="752">
        <f>F21</f>
        <v>100</v>
      </c>
      <c r="T21" s="751" t="s">
        <v>25</v>
      </c>
      <c r="U21" s="752">
        <f>H21</f>
        <v>100</v>
      </c>
      <c r="V21" s="751" t="s">
        <v>25</v>
      </c>
      <c r="W21" s="752">
        <f>J21</f>
        <v>100</v>
      </c>
      <c r="X21" s="1896"/>
      <c r="Y21" s="3002"/>
      <c r="Z21" s="1898" t="str">
        <f>Q21</f>
        <v>基础设施水平</v>
      </c>
      <c r="AA21" s="1899">
        <f t="shared" ref="AA21" si="8">D21/F21</f>
        <v>1</v>
      </c>
      <c r="AB21" s="1899">
        <f t="shared" ref="AB21" si="9">D21/H21</f>
        <v>1</v>
      </c>
      <c r="AC21" s="1899">
        <f t="shared" ref="AC21" si="10">D21/J21</f>
        <v>1</v>
      </c>
    </row>
    <row r="22" spans="1:29" ht="15">
      <c r="A22" s="408"/>
      <c r="B22" s="2403"/>
      <c r="C22" s="437" t="s">
        <v>2836</v>
      </c>
      <c r="D22" s="427"/>
      <c r="E22" s="437" t="s">
        <v>2836</v>
      </c>
      <c r="F22" s="429"/>
      <c r="G22" s="437" t="s">
        <v>2836</v>
      </c>
      <c r="H22" s="427"/>
      <c r="I22" s="437" t="s">
        <v>2836</v>
      </c>
      <c r="J22" s="427"/>
      <c r="K22" s="1465"/>
      <c r="L22" s="1250"/>
      <c r="M22" s="1241"/>
      <c r="N22" s="1241"/>
      <c r="O22" s="1241"/>
      <c r="P22" s="3029"/>
      <c r="Q22" s="1895"/>
      <c r="R22" s="751"/>
      <c r="S22" s="752"/>
      <c r="T22" s="751"/>
      <c r="U22" s="752"/>
      <c r="V22" s="751"/>
      <c r="W22" s="752"/>
      <c r="X22" s="1896"/>
      <c r="Y22" s="3002"/>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29"/>
      <c r="Q23" s="1895" t="str">
        <f>B23</f>
        <v>自然及人文环境</v>
      </c>
      <c r="R23" s="751" t="s">
        <v>25</v>
      </c>
      <c r="S23" s="752">
        <f>F23</f>
        <v>100</v>
      </c>
      <c r="T23" s="751" t="s">
        <v>25</v>
      </c>
      <c r="U23" s="752">
        <f>H23</f>
        <v>100</v>
      </c>
      <c r="V23" s="751" t="s">
        <v>25</v>
      </c>
      <c r="W23" s="752">
        <f>J23</f>
        <v>100</v>
      </c>
      <c r="X23" s="1896"/>
      <c r="Y23" s="3002"/>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29"/>
      <c r="Q24" s="1895"/>
      <c r="R24" s="751"/>
      <c r="S24" s="752"/>
      <c r="T24" s="751"/>
      <c r="U24" s="752"/>
      <c r="V24" s="751"/>
      <c r="W24" s="752"/>
      <c r="X24" s="1896"/>
      <c r="Y24" s="3002"/>
      <c r="Z24" s="1898"/>
      <c r="AA24" s="1899">
        <v>1</v>
      </c>
      <c r="AB24" s="1899">
        <v>1</v>
      </c>
      <c r="AC24" s="1899">
        <v>1</v>
      </c>
    </row>
    <row r="25" spans="1:29" ht="15">
      <c r="A25" s="408"/>
      <c r="B25" s="402" t="s">
        <v>2447</v>
      </c>
      <c r="C25" s="600" t="s">
        <v>2890</v>
      </c>
      <c r="D25" s="415">
        <v>100</v>
      </c>
      <c r="E25" s="600" t="s">
        <v>2890</v>
      </c>
      <c r="F25" s="442">
        <f>SUMIF(86:86,E25,87:87)-SUMIF(86:86,C25,87:87)+100</f>
        <v>100</v>
      </c>
      <c r="G25" s="600" t="s">
        <v>2890</v>
      </c>
      <c r="H25" s="415">
        <f>SUMIF(86:86,G25,87:87)-SUMIF(86:86,C25,87:87)+100</f>
        <v>100</v>
      </c>
      <c r="I25" s="600" t="s">
        <v>2890</v>
      </c>
      <c r="J25" s="415">
        <f>SUMIF(86:86,I25,87:87)-SUMIF(86:86,C25,87:87)+100</f>
        <v>100</v>
      </c>
      <c r="K25" s="596">
        <v>2</v>
      </c>
      <c r="L25" s="1250"/>
      <c r="M25" s="1241"/>
      <c r="N25" s="1241"/>
      <c r="O25" s="1241"/>
      <c r="P25" s="3029"/>
      <c r="Q25" s="1895" t="str">
        <f t="shared" ref="Q25:Q46" si="11">B25</f>
        <v>临街状况</v>
      </c>
      <c r="R25" s="751" t="s">
        <v>25</v>
      </c>
      <c r="S25" s="752">
        <f>F25</f>
        <v>100</v>
      </c>
      <c r="T25" s="751" t="s">
        <v>25</v>
      </c>
      <c r="U25" s="752">
        <f>H25</f>
        <v>100</v>
      </c>
      <c r="V25" s="751" t="s">
        <v>25</v>
      </c>
      <c r="W25" s="752">
        <f>J25</f>
        <v>100</v>
      </c>
      <c r="X25" s="1896"/>
      <c r="Y25" s="3002"/>
      <c r="Z25" s="1898" t="str">
        <f>Q25</f>
        <v>临街状况</v>
      </c>
      <c r="AA25" s="1899">
        <f t="shared" si="3"/>
        <v>1</v>
      </c>
      <c r="AB25" s="1899">
        <f t="shared" si="4"/>
        <v>1</v>
      </c>
      <c r="AC25" s="1899">
        <f t="shared" si="5"/>
        <v>1</v>
      </c>
    </row>
    <row r="26" spans="1:29" ht="15">
      <c r="A26" s="408"/>
      <c r="B26" s="2407" t="s">
        <v>2448</v>
      </c>
      <c r="C26" s="2747" t="s">
        <v>2892</v>
      </c>
      <c r="D26" s="415">
        <v>100</v>
      </c>
      <c r="E26" s="2747" t="s">
        <v>2892</v>
      </c>
      <c r="F26" s="442">
        <f>SUMIF(88:88,E26,89:89)-SUMIF(88:88,C26,89:89)+100</f>
        <v>100</v>
      </c>
      <c r="G26" s="2747" t="s">
        <v>2892</v>
      </c>
      <c r="H26" s="415">
        <f>SUMIF(88:88,G26,89:89)-SUMIF(88:88,C26,89:89)+100</f>
        <v>100</v>
      </c>
      <c r="I26" s="2747" t="s">
        <v>2892</v>
      </c>
      <c r="J26" s="415">
        <f>SUMIF(88:88,I26,89:89)-SUMIF(88:88,C26,89:89)+100</f>
        <v>100</v>
      </c>
      <c r="K26" s="597"/>
      <c r="L26" s="1250"/>
      <c r="M26" s="1241"/>
      <c r="N26" s="1241"/>
      <c r="O26" s="1241"/>
      <c r="P26" s="3029"/>
      <c r="Q26" s="1895" t="str">
        <f t="shared" si="11"/>
        <v>平面位置/可视性</v>
      </c>
      <c r="R26" s="751" t="s">
        <v>25</v>
      </c>
      <c r="S26" s="752">
        <f>F26</f>
        <v>100</v>
      </c>
      <c r="T26" s="751" t="s">
        <v>25</v>
      </c>
      <c r="U26" s="752">
        <f>H26</f>
        <v>100</v>
      </c>
      <c r="V26" s="751" t="s">
        <v>25</v>
      </c>
      <c r="W26" s="752">
        <f>J26</f>
        <v>100</v>
      </c>
      <c r="X26" s="1896"/>
      <c r="Y26" s="3002"/>
      <c r="Z26" s="1898" t="str">
        <f>Q26</f>
        <v>平面位置/可视性</v>
      </c>
      <c r="AA26" s="1899">
        <f t="shared" si="3"/>
        <v>1</v>
      </c>
      <c r="AB26" s="1899">
        <f t="shared" si="4"/>
        <v>1</v>
      </c>
      <c r="AC26" s="1899">
        <f t="shared" si="5"/>
        <v>1</v>
      </c>
    </row>
    <row r="27" spans="1:29" s="35" customFormat="1" ht="15">
      <c r="A27" s="411"/>
      <c r="B27" s="431" t="s">
        <v>2449</v>
      </c>
      <c r="C27" s="2453" t="s">
        <v>2893</v>
      </c>
      <c r="D27" s="443">
        <v>100</v>
      </c>
      <c r="E27" s="2453" t="s">
        <v>2893</v>
      </c>
      <c r="F27" s="445">
        <f>SUMIF(90:90,E27,91:91)-SUMIF(90:90,C27,91:91)+100</f>
        <v>100</v>
      </c>
      <c r="G27" s="2453" t="s">
        <v>31</v>
      </c>
      <c r="H27" s="443">
        <f>SUMIF(90:90,G27,91:91)-SUMIF(90:90,C27,91:91)+100</f>
        <v>98</v>
      </c>
      <c r="I27" s="2453" t="s">
        <v>2893</v>
      </c>
      <c r="J27" s="443">
        <f>SUMIF(90:90,I27,91:91)-SUMIF(90:90,C27,91:91)+100</f>
        <v>100</v>
      </c>
      <c r="K27" s="596">
        <v>2</v>
      </c>
      <c r="L27" s="1242"/>
      <c r="M27" s="1243"/>
      <c r="N27" s="1243"/>
      <c r="O27" s="1243"/>
      <c r="P27" s="3029"/>
      <c r="Q27" s="1883" t="str">
        <f t="shared" si="11"/>
        <v>人流量</v>
      </c>
      <c r="R27" s="747" t="s">
        <v>25</v>
      </c>
      <c r="S27" s="748">
        <f>F27</f>
        <v>100</v>
      </c>
      <c r="T27" s="747" t="s">
        <v>25</v>
      </c>
      <c r="U27" s="748">
        <f>H27</f>
        <v>98</v>
      </c>
      <c r="V27" s="747" t="s">
        <v>25</v>
      </c>
      <c r="W27" s="748">
        <f>J27</f>
        <v>100</v>
      </c>
      <c r="X27" s="749"/>
      <c r="Y27" s="3002"/>
      <c r="Z27" s="23" t="str">
        <f>Q27</f>
        <v>人流量</v>
      </c>
      <c r="AA27" s="1899">
        <f>D27/F27</f>
        <v>1</v>
      </c>
      <c r="AB27" s="1899">
        <f>D27/H27</f>
        <v>1.0204081632653061</v>
      </c>
      <c r="AC27" s="1899">
        <f>D27/J27</f>
        <v>1</v>
      </c>
    </row>
    <row r="28" spans="1:29" ht="15.75" thickBot="1">
      <c r="A28" s="408"/>
      <c r="B28" s="402" t="s">
        <v>2450</v>
      </c>
      <c r="C28" s="600" t="s">
        <v>2896</v>
      </c>
      <c r="D28" s="415">
        <v>100</v>
      </c>
      <c r="E28" s="600" t="s">
        <v>2896</v>
      </c>
      <c r="F28" s="442">
        <f>SUMIF(92:92,E28,93:93)-SUMIF(92:92,C28,93:93)+100</f>
        <v>100</v>
      </c>
      <c r="G28" s="600" t="s">
        <v>2896</v>
      </c>
      <c r="H28" s="415">
        <f>SUMIF(92:92,G28,93:93)-SUMIF(92:92,C28,93:93)+100</f>
        <v>100</v>
      </c>
      <c r="I28" s="600" t="s">
        <v>2896</v>
      </c>
      <c r="J28" s="415">
        <f>SUMIF(92:92,I28,93:93)-SUMIF(92:92,C28,93:93)+100</f>
        <v>100</v>
      </c>
      <c r="K28" s="597"/>
      <c r="L28" s="1250"/>
      <c r="M28" s="1241"/>
      <c r="N28" s="1241"/>
      <c r="O28" s="1241"/>
      <c r="P28" s="3029"/>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02"/>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29"/>
      <c r="Q29" s="1895">
        <f t="shared" si="11"/>
        <v>111</v>
      </c>
      <c r="R29" s="751" t="s">
        <v>25</v>
      </c>
      <c r="S29" s="752">
        <f t="shared" si="12"/>
        <v>100</v>
      </c>
      <c r="T29" s="751" t="s">
        <v>25</v>
      </c>
      <c r="U29" s="752">
        <f t="shared" si="13"/>
        <v>100</v>
      </c>
      <c r="V29" s="751" t="s">
        <v>25</v>
      </c>
      <c r="W29" s="752">
        <f t="shared" si="14"/>
        <v>100</v>
      </c>
      <c r="X29" s="1896"/>
      <c r="Y29" s="3002"/>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29"/>
      <c r="Q30" s="1895">
        <f t="shared" si="11"/>
        <v>111</v>
      </c>
      <c r="R30" s="751" t="s">
        <v>25</v>
      </c>
      <c r="S30" s="752">
        <f t="shared" si="12"/>
        <v>100</v>
      </c>
      <c r="T30" s="751" t="s">
        <v>25</v>
      </c>
      <c r="U30" s="752">
        <f t="shared" si="13"/>
        <v>100</v>
      </c>
      <c r="V30" s="751" t="s">
        <v>25</v>
      </c>
      <c r="W30" s="752">
        <f t="shared" si="14"/>
        <v>100</v>
      </c>
      <c r="X30" s="1896"/>
      <c r="Y30" s="3002"/>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29"/>
      <c r="Q31" s="1895">
        <f t="shared" si="11"/>
        <v>111</v>
      </c>
      <c r="R31" s="751" t="s">
        <v>25</v>
      </c>
      <c r="S31" s="752">
        <f t="shared" si="12"/>
        <v>100</v>
      </c>
      <c r="T31" s="751" t="s">
        <v>25</v>
      </c>
      <c r="U31" s="752">
        <f t="shared" si="13"/>
        <v>100</v>
      </c>
      <c r="V31" s="751" t="s">
        <v>25</v>
      </c>
      <c r="W31" s="752">
        <f t="shared" si="14"/>
        <v>100</v>
      </c>
      <c r="X31" s="1896"/>
      <c r="Y31" s="3002"/>
      <c r="Z31" s="1898">
        <f t="shared" si="15"/>
        <v>111</v>
      </c>
      <c r="AA31" s="1899">
        <f t="shared" si="3"/>
        <v>1</v>
      </c>
      <c r="AB31" s="1899">
        <f t="shared" si="4"/>
        <v>1</v>
      </c>
      <c r="AC31" s="1899">
        <f t="shared" si="5"/>
        <v>1</v>
      </c>
    </row>
    <row r="32" spans="1:29" ht="15">
      <c r="A32" s="419" t="s">
        <v>2363</v>
      </c>
      <c r="B32" s="28" t="s">
        <v>2451</v>
      </c>
      <c r="C32" s="2408" t="s">
        <v>2916</v>
      </c>
      <c r="D32" s="448">
        <v>100</v>
      </c>
      <c r="E32" s="2408" t="s">
        <v>2897</v>
      </c>
      <c r="F32" s="442">
        <f>SUMIF(100:100,E32,101:101)-SUMIF(100:100,C32,101:101)+100</f>
        <v>110</v>
      </c>
      <c r="G32" s="2408" t="s">
        <v>2897</v>
      </c>
      <c r="H32" s="415">
        <f>SUMIF(100:100,G32,101:101)-SUMIF(100:100,C32,101:101)+100</f>
        <v>110</v>
      </c>
      <c r="I32" s="2408" t="s">
        <v>2897</v>
      </c>
      <c r="J32" s="448">
        <f>SUMIF(100:100,I32,101:101)-SUMIF(100:100,C32,101:101)+100</f>
        <v>110</v>
      </c>
      <c r="K32" s="596">
        <v>10</v>
      </c>
      <c r="L32" s="1250"/>
      <c r="M32" s="1241"/>
      <c r="N32" s="1241"/>
      <c r="O32" s="1241"/>
      <c r="P32" s="3025" t="s">
        <v>2365</v>
      </c>
      <c r="Q32" s="1895" t="str">
        <f t="shared" si="11"/>
        <v>商业类型</v>
      </c>
      <c r="R32" s="751" t="s">
        <v>25</v>
      </c>
      <c r="S32" s="752">
        <f t="shared" si="12"/>
        <v>110</v>
      </c>
      <c r="T32" s="751" t="s">
        <v>25</v>
      </c>
      <c r="U32" s="752">
        <f t="shared" si="13"/>
        <v>110</v>
      </c>
      <c r="V32" s="751" t="s">
        <v>25</v>
      </c>
      <c r="W32" s="752">
        <f t="shared" si="14"/>
        <v>110</v>
      </c>
      <c r="X32" s="1896"/>
      <c r="Y32" s="2988"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26"/>
      <c r="Q33" s="753" t="str">
        <f t="shared" si="11"/>
        <v>项目建筑规模</v>
      </c>
      <c r="R33" s="754" t="s">
        <v>25</v>
      </c>
      <c r="S33" s="755">
        <f t="shared" si="12"/>
        <v>100</v>
      </c>
      <c r="T33" s="754" t="s">
        <v>25</v>
      </c>
      <c r="U33" s="755">
        <f t="shared" si="13"/>
        <v>100</v>
      </c>
      <c r="V33" s="754" t="s">
        <v>25</v>
      </c>
      <c r="W33" s="755">
        <f t="shared" si="14"/>
        <v>100</v>
      </c>
      <c r="X33" s="756"/>
      <c r="Y33" s="2988"/>
      <c r="Z33" s="757" t="str">
        <f t="shared" si="15"/>
        <v>项目建筑规模</v>
      </c>
      <c r="AA33" s="1899">
        <f t="shared" si="3"/>
        <v>1</v>
      </c>
      <c r="AB33" s="1899">
        <f t="shared" si="4"/>
        <v>1</v>
      </c>
      <c r="AC33" s="1899">
        <f t="shared" si="5"/>
        <v>1</v>
      </c>
    </row>
    <row r="34" spans="1:29" ht="15">
      <c r="A34" s="453"/>
      <c r="B34" s="402" t="s">
        <v>2367</v>
      </c>
      <c r="C34" s="2410" t="s">
        <v>2900</v>
      </c>
      <c r="D34" s="415">
        <v>100</v>
      </c>
      <c r="E34" s="2410" t="s">
        <v>2825</v>
      </c>
      <c r="F34" s="442">
        <f>SUMIF(105:105,E34,106:106)-SUMIF(105:105,C34,106:106)+100</f>
        <v>105</v>
      </c>
      <c r="G34" s="2410" t="s">
        <v>2825</v>
      </c>
      <c r="H34" s="415">
        <f>SUMIF(105:105,G34,106:106)-SUMIF(105:105,C34,106:106)+100</f>
        <v>105</v>
      </c>
      <c r="I34" s="2410" t="s">
        <v>2825</v>
      </c>
      <c r="J34" s="415">
        <f>SUMIF(105:105,I34,106:106)-SUMIF(105:105,C34,106:106)+100</f>
        <v>105</v>
      </c>
      <c r="K34" s="596">
        <v>5</v>
      </c>
      <c r="L34" s="1250"/>
      <c r="M34" s="1241"/>
      <c r="N34" s="1241"/>
      <c r="O34" s="1241"/>
      <c r="P34" s="3026"/>
      <c r="Q34" s="1895" t="str">
        <f t="shared" si="11"/>
        <v>建筑结构</v>
      </c>
      <c r="R34" s="751" t="s">
        <v>25</v>
      </c>
      <c r="S34" s="752">
        <f t="shared" si="12"/>
        <v>105</v>
      </c>
      <c r="T34" s="751" t="s">
        <v>25</v>
      </c>
      <c r="U34" s="752">
        <f t="shared" si="13"/>
        <v>105</v>
      </c>
      <c r="V34" s="751" t="s">
        <v>25</v>
      </c>
      <c r="W34" s="752">
        <f t="shared" si="14"/>
        <v>105</v>
      </c>
      <c r="X34" s="1896"/>
      <c r="Y34" s="2988"/>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2855</v>
      </c>
      <c r="D35" s="415">
        <v>100</v>
      </c>
      <c r="E35" s="2406" t="s">
        <v>2855</v>
      </c>
      <c r="F35" s="442">
        <f>SUMIF(107:107,E35,108:108)-SUMIF(107:107,C35,108:108)+100</f>
        <v>100</v>
      </c>
      <c r="G35" s="2406" t="s">
        <v>2855</v>
      </c>
      <c r="H35" s="415">
        <f>SUMIF(107:107,G35,108:108)-SUMIF(107:107,C35,108:108)+100</f>
        <v>100</v>
      </c>
      <c r="I35" s="2406" t="s">
        <v>2855</v>
      </c>
      <c r="J35" s="415">
        <f>SUMIF(107:107,I35,108:108)-SUMIF(107:107,C35,108:108)+100</f>
        <v>100</v>
      </c>
      <c r="K35" s="596">
        <v>0</v>
      </c>
      <c r="L35" s="1250"/>
      <c r="M35" s="1241"/>
      <c r="N35" s="1241"/>
      <c r="O35" s="1241"/>
      <c r="P35" s="3026"/>
      <c r="Q35" s="1895" t="str">
        <f t="shared" si="11"/>
        <v>公共部分装修</v>
      </c>
      <c r="R35" s="751" t="s">
        <v>25</v>
      </c>
      <c r="S35" s="752">
        <f t="shared" si="12"/>
        <v>100</v>
      </c>
      <c r="T35" s="751" t="s">
        <v>25</v>
      </c>
      <c r="U35" s="752">
        <f t="shared" si="13"/>
        <v>100</v>
      </c>
      <c r="V35" s="751" t="s">
        <v>25</v>
      </c>
      <c r="W35" s="752">
        <f t="shared" si="14"/>
        <v>100</v>
      </c>
      <c r="X35" s="1896"/>
      <c r="Y35" s="2988"/>
      <c r="Z35" s="1898" t="str">
        <f t="shared" si="15"/>
        <v>公共部分装修</v>
      </c>
      <c r="AA35" s="1899">
        <f t="shared" si="3"/>
        <v>1</v>
      </c>
      <c r="AB35" s="1899">
        <f t="shared" si="4"/>
        <v>1</v>
      </c>
      <c r="AC35" s="1899">
        <f t="shared" si="5"/>
        <v>1</v>
      </c>
    </row>
    <row r="36" spans="1:29" ht="15">
      <c r="A36" s="453"/>
      <c r="B36" s="402" t="s">
        <v>2453</v>
      </c>
      <c r="C36" s="455">
        <v>0.7</v>
      </c>
      <c r="D36" s="415">
        <v>100</v>
      </c>
      <c r="E36" s="455">
        <v>0.7</v>
      </c>
      <c r="F36" s="442">
        <f>LOOKUP(E36,110:110,111:111)-LOOKUP(C36,110:110,111:111)+100</f>
        <v>100</v>
      </c>
      <c r="G36" s="455">
        <v>0.7</v>
      </c>
      <c r="H36" s="442">
        <f>LOOKUP(G36,110:110,111:111)-LOOKUP(C36,110:110,111:111)+100</f>
        <v>100</v>
      </c>
      <c r="I36" s="455">
        <v>0.7</v>
      </c>
      <c r="J36" s="415">
        <f>LOOKUP(I36,110:110,111:111)-LOOKUP(C36,110:110,111:111)+100</f>
        <v>100</v>
      </c>
      <c r="K36" s="596">
        <v>1</v>
      </c>
      <c r="L36" s="1250"/>
      <c r="M36" s="1241"/>
      <c r="N36" s="1241"/>
      <c r="O36" s="1241"/>
      <c r="P36" s="3026"/>
      <c r="Q36" s="1895" t="str">
        <f t="shared" si="11"/>
        <v>成新度</v>
      </c>
      <c r="R36" s="751" t="s">
        <v>25</v>
      </c>
      <c r="S36" s="752">
        <f t="shared" si="12"/>
        <v>100</v>
      </c>
      <c r="T36" s="751" t="s">
        <v>25</v>
      </c>
      <c r="U36" s="752">
        <f t="shared" si="13"/>
        <v>100</v>
      </c>
      <c r="V36" s="751" t="s">
        <v>25</v>
      </c>
      <c r="W36" s="752">
        <f t="shared" si="14"/>
        <v>100</v>
      </c>
      <c r="X36" s="1896"/>
      <c r="Y36" s="2988"/>
      <c r="Z36" s="1898" t="str">
        <f t="shared" si="15"/>
        <v>成新度</v>
      </c>
      <c r="AA36" s="1899">
        <f t="shared" si="3"/>
        <v>1</v>
      </c>
      <c r="AB36" s="1899">
        <f t="shared" si="4"/>
        <v>1</v>
      </c>
      <c r="AC36" s="1899">
        <f t="shared" si="5"/>
        <v>1</v>
      </c>
    </row>
    <row r="37" spans="1:29" s="35" customFormat="1" ht="15">
      <c r="A37" s="454"/>
      <c r="B37" s="402" t="s">
        <v>2454</v>
      </c>
      <c r="C37" s="2406" t="s">
        <v>2866</v>
      </c>
      <c r="D37" s="52">
        <v>100</v>
      </c>
      <c r="E37" s="2406" t="s">
        <v>2866</v>
      </c>
      <c r="F37" s="442">
        <f>SUMIF(112:112,E37,113:113)-SUMIF(112:112,C37,113:113)+100</f>
        <v>100</v>
      </c>
      <c r="G37" s="2406" t="s">
        <v>2866</v>
      </c>
      <c r="H37" s="415">
        <f>SUMIF(112:112,G37,113:113)-SUMIF(112:112,C37,113:113)+100</f>
        <v>100</v>
      </c>
      <c r="I37" s="2406" t="s">
        <v>2866</v>
      </c>
      <c r="J37" s="415">
        <f>SUMIF(112:112,I37,113:113)-SUMIF(112:112,C37,113:113)+100</f>
        <v>100</v>
      </c>
      <c r="K37" s="596">
        <v>1</v>
      </c>
      <c r="L37" s="1242"/>
      <c r="M37" s="1243"/>
      <c r="N37" s="1243"/>
      <c r="O37" s="1243"/>
      <c r="P37" s="3026"/>
      <c r="Q37" s="1883" t="str">
        <f t="shared" si="11"/>
        <v>市政基础设施</v>
      </c>
      <c r="R37" s="747" t="s">
        <v>25</v>
      </c>
      <c r="S37" s="748">
        <f t="shared" si="12"/>
        <v>100</v>
      </c>
      <c r="T37" s="747" t="s">
        <v>25</v>
      </c>
      <c r="U37" s="748">
        <f t="shared" si="13"/>
        <v>100</v>
      </c>
      <c r="V37" s="747" t="s">
        <v>25</v>
      </c>
      <c r="W37" s="748">
        <f t="shared" si="14"/>
        <v>100</v>
      </c>
      <c r="X37" s="749"/>
      <c r="Y37" s="2988"/>
      <c r="Z37" s="23" t="str">
        <f t="shared" si="15"/>
        <v>市政基础设施</v>
      </c>
      <c r="AA37" s="750">
        <f t="shared" si="3"/>
        <v>1</v>
      </c>
      <c r="AB37" s="750">
        <f t="shared" si="4"/>
        <v>1</v>
      </c>
      <c r="AC37" s="750">
        <f t="shared" si="5"/>
        <v>1</v>
      </c>
    </row>
    <row r="38" spans="1:29" ht="15">
      <c r="A38" s="453"/>
      <c r="B38" s="402" t="s">
        <v>2455</v>
      </c>
      <c r="C38" s="2406" t="s">
        <v>2906</v>
      </c>
      <c r="D38" s="415">
        <v>100</v>
      </c>
      <c r="E38" s="2406" t="s">
        <v>2906</v>
      </c>
      <c r="F38" s="442">
        <f>SUMIF(114:114,E38,115:115)-SUMIF(114:114,C38,115:115)+100</f>
        <v>100</v>
      </c>
      <c r="G38" s="2406" t="s">
        <v>2906</v>
      </c>
      <c r="H38" s="415">
        <f>SUMIF(114:114,G38,115:115)-SUMIF(114:114,C38,115:115)+100</f>
        <v>100</v>
      </c>
      <c r="I38" s="2406" t="s">
        <v>2906</v>
      </c>
      <c r="J38" s="415">
        <f>SUMIF(114:114,I38,115:115)-SUMIF(114:114,C38,115:115)+100</f>
        <v>100</v>
      </c>
      <c r="K38" s="596">
        <v>5</v>
      </c>
      <c r="L38" s="1250"/>
      <c r="M38" s="1241"/>
      <c r="N38" s="1241"/>
      <c r="O38" s="1241"/>
      <c r="P38" s="3026" t="s">
        <v>2365</v>
      </c>
      <c r="Q38" s="1895" t="str">
        <f t="shared" si="11"/>
        <v>业态</v>
      </c>
      <c r="R38" s="751" t="s">
        <v>25</v>
      </c>
      <c r="S38" s="752">
        <f t="shared" si="12"/>
        <v>100</v>
      </c>
      <c r="T38" s="751" t="s">
        <v>25</v>
      </c>
      <c r="U38" s="752">
        <f t="shared" si="13"/>
        <v>100</v>
      </c>
      <c r="V38" s="751" t="s">
        <v>25</v>
      </c>
      <c r="W38" s="752">
        <f t="shared" si="14"/>
        <v>100</v>
      </c>
      <c r="X38" s="1896"/>
      <c r="Y38" s="2988" t="s">
        <v>2365</v>
      </c>
      <c r="Z38" s="1898" t="str">
        <f t="shared" si="15"/>
        <v>业态</v>
      </c>
      <c r="AA38" s="1899">
        <f t="shared" si="3"/>
        <v>1</v>
      </c>
      <c r="AB38" s="1899">
        <f t="shared" si="4"/>
        <v>1</v>
      </c>
      <c r="AC38" s="1899">
        <f t="shared" si="5"/>
        <v>1</v>
      </c>
    </row>
    <row r="39" spans="1:29" ht="15">
      <c r="A39" s="453"/>
      <c r="B39" s="402" t="s">
        <v>2456</v>
      </c>
      <c r="C39" s="2406" t="s">
        <v>2908</v>
      </c>
      <c r="D39" s="415">
        <v>100</v>
      </c>
      <c r="E39" s="2406" t="s">
        <v>2908</v>
      </c>
      <c r="F39" s="442">
        <f>SUMIF(116:116,E39,117:117)-SUMIF(116:116,C39,117:117)+100</f>
        <v>100</v>
      </c>
      <c r="G39" s="2406" t="s">
        <v>2908</v>
      </c>
      <c r="H39" s="415">
        <f>SUMIF(116:116,G39,117:117)-SUMIF(116:116,C39,117:117)+100</f>
        <v>100</v>
      </c>
      <c r="I39" s="2406" t="s">
        <v>2908</v>
      </c>
      <c r="J39" s="415">
        <f>SUMIF(116:116,I39,117:117)-SUMIF(116:116,C39,117:117)+100</f>
        <v>100</v>
      </c>
      <c r="K39" s="596">
        <v>2</v>
      </c>
      <c r="L39" s="1250"/>
      <c r="M39" s="1241"/>
      <c r="N39" s="1241"/>
      <c r="O39" s="1241"/>
      <c r="P39" s="3026"/>
      <c r="Q39" s="1895" t="str">
        <f t="shared" si="11"/>
        <v>层高</v>
      </c>
      <c r="R39" s="751" t="s">
        <v>25</v>
      </c>
      <c r="S39" s="752">
        <f t="shared" si="12"/>
        <v>100</v>
      </c>
      <c r="T39" s="751" t="s">
        <v>25</v>
      </c>
      <c r="U39" s="752">
        <f t="shared" si="13"/>
        <v>100</v>
      </c>
      <c r="V39" s="751" t="s">
        <v>25</v>
      </c>
      <c r="W39" s="752">
        <f t="shared" si="14"/>
        <v>100</v>
      </c>
      <c r="X39" s="1896"/>
      <c r="Y39" s="2988"/>
      <c r="Z39" s="1898" t="str">
        <f t="shared" si="15"/>
        <v>层高</v>
      </c>
      <c r="AA39" s="1899">
        <f t="shared" si="3"/>
        <v>1</v>
      </c>
      <c r="AB39" s="1899">
        <f t="shared" si="4"/>
        <v>1</v>
      </c>
      <c r="AC39" s="1899">
        <f t="shared" si="5"/>
        <v>1</v>
      </c>
    </row>
    <row r="40" spans="1:29" ht="15">
      <c r="A40" s="453"/>
      <c r="B40" s="402" t="s">
        <v>2457</v>
      </c>
      <c r="C40" s="450" t="s">
        <v>2920</v>
      </c>
      <c r="D40" s="415">
        <v>100</v>
      </c>
      <c r="E40" s="410" t="s">
        <v>2922</v>
      </c>
      <c r="F40" s="442">
        <f>SUMIF(118:118,E40,119:119)-SUMIF(118:118,C40,119:119)+100</f>
        <v>100</v>
      </c>
      <c r="G40" s="409" t="s">
        <v>2923</v>
      </c>
      <c r="H40" s="415">
        <f>SUMIF(118:118,G40,119:119)-SUMIF(118:118,C40,119:119)+100</f>
        <v>102</v>
      </c>
      <c r="I40" s="409" t="s">
        <v>2920</v>
      </c>
      <c r="J40" s="415">
        <f>SUMIF(118:118,I40,119:119)-SUMIF(118:118,C40,119:119)+100</f>
        <v>100</v>
      </c>
      <c r="K40" s="597"/>
      <c r="L40" s="1250"/>
      <c r="M40" s="1241"/>
      <c r="N40" s="1241"/>
      <c r="O40" s="1241"/>
      <c r="P40" s="3026"/>
      <c r="Q40" s="1895" t="str">
        <f t="shared" si="11"/>
        <v>单套建筑面积</v>
      </c>
      <c r="R40" s="751" t="s">
        <v>25</v>
      </c>
      <c r="S40" s="752">
        <f t="shared" si="12"/>
        <v>100</v>
      </c>
      <c r="T40" s="751" t="s">
        <v>25</v>
      </c>
      <c r="U40" s="752">
        <f t="shared" si="13"/>
        <v>102</v>
      </c>
      <c r="V40" s="751" t="s">
        <v>25</v>
      </c>
      <c r="W40" s="752">
        <f t="shared" si="14"/>
        <v>100</v>
      </c>
      <c r="X40" s="1896"/>
      <c r="Y40" s="2988"/>
      <c r="Z40" s="1898" t="str">
        <f t="shared" si="15"/>
        <v>单套建筑面积</v>
      </c>
      <c r="AA40" s="1899">
        <f t="shared" si="3"/>
        <v>1</v>
      </c>
      <c r="AB40" s="1899">
        <f t="shared" si="4"/>
        <v>0.98039215686274506</v>
      </c>
      <c r="AC40" s="1899">
        <f t="shared" si="5"/>
        <v>1</v>
      </c>
    </row>
    <row r="41" spans="1:29" s="452" customFormat="1" ht="15">
      <c r="A41" s="449"/>
      <c r="B41" s="1900" t="s">
        <v>2458</v>
      </c>
      <c r="C41" s="600" t="s">
        <v>2910</v>
      </c>
      <c r="D41" s="415">
        <v>100</v>
      </c>
      <c r="E41" s="600" t="s">
        <v>2910</v>
      </c>
      <c r="F41" s="442">
        <f>SUMIF(120:120,E41,121:121)-SUMIF(120:120,C41,121:121)+100</f>
        <v>100</v>
      </c>
      <c r="G41" s="600" t="s">
        <v>2910</v>
      </c>
      <c r="H41" s="415">
        <f>SUMIF(120:120,G41,121:121)-SUMIF(120:120,C41,121:121)+100</f>
        <v>100</v>
      </c>
      <c r="I41" s="600" t="s">
        <v>2910</v>
      </c>
      <c r="J41" s="415">
        <f>SUMIF(120:120,I41,121:121)-SUMIF(120:120,C41,121:121)+100</f>
        <v>100</v>
      </c>
      <c r="K41" s="596">
        <v>2</v>
      </c>
      <c r="L41" s="1248"/>
      <c r="M41" s="1251"/>
      <c r="N41" s="1251"/>
      <c r="O41" s="1251"/>
      <c r="P41" s="3026"/>
      <c r="Q41" s="753" t="str">
        <f t="shared" si="11"/>
        <v>进深比</v>
      </c>
      <c r="R41" s="754" t="s">
        <v>25</v>
      </c>
      <c r="S41" s="755">
        <f t="shared" si="12"/>
        <v>100</v>
      </c>
      <c r="T41" s="754" t="s">
        <v>25</v>
      </c>
      <c r="U41" s="755">
        <f t="shared" si="13"/>
        <v>100</v>
      </c>
      <c r="V41" s="754" t="s">
        <v>25</v>
      </c>
      <c r="W41" s="755">
        <f t="shared" si="14"/>
        <v>100</v>
      </c>
      <c r="X41" s="756"/>
      <c r="Y41" s="2988"/>
      <c r="Z41" s="757" t="str">
        <f t="shared" si="15"/>
        <v>进深比</v>
      </c>
      <c r="AA41" s="1899">
        <f t="shared" si="3"/>
        <v>1</v>
      </c>
      <c r="AB41" s="1899">
        <f t="shared" si="4"/>
        <v>1</v>
      </c>
      <c r="AC41" s="1899">
        <f t="shared" si="5"/>
        <v>1</v>
      </c>
    </row>
    <row r="42" spans="1:29" ht="15">
      <c r="A42" s="453"/>
      <c r="B42" s="402" t="s">
        <v>2459</v>
      </c>
      <c r="C42" s="2406" t="s">
        <v>2857</v>
      </c>
      <c r="D42" s="415">
        <v>100</v>
      </c>
      <c r="E42" s="2406" t="s">
        <v>2913</v>
      </c>
      <c r="F42" s="442">
        <f>SUMIF(122:122,E42,123:123)-SUMIF(122:122,C42,123:123)+100</f>
        <v>98</v>
      </c>
      <c r="G42" s="2406" t="s">
        <v>2857</v>
      </c>
      <c r="H42" s="415">
        <f>SUMIF(122:122,G42,123:123)-SUMIF(122:122,C42,123:123)+100</f>
        <v>100</v>
      </c>
      <c r="I42" s="2406" t="s">
        <v>2855</v>
      </c>
      <c r="J42" s="415">
        <f>SUMIF(122:122,I42,123:123)-SUMIF(122:122,C42,123:123)+100</f>
        <v>102</v>
      </c>
      <c r="K42" s="596">
        <v>2</v>
      </c>
      <c r="L42" s="1250"/>
      <c r="M42" s="1241"/>
      <c r="N42" s="1241"/>
      <c r="O42" s="1241"/>
      <c r="P42" s="3026"/>
      <c r="Q42" s="1895" t="str">
        <f t="shared" si="11"/>
        <v>内部装修</v>
      </c>
      <c r="R42" s="751" t="s">
        <v>25</v>
      </c>
      <c r="S42" s="752">
        <f t="shared" si="12"/>
        <v>98</v>
      </c>
      <c r="T42" s="751" t="s">
        <v>25</v>
      </c>
      <c r="U42" s="752">
        <f t="shared" si="13"/>
        <v>100</v>
      </c>
      <c r="V42" s="751" t="s">
        <v>25</v>
      </c>
      <c r="W42" s="752">
        <f t="shared" si="14"/>
        <v>102</v>
      </c>
      <c r="X42" s="1896"/>
      <c r="Y42" s="2988"/>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26"/>
      <c r="Q43" s="1895" t="str">
        <f t="shared" si="11"/>
        <v>内部装修维护情况</v>
      </c>
      <c r="R43" s="751" t="s">
        <v>25</v>
      </c>
      <c r="S43" s="752">
        <f t="shared" si="12"/>
        <v>100</v>
      </c>
      <c r="T43" s="751" t="s">
        <v>25</v>
      </c>
      <c r="U43" s="752">
        <f t="shared" si="13"/>
        <v>100</v>
      </c>
      <c r="V43" s="751" t="s">
        <v>25</v>
      </c>
      <c r="W43" s="752">
        <f t="shared" si="14"/>
        <v>100</v>
      </c>
      <c r="X43" s="1896"/>
      <c r="Y43" s="2988"/>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26"/>
      <c r="Q44" s="1883">
        <f t="shared" si="11"/>
        <v>111</v>
      </c>
      <c r="R44" s="747" t="s">
        <v>25</v>
      </c>
      <c r="S44" s="748">
        <f t="shared" si="12"/>
        <v>100</v>
      </c>
      <c r="T44" s="747" t="s">
        <v>25</v>
      </c>
      <c r="U44" s="748">
        <f t="shared" si="13"/>
        <v>100</v>
      </c>
      <c r="V44" s="747" t="s">
        <v>25</v>
      </c>
      <c r="W44" s="748">
        <f t="shared" si="14"/>
        <v>100</v>
      </c>
      <c r="X44" s="749"/>
      <c r="Y44" s="2988"/>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26"/>
      <c r="Q45" s="1895">
        <f t="shared" si="11"/>
        <v>111</v>
      </c>
      <c r="R45" s="751" t="s">
        <v>25</v>
      </c>
      <c r="S45" s="752">
        <f t="shared" si="12"/>
        <v>100</v>
      </c>
      <c r="T45" s="751" t="s">
        <v>25</v>
      </c>
      <c r="U45" s="752">
        <f t="shared" si="13"/>
        <v>100</v>
      </c>
      <c r="V45" s="751" t="s">
        <v>25</v>
      </c>
      <c r="W45" s="752">
        <f t="shared" si="14"/>
        <v>100</v>
      </c>
      <c r="X45" s="1896"/>
      <c r="Y45" s="2988"/>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27"/>
      <c r="Q46" s="1895">
        <f t="shared" si="11"/>
        <v>111</v>
      </c>
      <c r="R46" s="751" t="s">
        <v>25</v>
      </c>
      <c r="S46" s="752">
        <f t="shared" si="12"/>
        <v>100</v>
      </c>
      <c r="T46" s="751" t="s">
        <v>25</v>
      </c>
      <c r="U46" s="752">
        <f t="shared" si="13"/>
        <v>100</v>
      </c>
      <c r="V46" s="751" t="s">
        <v>25</v>
      </c>
      <c r="W46" s="752">
        <f t="shared" si="14"/>
        <v>100</v>
      </c>
      <c r="X46" s="1896"/>
      <c r="Y46" s="2989"/>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2981" t="str">
        <f>A47</f>
        <v>成交单价（元/平方米）</v>
      </c>
      <c r="Q47" s="2981"/>
      <c r="R47" s="2982">
        <f>E47</f>
        <v>45929</v>
      </c>
      <c r="S47" s="2982"/>
      <c r="T47" s="2982">
        <f>G47</f>
        <v>52000</v>
      </c>
      <c r="U47" s="2982"/>
      <c r="V47" s="2982">
        <f>I47</f>
        <v>56923</v>
      </c>
      <c r="W47" s="2982"/>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2981" t="str">
        <f>A48</f>
        <v>比较价值（元/平方米）</v>
      </c>
      <c r="Q48" s="2981"/>
      <c r="R48" s="2982">
        <f>IF(E1="售价",ROUND(PRODUCT(R47,AA7:AA46),0),ROUND(PRODUCT(R47,AA7:AA46),1))</f>
        <v>36888</v>
      </c>
      <c r="S48" s="2982"/>
      <c r="T48" s="2982">
        <f>IF(E1="售价",ROUND(PRODUCT(T47,AB7:AB46),0),ROUND(PRODUCT(T47,AB7:AB46),1))</f>
        <v>41781</v>
      </c>
      <c r="U48" s="2982"/>
      <c r="V48" s="2982">
        <f>IF(E1="售价",ROUND(PRODUCT(V47,AC7:AC46),0),ROUND(PRODUCT(V47,AC7:AC46),1))</f>
        <v>43925</v>
      </c>
      <c r="W48" s="2982"/>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24" t="str">
        <f>A49</f>
        <v>估价对象XX用房的比较价值（楼面单价，元/平方米）</v>
      </c>
      <c r="Q49" s="2980"/>
      <c r="R49" s="2984">
        <f>IF(E1="售价",ROUND(AVERAGE(R48:V48),0),ROUND(AVERAGE(R48:V48),1))</f>
        <v>40865</v>
      </c>
      <c r="S49" s="2984"/>
      <c r="T49" s="2984"/>
      <c r="U49" s="2984"/>
      <c r="V49" s="2984"/>
      <c r="W49" s="298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2929</v>
      </c>
      <c r="D70" s="2732" t="s">
        <v>2930</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2888</v>
      </c>
      <c r="D86" s="2732" t="s">
        <v>2889</v>
      </c>
      <c r="E86" s="2732" t="s">
        <v>2891</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2892</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2894</v>
      </c>
      <c r="D90" s="2732" t="s">
        <v>2924</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2895</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2898</v>
      </c>
      <c r="D100" s="2736" t="s">
        <v>2917</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2899</v>
      </c>
      <c r="D105" s="2732" t="s">
        <v>2901</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2902</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2903</v>
      </c>
      <c r="D112" s="2732" t="s">
        <v>2904</v>
      </c>
      <c r="E112" s="2732" t="s">
        <v>2905</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2907</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2909</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2918</v>
      </c>
      <c r="D118" s="609" t="s">
        <v>2919</v>
      </c>
      <c r="E118" s="609" t="s">
        <v>2920</v>
      </c>
      <c r="F118" s="609" t="s">
        <v>2921</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2911</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2902</v>
      </c>
      <c r="D122" s="2732" t="s">
        <v>2912</v>
      </c>
      <c r="E122" s="2732" t="s">
        <v>2914</v>
      </c>
      <c r="F122" s="2731" t="s">
        <v>2915</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2824</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5057769</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45447</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309104</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308718</v>
      </c>
      <c r="D6" s="80" t="s">
        <v>2795</v>
      </c>
      <c r="E6" s="319" t="s">
        <v>2102</v>
      </c>
      <c r="F6" s="320">
        <f>'数据-取费表'!B29</f>
        <v>8</v>
      </c>
      <c r="G6" s="1235"/>
      <c r="H6" s="1380" t="s">
        <v>2100</v>
      </c>
      <c r="I6" s="2020" t="s">
        <v>2101</v>
      </c>
      <c r="J6" s="318">
        <f>ROUND(M6*M8*M7*(1-M9),0)</f>
        <v>0</v>
      </c>
      <c r="K6" s="80" t="s">
        <v>2795</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386</v>
      </c>
      <c r="D10" s="2333" t="s">
        <v>2803</v>
      </c>
      <c r="E10" s="330" t="s">
        <v>2109</v>
      </c>
      <c r="F10" s="2334" t="s">
        <v>2110</v>
      </c>
      <c r="G10" s="1235"/>
      <c r="H10" s="1380" t="s">
        <v>2107</v>
      </c>
      <c r="I10" s="2332" t="s">
        <v>2108</v>
      </c>
      <c r="J10" s="1381">
        <f ca="1">ROUND(IF(M10="押一",J6/12*M11,IF(M10="押二",J6/12*2*M11,IF(M10="押三",J6/12*3*M11,J11*M11))),0)</f>
        <v>0</v>
      </c>
      <c r="K10" s="80" t="s">
        <v>2803</v>
      </c>
      <c r="L10" s="330" t="s">
        <v>2109</v>
      </c>
      <c r="M10" s="2334" t="s">
        <v>2828</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301307</v>
      </c>
      <c r="D13" s="1418" t="s">
        <v>2117</v>
      </c>
      <c r="E13" s="1418" t="s">
        <v>2118</v>
      </c>
      <c r="F13" s="1419">
        <f>'数据-取费表'!E20</f>
        <v>0.7</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278225</v>
      </c>
      <c r="D14" s="1884" t="s">
        <v>2121</v>
      </c>
      <c r="E14" s="1885"/>
      <c r="F14" s="977"/>
      <c r="G14" s="1236"/>
      <c r="H14" s="337" t="s">
        <v>2100</v>
      </c>
      <c r="I14" s="319" t="s">
        <v>2122</v>
      </c>
      <c r="J14" s="14">
        <f ca="1">C29</f>
        <v>430439</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13911</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12424</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4173</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318567</v>
      </c>
      <c r="D19" s="56" t="s">
        <v>2147</v>
      </c>
      <c r="E19" s="1894"/>
      <c r="F19" s="16"/>
      <c r="G19" s="1236"/>
      <c r="H19" s="337" t="s">
        <v>2123</v>
      </c>
      <c r="I19" s="319" t="s">
        <v>2148</v>
      </c>
      <c r="J19" s="14">
        <f ca="1">IF(项目基本情况!B7="自然人","——",IF(K19="按租金收入计税",ROUND(J5*M19,1),ROUND(C29*M19*0.7,1)))</f>
        <v>0</v>
      </c>
      <c r="K19" s="2009" t="s">
        <v>2829</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6371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6457</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7068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-12424</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64988</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430439</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69546</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59545.5</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16486</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37092.5</v>
      </c>
      <c r="D33" s="2009" t="s">
        <v>2829</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25611</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6457</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452</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3091</v>
      </c>
      <c r="D38" s="1429" t="s">
        <v>2173</v>
      </c>
      <c r="E38" s="1427" t="s">
        <v>2169</v>
      </c>
      <c r="F38" s="1422">
        <f>'数据-取费表'!B46</f>
        <v>0.01</v>
      </c>
      <c r="G38" s="789"/>
      <c r="H38" s="1227"/>
      <c r="I38" s="365" t="s">
        <v>2211</v>
      </c>
      <c r="J38" s="220">
        <f ca="1">ROUND(J34/C39,3)</f>
        <v>0.107</v>
      </c>
      <c r="K38" s="1232"/>
      <c r="L38" s="1227"/>
      <c r="M38" s="1227"/>
    </row>
    <row r="39" spans="1:18" ht="18" customHeight="1" thickTop="1">
      <c r="A39" s="1416" t="s">
        <v>22</v>
      </c>
      <c r="B39" s="1431" t="s">
        <v>2212</v>
      </c>
      <c r="C39" s="327">
        <f ca="1">C5-C30</f>
        <v>239558</v>
      </c>
      <c r="D39" s="1432" t="s">
        <v>2213</v>
      </c>
      <c r="E39" s="1433"/>
      <c r="F39" s="1434"/>
      <c r="G39" s="789"/>
      <c r="H39" s="1227"/>
      <c r="I39" s="365" t="s">
        <v>2214</v>
      </c>
      <c r="J39" s="220">
        <f ca="1">1-J38</f>
        <v>0.89300000000000002</v>
      </c>
      <c r="K39" s="1232"/>
      <c r="L39" s="1227"/>
      <c r="M39" s="1227"/>
    </row>
    <row r="40" spans="1:18" s="789" customFormat="1" ht="18" customHeight="1">
      <c r="A40" s="316" t="s">
        <v>23</v>
      </c>
      <c r="B40" s="317" t="s">
        <v>2215</v>
      </c>
      <c r="C40" s="318">
        <f ca="1">ROUND(C39*(1-((1+F42)/(1+F40))^F41)/(F40-F42),0)</f>
        <v>5057769</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2925</v>
      </c>
      <c r="F41" s="355">
        <f>IF('数据-取费表'!B28="租赁期内按合同租金",'数据-取费表'!B34,IF(E41="收益年期(n)",'数据-取费表'!B33,'数据-取费表'!B13))</f>
        <v>40</v>
      </c>
      <c r="H41" s="1234"/>
      <c r="I41" s="219" t="s">
        <v>2088</v>
      </c>
      <c r="J41" s="220">
        <f ca="1">ROUND(C13/C40,3)</f>
        <v>0.06</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0.94</v>
      </c>
      <c r="K42" s="1231"/>
      <c r="L42" s="1234"/>
      <c r="M42" s="1234"/>
      <c r="Q42" s="793"/>
    </row>
    <row r="43" spans="1:18" s="789" customFormat="1" ht="18" customHeight="1" thickBot="1">
      <c r="A43" s="356" t="s">
        <v>24</v>
      </c>
      <c r="B43" s="357" t="s">
        <v>2218</v>
      </c>
      <c r="C43" s="358">
        <f ca="1">ROUND(C40/F43,0)</f>
        <v>45447</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5057769</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-5795534</v>
      </c>
      <c r="D47" s="2339" t="str">
        <f>C2</f>
        <v>元</v>
      </c>
      <c r="E47" s="774"/>
      <c r="F47" s="774"/>
      <c r="I47" s="2340" t="s">
        <v>2231</v>
      </c>
      <c r="J47" s="1340"/>
      <c r="K47" s="1341"/>
      <c r="L47" s="2745">
        <v>0</v>
      </c>
      <c r="O47" s="1367" t="s">
        <v>959</v>
      </c>
      <c r="P47" s="1364" t="s">
        <v>2232</v>
      </c>
      <c r="Q47" s="1365">
        <f ca="1">C29</f>
        <v>430439</v>
      </c>
      <c r="R47" s="1366" t="s">
        <v>2227</v>
      </c>
    </row>
    <row r="48" spans="1:18" s="789" customFormat="1" ht="15.75" thickBot="1">
      <c r="A48" s="312" t="s">
        <v>2233</v>
      </c>
      <c r="B48" s="313" t="s">
        <v>2234</v>
      </c>
      <c r="C48" s="313" t="s">
        <v>2235</v>
      </c>
      <c r="D48" s="313" t="s">
        <v>2236</v>
      </c>
      <c r="E48" s="1294" t="s">
        <v>2237</v>
      </c>
      <c r="F48" s="1295"/>
      <c r="I48" s="2341" t="s">
        <v>2238</v>
      </c>
      <c r="J48" s="2342" t="s">
        <v>2825</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2826</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2796</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5057769</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80746633</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2804</v>
      </c>
      <c r="E54" s="330" t="s">
        <v>2109</v>
      </c>
      <c r="F54" s="2334"/>
      <c r="I54" s="2352" t="s">
        <v>2258</v>
      </c>
      <c r="J54" s="1348">
        <f>IF(M48="住宅",J52,IF(E1="——",MIN(J52,L49),IF(E1="在建（套用方法）",MIN(J52,L49-'数据-取费表'!B25),IF(E1="土地（套用方法）",MIN(J52,L49-'数据-取费表'!B21)))))</f>
        <v>30</v>
      </c>
      <c r="K54" s="3035" t="s">
        <v>2794</v>
      </c>
      <c r="L54" s="3036"/>
      <c r="O54" s="1363" t="s">
        <v>957</v>
      </c>
      <c r="P54" s="1364" t="s">
        <v>2226</v>
      </c>
      <c r="Q54" s="1365">
        <f ca="1">C40+J29</f>
        <v>5057769</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301307</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430439</v>
      </c>
      <c r="D58" s="1291"/>
      <c r="E58" s="1292"/>
      <c r="F58" s="1299"/>
      <c r="I58" s="2360" t="s">
        <v>2267</v>
      </c>
      <c r="J58" s="1351" t="str">
        <f>IF(OR(M48="住宅",J52&lt;L49,J57="是"),"——",J52-L49)</f>
        <v>——</v>
      </c>
      <c r="K58" s="2344" t="s">
        <v>2268</v>
      </c>
      <c r="L58" s="1125">
        <f ca="1">IF(L49&lt;J52,"——",IF(L56="比较法",L50,IF(L56="基准地价",L51,L52)))</f>
        <v>80746633</v>
      </c>
      <c r="O58" s="1367" t="s">
        <v>961</v>
      </c>
      <c r="P58" s="1364" t="s">
        <v>2269</v>
      </c>
      <c r="Q58" s="1365" t="e">
        <f>L59</f>
        <v>#DIV/0!</v>
      </c>
      <c r="R58" s="1366" t="s">
        <v>2270</v>
      </c>
    </row>
    <row r="59" spans="1:18" s="789" customFormat="1" ht="29.25" thickBot="1">
      <c r="A59" s="332" t="s">
        <v>14</v>
      </c>
      <c r="B59" s="333" t="s">
        <v>2198</v>
      </c>
      <c r="C59" s="334">
        <f ca="1">ROUND(C60+C65+C66+C67,0)</f>
        <v>49033</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42123.9</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36156.9</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5057769</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6457</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80746633</v>
      </c>
      <c r="R65" s="1370" t="s">
        <v>2290</v>
      </c>
    </row>
    <row r="66" spans="1:18" s="789" customFormat="1" ht="20.25" thickBot="1">
      <c r="A66" s="337" t="s">
        <v>20</v>
      </c>
      <c r="B66" s="319" t="s">
        <v>2167</v>
      </c>
      <c r="C66" s="14">
        <f ca="1">ROUND(C57*F66,0)</f>
        <v>452</v>
      </c>
      <c r="D66" s="1889" t="s">
        <v>2168</v>
      </c>
      <c r="E66" s="319" t="s">
        <v>2169</v>
      </c>
      <c r="F66" s="351">
        <f t="shared" si="0"/>
        <v>1.5E-3</v>
      </c>
      <c r="I66" s="2363" t="s">
        <v>2291</v>
      </c>
      <c r="J66" s="1870">
        <v>40</v>
      </c>
      <c r="K66" s="1870">
        <v>30</v>
      </c>
      <c r="L66" s="1870">
        <v>50</v>
      </c>
      <c r="M66" s="1868">
        <v>0.02</v>
      </c>
      <c r="O66" s="1367" t="s">
        <v>960</v>
      </c>
      <c r="P66" s="1371" t="s">
        <v>2292</v>
      </c>
      <c r="Q66" s="1365">
        <f ca="1">ROUND(Q67-Q68*Q69,0)</f>
        <v>213947</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239558</v>
      </c>
      <c r="R67" s="1366" t="s">
        <v>2227</v>
      </c>
    </row>
    <row r="68" spans="1:18" ht="15.75" thickBot="1">
      <c r="A68" s="332" t="s">
        <v>22</v>
      </c>
      <c r="B68" s="89" t="s">
        <v>2177</v>
      </c>
      <c r="C68" s="334">
        <f ca="1">C49-C59</f>
        <v>-49033</v>
      </c>
      <c r="D68" s="1884" t="s">
        <v>2178</v>
      </c>
      <c r="E68" s="1888"/>
      <c r="F68" s="353"/>
      <c r="H68" s="789"/>
      <c r="I68" s="789"/>
      <c r="J68" s="789"/>
      <c r="K68" s="789"/>
      <c r="L68" s="789"/>
      <c r="M68" s="789"/>
      <c r="O68" s="1367" t="s">
        <v>966</v>
      </c>
      <c r="P68" s="1371" t="s">
        <v>2294</v>
      </c>
      <c r="Q68" s="1365">
        <f ca="1">C13</f>
        <v>301307</v>
      </c>
      <c r="R68" s="1366" t="s">
        <v>2227</v>
      </c>
    </row>
    <row r="69" spans="1:18" ht="15.75" thickBot="1">
      <c r="A69" s="316" t="s">
        <v>23</v>
      </c>
      <c r="B69" s="317" t="s">
        <v>2215</v>
      </c>
      <c r="C69" s="318">
        <f ca="1">ROUND(C68*(1-((1+F71)/(1+F69))^F70)/(F69-F71),0)</f>
        <v>-737765</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-6629</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3" t="s">
        <v>1024</v>
      </c>
      <c r="B1" s="3054"/>
      <c r="C1" s="3055"/>
      <c r="D1" s="3056">
        <f>SUM(I10,I15,I20,I21,I23)</f>
        <v>0</v>
      </c>
      <c r="E1" s="3056"/>
      <c r="F1" s="3056"/>
      <c r="G1" s="3056"/>
      <c r="H1" s="3056"/>
      <c r="I1" s="3057"/>
    </row>
    <row r="2" spans="1:9">
      <c r="A2" s="3043" t="s">
        <v>1025</v>
      </c>
      <c r="B2" s="3044" t="s">
        <v>974</v>
      </c>
      <c r="C2" s="3044"/>
      <c r="D2" s="1385" t="s">
        <v>975</v>
      </c>
      <c r="E2" s="1385" t="s">
        <v>976</v>
      </c>
      <c r="F2" s="1385" t="s">
        <v>977</v>
      </c>
      <c r="G2" s="1385" t="s">
        <v>978</v>
      </c>
      <c r="H2" s="1385" t="s">
        <v>979</v>
      </c>
      <c r="I2" s="1386" t="s">
        <v>980</v>
      </c>
    </row>
    <row r="3" spans="1:9">
      <c r="A3" s="3043"/>
      <c r="B3" s="3044" t="s">
        <v>981</v>
      </c>
      <c r="C3" s="3044"/>
      <c r="D3" s="1387"/>
      <c r="E3" s="1385"/>
      <c r="F3" s="1388"/>
      <c r="G3" s="1388"/>
      <c r="H3" s="1389"/>
      <c r="I3" s="1390">
        <f>ROUND(D3*E3*F3*G3*H3/10000,0)</f>
        <v>0</v>
      </c>
    </row>
    <row r="4" spans="1:9">
      <c r="A4" s="3043"/>
      <c r="B4" s="3044" t="s">
        <v>982</v>
      </c>
      <c r="C4" s="3044"/>
      <c r="D4" s="1387"/>
      <c r="E4" s="1385"/>
      <c r="F4" s="1388"/>
      <c r="G4" s="1388"/>
      <c r="H4" s="1389"/>
      <c r="I4" s="1390">
        <f t="shared" ref="I4:I9" si="0">ROUND(D4*E4*F4*G4*H4/10000,0)</f>
        <v>0</v>
      </c>
    </row>
    <row r="5" spans="1:9">
      <c r="A5" s="3043"/>
      <c r="B5" s="3044" t="s">
        <v>983</v>
      </c>
      <c r="C5" s="3044"/>
      <c r="D5" s="1387"/>
      <c r="E5" s="1385"/>
      <c r="F5" s="1388"/>
      <c r="G5" s="1388"/>
      <c r="H5" s="1389"/>
      <c r="I5" s="1390">
        <f t="shared" si="0"/>
        <v>0</v>
      </c>
    </row>
    <row r="6" spans="1:9">
      <c r="A6" s="3043"/>
      <c r="B6" s="3044" t="s">
        <v>984</v>
      </c>
      <c r="C6" s="3044"/>
      <c r="D6" s="1387"/>
      <c r="E6" s="1385"/>
      <c r="F6" s="1388"/>
      <c r="G6" s="1388"/>
      <c r="H6" s="1389"/>
      <c r="I6" s="1390">
        <f t="shared" si="0"/>
        <v>0</v>
      </c>
    </row>
    <row r="7" spans="1:9">
      <c r="A7" s="3043"/>
      <c r="B7" s="3044" t="s">
        <v>985</v>
      </c>
      <c r="C7" s="3044"/>
      <c r="D7" s="1387"/>
      <c r="E7" s="1385"/>
      <c r="F7" s="1388"/>
      <c r="G7" s="1388"/>
      <c r="H7" s="1389"/>
      <c r="I7" s="1390">
        <f t="shared" si="0"/>
        <v>0</v>
      </c>
    </row>
    <row r="8" spans="1:9">
      <c r="A8" s="3043"/>
      <c r="B8" s="3044" t="s">
        <v>986</v>
      </c>
      <c r="C8" s="3044"/>
      <c r="D8" s="1387"/>
      <c r="E8" s="1385"/>
      <c r="F8" s="1388"/>
      <c r="G8" s="1388"/>
      <c r="H8" s="1389"/>
      <c r="I8" s="1390">
        <f t="shared" si="0"/>
        <v>0</v>
      </c>
    </row>
    <row r="9" spans="1:9">
      <c r="A9" s="3043"/>
      <c r="B9" s="3044" t="s">
        <v>987</v>
      </c>
      <c r="C9" s="3044"/>
      <c r="D9" s="1387"/>
      <c r="E9" s="1385"/>
      <c r="F9" s="1388"/>
      <c r="G9" s="1388"/>
      <c r="H9" s="1389"/>
      <c r="I9" s="1390">
        <f t="shared" si="0"/>
        <v>0</v>
      </c>
    </row>
    <row r="10" spans="1:9">
      <c r="A10" s="3043"/>
      <c r="B10" s="3045" t="s">
        <v>988</v>
      </c>
      <c r="C10" s="3045"/>
      <c r="D10" s="1391">
        <v>527</v>
      </c>
      <c r="E10" s="1391" t="e">
        <f>ROUND(D1*10000/D10/H9,0)</f>
        <v>#DIV/0!</v>
      </c>
      <c r="F10" s="1392"/>
      <c r="G10" s="1392"/>
      <c r="H10" s="1393"/>
      <c r="I10" s="1394">
        <f>SUM(I3:I9)</f>
        <v>0</v>
      </c>
    </row>
    <row r="11" spans="1:9" ht="14.25">
      <c r="A11" s="3043" t="s">
        <v>1026</v>
      </c>
      <c r="B11" s="3044" t="s">
        <v>989</v>
      </c>
      <c r="C11" s="3044"/>
      <c r="D11" s="1387" t="s">
        <v>990</v>
      </c>
      <c r="E11" s="1387" t="s">
        <v>991</v>
      </c>
      <c r="F11" s="1388" t="s">
        <v>992</v>
      </c>
      <c r="G11" s="1388" t="s">
        <v>979</v>
      </c>
      <c r="H11" s="1395" t="s">
        <v>993</v>
      </c>
      <c r="I11" s="1386" t="s">
        <v>980</v>
      </c>
    </row>
    <row r="12" spans="1:9">
      <c r="A12" s="3043"/>
      <c r="B12" s="3044" t="s">
        <v>994</v>
      </c>
      <c r="C12" s="3044"/>
      <c r="D12" s="1387"/>
      <c r="E12" s="1387"/>
      <c r="F12" s="1388"/>
      <c r="G12" s="1389"/>
      <c r="H12" s="1396"/>
      <c r="I12" s="1386">
        <f>ROUND(D12*E12*F12*G12/10000,0)</f>
        <v>0</v>
      </c>
    </row>
    <row r="13" spans="1:9">
      <c r="A13" s="3043"/>
      <c r="B13" s="3044" t="s">
        <v>995</v>
      </c>
      <c r="C13" s="3044"/>
      <c r="D13" s="1387"/>
      <c r="E13" s="1387"/>
      <c r="F13" s="1388"/>
      <c r="G13" s="1389"/>
      <c r="H13" s="1396"/>
      <c r="I13" s="1386">
        <f>ROUND(D13*E13*F13*G13/10000,0)</f>
        <v>0</v>
      </c>
    </row>
    <row r="14" spans="1:9">
      <c r="A14" s="3043"/>
      <c r="B14" s="3044" t="s">
        <v>996</v>
      </c>
      <c r="C14" s="3044"/>
      <c r="D14" s="1387"/>
      <c r="E14" s="1387"/>
      <c r="F14" s="1388"/>
      <c r="G14" s="1389"/>
      <c r="H14" s="1396"/>
      <c r="I14" s="1386">
        <f>ROUND(D14*E14*F14*G14/10000,0)</f>
        <v>0</v>
      </c>
    </row>
    <row r="15" spans="1:9">
      <c r="A15" s="3043"/>
      <c r="B15" s="3045" t="s">
        <v>988</v>
      </c>
      <c r="C15" s="3045"/>
      <c r="D15" s="1391"/>
      <c r="E15" s="1391">
        <f>SUM(E12:E14)</f>
        <v>0</v>
      </c>
      <c r="F15" s="1392"/>
      <c r="G15" s="1389"/>
      <c r="H15" s="1396"/>
      <c r="I15" s="1397">
        <f>SUM(I12:I14)</f>
        <v>0</v>
      </c>
    </row>
    <row r="16" spans="1:9" ht="24">
      <c r="A16" s="3043" t="s">
        <v>1027</v>
      </c>
      <c r="B16" s="3044" t="s">
        <v>997</v>
      </c>
      <c r="C16" s="3044"/>
      <c r="D16" s="1387" t="s">
        <v>975</v>
      </c>
      <c r="E16" s="1398" t="s">
        <v>998</v>
      </c>
      <c r="F16" s="1388" t="s">
        <v>999</v>
      </c>
      <c r="G16" s="1389" t="s">
        <v>979</v>
      </c>
      <c r="H16" s="1395" t="s">
        <v>993</v>
      </c>
      <c r="I16" s="1386" t="s">
        <v>980</v>
      </c>
    </row>
    <row r="17" spans="1:9" ht="14.25">
      <c r="A17" s="3043"/>
      <c r="B17" s="3044" t="s">
        <v>1000</v>
      </c>
      <c r="C17" s="3044"/>
      <c r="D17" s="1387"/>
      <c r="E17" s="1387"/>
      <c r="F17" s="1388"/>
      <c r="G17" s="1389"/>
      <c r="H17" s="1399"/>
      <c r="I17" s="1400">
        <f>ROUND(D17*E17*F17*G17/10000,0)</f>
        <v>0</v>
      </c>
    </row>
    <row r="18" spans="1:9" ht="14.25">
      <c r="A18" s="3043"/>
      <c r="B18" s="3044" t="s">
        <v>1001</v>
      </c>
      <c r="C18" s="3044"/>
      <c r="D18" s="1387"/>
      <c r="E18" s="1387"/>
      <c r="F18" s="1388"/>
      <c r="G18" s="1389"/>
      <c r="H18" s="1399"/>
      <c r="I18" s="1400">
        <f>ROUND(D18*E18*F18*G18/10000,0)</f>
        <v>0</v>
      </c>
    </row>
    <row r="19" spans="1:9" ht="14.25">
      <c r="A19" s="3043"/>
      <c r="B19" s="3044" t="s">
        <v>1002</v>
      </c>
      <c r="C19" s="3044"/>
      <c r="D19" s="1387"/>
      <c r="E19" s="1387"/>
      <c r="F19" s="1388"/>
      <c r="G19" s="1389"/>
      <c r="H19" s="1399"/>
      <c r="I19" s="1400">
        <f>ROUND(D19*E19*F19*G19/10000,0)</f>
        <v>0</v>
      </c>
    </row>
    <row r="20" spans="1:9">
      <c r="A20" s="3043"/>
      <c r="B20" s="3045" t="s">
        <v>988</v>
      </c>
      <c r="C20" s="3045"/>
      <c r="D20" s="1391">
        <f>SUM(D17:D19)</f>
        <v>0</v>
      </c>
      <c r="E20" s="1391"/>
      <c r="F20" s="1392"/>
      <c r="G20" s="1389"/>
      <c r="H20" s="1396"/>
      <c r="I20" s="1397">
        <f>SUM(I17:I19)</f>
        <v>0</v>
      </c>
    </row>
    <row r="21" spans="1:9">
      <c r="A21" s="3043" t="s">
        <v>1028</v>
      </c>
      <c r="B21" s="3046"/>
      <c r="C21" s="3046"/>
      <c r="D21" s="3046"/>
      <c r="E21" s="3046"/>
      <c r="F21" s="3046"/>
      <c r="G21" s="3046"/>
      <c r="H21" s="1401">
        <v>0.1</v>
      </c>
      <c r="I21" s="1394">
        <f>ROUND(I10*H21,0)</f>
        <v>0</v>
      </c>
    </row>
    <row r="22" spans="1:9" ht="14.25">
      <c r="A22" s="3047" t="s">
        <v>1029</v>
      </c>
      <c r="B22" s="3048"/>
      <c r="C22" s="3049"/>
      <c r="D22" s="1402" t="s">
        <v>1003</v>
      </c>
      <c r="E22" s="1402" t="s">
        <v>1004</v>
      </c>
      <c r="F22" s="1403" t="s">
        <v>979</v>
      </c>
      <c r="G22" s="1403" t="s">
        <v>1005</v>
      </c>
      <c r="H22" s="1395" t="s">
        <v>993</v>
      </c>
      <c r="I22" s="1386" t="s">
        <v>980</v>
      </c>
    </row>
    <row r="23" spans="1:9" ht="14.25" thickBot="1">
      <c r="A23" s="3050"/>
      <c r="B23" s="3051"/>
      <c r="C23" s="3052"/>
      <c r="D23" s="1404"/>
      <c r="E23" s="1404"/>
      <c r="F23" s="1404"/>
      <c r="G23" s="1405"/>
      <c r="H23" s="1406"/>
      <c r="I23" s="1407">
        <f>ROUND(E23*D23*F23*(1-G23)/10000,0)</f>
        <v>0</v>
      </c>
    </row>
    <row r="26" spans="1:9">
      <c r="A26" s="1408" t="s">
        <v>1006</v>
      </c>
      <c r="B26" s="1408"/>
      <c r="C26" s="1408"/>
      <c r="D26" s="1408"/>
      <c r="E26" s="3040">
        <f>C27-C30-C31-C32</f>
        <v>0</v>
      </c>
      <c r="F26" s="3040"/>
      <c r="G26" s="3040"/>
      <c r="H26" s="1825" t="s">
        <v>1219</v>
      </c>
    </row>
    <row r="27" spans="1:9">
      <c r="A27" s="1409">
        <v>1</v>
      </c>
      <c r="B27" s="1410" t="s">
        <v>1007</v>
      </c>
      <c r="C27" s="1410">
        <f>C28+C29</f>
        <v>0</v>
      </c>
      <c r="D27" s="1410"/>
      <c r="E27" s="3041"/>
      <c r="F27" s="3041"/>
      <c r="G27" s="3041"/>
    </row>
    <row r="28" spans="1:9">
      <c r="A28" s="1411" t="s">
        <v>1008</v>
      </c>
      <c r="B28" s="1410" t="s">
        <v>1009</v>
      </c>
      <c r="C28" s="1410"/>
      <c r="D28" s="1410"/>
      <c r="E28" s="3041"/>
      <c r="F28" s="3041"/>
      <c r="G28" s="3041"/>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42"/>
      <c r="F32" s="3042"/>
      <c r="G32" s="3042"/>
    </row>
    <row r="33" spans="1:7" hidden="1">
      <c r="A33" s="3037" t="s">
        <v>1018</v>
      </c>
      <c r="B33" s="3038"/>
      <c r="C33" s="3038"/>
      <c r="D33" s="3039"/>
      <c r="E33" s="3040"/>
      <c r="F33" s="3040"/>
      <c r="G33" s="3040"/>
    </row>
    <row r="34" spans="1:7" hidden="1">
      <c r="A34" s="1413">
        <v>1</v>
      </c>
      <c r="B34" s="1410" t="s">
        <v>1019</v>
      </c>
      <c r="C34" s="1410"/>
      <c r="D34" s="1410"/>
      <c r="E34" s="3041"/>
      <c r="F34" s="3041"/>
      <c r="G34" s="3041"/>
    </row>
    <row r="35" spans="1:7" hidden="1">
      <c r="A35" s="1413">
        <v>2</v>
      </c>
      <c r="B35" s="1410" t="s">
        <v>1020</v>
      </c>
      <c r="C35" s="1410"/>
      <c r="D35" s="1410"/>
      <c r="E35" s="3041"/>
      <c r="F35" s="3041"/>
      <c r="G35" s="3041"/>
    </row>
    <row r="36" spans="1:7" hidden="1">
      <c r="A36" s="1413">
        <v>3</v>
      </c>
      <c r="B36" s="1410" t="s">
        <v>1021</v>
      </c>
      <c r="C36" s="1410"/>
      <c r="D36" s="1410"/>
      <c r="E36" s="3041"/>
      <c r="F36" s="3041"/>
      <c r="G36" s="3041"/>
    </row>
    <row r="37" spans="1:7" hidden="1">
      <c r="A37" s="1413">
        <v>4</v>
      </c>
      <c r="B37" s="1410" t="s">
        <v>1022</v>
      </c>
      <c r="C37" s="1410"/>
      <c r="D37" s="1410"/>
      <c r="E37" s="3041"/>
      <c r="F37" s="3041"/>
      <c r="G37" s="3041"/>
    </row>
    <row r="38" spans="1:7" hidden="1">
      <c r="A38" s="3037" t="s">
        <v>1023</v>
      </c>
      <c r="B38" s="3038"/>
      <c r="C38" s="3038"/>
      <c r="D38" s="3039"/>
      <c r="E38" s="3040"/>
      <c r="F38" s="3040"/>
      <c r="G38" s="30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61" t="s">
        <v>2301</v>
      </c>
      <c r="D4" s="3062"/>
      <c r="E4" s="3062"/>
      <c r="F4" s="3062"/>
      <c r="G4" s="3062"/>
      <c r="H4" s="3062"/>
      <c r="I4" s="3062"/>
      <c r="J4" s="3062"/>
      <c r="K4" s="3062"/>
      <c r="L4" s="3062"/>
      <c r="M4" s="3062"/>
      <c r="N4" s="3062"/>
      <c r="O4" s="3062"/>
      <c r="P4" s="3062"/>
      <c r="Q4" s="3062"/>
      <c r="R4" s="3062"/>
      <c r="S4" s="3063"/>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58" t="s">
        <v>45</v>
      </c>
      <c r="D25" s="3059"/>
      <c r="E25" s="3059"/>
      <c r="F25" s="3059"/>
      <c r="G25" s="3059"/>
      <c r="H25" s="3059"/>
      <c r="I25" s="3059"/>
      <c r="J25" s="3059"/>
      <c r="K25" s="3059"/>
      <c r="L25" s="3059"/>
      <c r="M25" s="3059"/>
      <c r="N25" s="3059"/>
      <c r="O25" s="3059"/>
      <c r="P25" s="3059"/>
      <c r="Q25" s="306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3006" t="s">
        <v>2335</v>
      </c>
      <c r="D4" s="3007"/>
      <c r="E4" s="3008" t="s">
        <v>2336</v>
      </c>
      <c r="F4" s="3009"/>
      <c r="G4" s="3006" t="s">
        <v>2337</v>
      </c>
      <c r="H4" s="3007"/>
      <c r="I4" s="3006" t="s">
        <v>2338</v>
      </c>
      <c r="J4" s="3007"/>
      <c r="K4" s="2390"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03" t="s">
        <v>2337</v>
      </c>
      <c r="AC4" s="3003" t="s">
        <v>2338</v>
      </c>
    </row>
    <row r="5" spans="1:29" ht="15">
      <c r="A5" s="383"/>
      <c r="B5" s="384"/>
      <c r="C5" s="3021" t="s">
        <v>2341</v>
      </c>
      <c r="D5" s="3018"/>
      <c r="E5" s="3015" t="s">
        <v>2342</v>
      </c>
      <c r="F5" s="3016"/>
      <c r="G5" s="3021" t="s">
        <v>2343</v>
      </c>
      <c r="H5" s="3018"/>
      <c r="I5" s="3021" t="s">
        <v>2344</v>
      </c>
      <c r="J5" s="3018"/>
      <c r="K5" s="2391"/>
      <c r="L5" s="1240"/>
      <c r="M5" s="1241"/>
      <c r="N5" s="1241"/>
      <c r="O5" s="1241"/>
      <c r="P5" s="303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2391" t="s">
        <v>2346</v>
      </c>
      <c r="L6" s="1240"/>
      <c r="M6" s="1241"/>
      <c r="N6" s="1241"/>
      <c r="O6" s="1241"/>
      <c r="P6" s="303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2990" t="s">
        <v>2348</v>
      </c>
      <c r="Q7" s="2998"/>
      <c r="R7" s="747" t="s">
        <v>34</v>
      </c>
      <c r="S7" s="748">
        <f t="shared" ref="S7:S15" si="0">F7</f>
        <v>0</v>
      </c>
      <c r="T7" s="747" t="s">
        <v>34</v>
      </c>
      <c r="U7" s="748">
        <f t="shared" ref="U7:U15" si="1">H7</f>
        <v>0</v>
      </c>
      <c r="V7" s="747" t="s">
        <v>34</v>
      </c>
      <c r="W7" s="748">
        <f t="shared" ref="W7:W15" si="2">J7</f>
        <v>0</v>
      </c>
      <c r="X7" s="749"/>
      <c r="Y7" s="2990" t="s">
        <v>2348</v>
      </c>
      <c r="Z7" s="2991"/>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2990" t="s">
        <v>2351</v>
      </c>
      <c r="Q8" s="2991"/>
      <c r="R8" s="747" t="s">
        <v>34</v>
      </c>
      <c r="S8" s="748">
        <f t="shared" si="0"/>
        <v>0</v>
      </c>
      <c r="T8" s="747" t="s">
        <v>34</v>
      </c>
      <c r="U8" s="748">
        <f t="shared" si="1"/>
        <v>0</v>
      </c>
      <c r="V8" s="747" t="s">
        <v>34</v>
      </c>
      <c r="W8" s="748">
        <f t="shared" si="2"/>
        <v>0</v>
      </c>
      <c r="X8" s="749"/>
      <c r="Y8" s="2990" t="s">
        <v>2351</v>
      </c>
      <c r="Z8" s="2991"/>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34"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34"/>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34"/>
      <c r="Q11" s="1883" t="str">
        <f t="shared" si="6"/>
        <v>容积率</v>
      </c>
      <c r="R11" s="747" t="s">
        <v>28</v>
      </c>
      <c r="S11" s="748" t="e">
        <f t="shared" si="0"/>
        <v>#N/A</v>
      </c>
      <c r="T11" s="747" t="s">
        <v>28</v>
      </c>
      <c r="U11" s="748" t="e">
        <f t="shared" si="1"/>
        <v>#N/A</v>
      </c>
      <c r="V11" s="747" t="s">
        <v>28</v>
      </c>
      <c r="W11" s="748" t="e">
        <f t="shared" si="2"/>
        <v>#N/A</v>
      </c>
      <c r="X11" s="749"/>
      <c r="Y11" s="2841"/>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34"/>
      <c r="Q12" s="1883">
        <f t="shared" si="6"/>
        <v>111</v>
      </c>
      <c r="R12" s="747" t="s">
        <v>28</v>
      </c>
      <c r="S12" s="748">
        <f t="shared" si="0"/>
        <v>100</v>
      </c>
      <c r="T12" s="747" t="s">
        <v>28</v>
      </c>
      <c r="U12" s="748">
        <f t="shared" si="1"/>
        <v>100</v>
      </c>
      <c r="V12" s="747" t="s">
        <v>28</v>
      </c>
      <c r="W12" s="748">
        <f t="shared" si="2"/>
        <v>100</v>
      </c>
      <c r="X12" s="749"/>
      <c r="Y12" s="2841"/>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34"/>
      <c r="Q13" s="1883">
        <f t="shared" si="6"/>
        <v>111</v>
      </c>
      <c r="R13" s="747" t="s">
        <v>28</v>
      </c>
      <c r="S13" s="748">
        <f t="shared" si="0"/>
        <v>100</v>
      </c>
      <c r="T13" s="747" t="s">
        <v>28</v>
      </c>
      <c r="U13" s="748">
        <f t="shared" si="1"/>
        <v>100</v>
      </c>
      <c r="V13" s="747" t="s">
        <v>28</v>
      </c>
      <c r="W13" s="748">
        <f t="shared" si="2"/>
        <v>100</v>
      </c>
      <c r="X13" s="749"/>
      <c r="Y13" s="2841"/>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34"/>
      <c r="Q14" s="1883">
        <f t="shared" si="6"/>
        <v>111</v>
      </c>
      <c r="R14" s="747" t="s">
        <v>28</v>
      </c>
      <c r="S14" s="748">
        <f t="shared" si="0"/>
        <v>100</v>
      </c>
      <c r="T14" s="747" t="s">
        <v>28</v>
      </c>
      <c r="U14" s="748">
        <f t="shared" si="1"/>
        <v>100</v>
      </c>
      <c r="V14" s="747" t="s">
        <v>28</v>
      </c>
      <c r="W14" s="748">
        <f t="shared" si="2"/>
        <v>100</v>
      </c>
      <c r="X14" s="749"/>
      <c r="Y14" s="2841"/>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28" t="s">
        <v>2359</v>
      </c>
      <c r="Q15" s="1895" t="str">
        <f t="shared" si="6"/>
        <v>居住社区成熟度</v>
      </c>
      <c r="R15" s="751" t="s">
        <v>28</v>
      </c>
      <c r="S15" s="752">
        <f t="shared" si="0"/>
        <v>100</v>
      </c>
      <c r="T15" s="751" t="s">
        <v>28</v>
      </c>
      <c r="U15" s="752">
        <f t="shared" si="1"/>
        <v>100</v>
      </c>
      <c r="V15" s="751" t="s">
        <v>28</v>
      </c>
      <c r="W15" s="752">
        <f t="shared" si="2"/>
        <v>100</v>
      </c>
      <c r="X15" s="1896"/>
      <c r="Y15" s="3001"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29"/>
      <c r="Q16" s="1895"/>
      <c r="R16" s="751"/>
      <c r="S16" s="752"/>
      <c r="T16" s="751"/>
      <c r="U16" s="752"/>
      <c r="V16" s="751"/>
      <c r="W16" s="752"/>
      <c r="X16" s="1896"/>
      <c r="Y16" s="3002"/>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29"/>
      <c r="Q17" s="1895" t="str">
        <f>B17</f>
        <v>交通便捷度</v>
      </c>
      <c r="R17" s="751" t="s">
        <v>28</v>
      </c>
      <c r="S17" s="752">
        <f>F17</f>
        <v>100</v>
      </c>
      <c r="T17" s="751" t="s">
        <v>28</v>
      </c>
      <c r="U17" s="752">
        <f>H17</f>
        <v>100</v>
      </c>
      <c r="V17" s="751" t="s">
        <v>28</v>
      </c>
      <c r="W17" s="752">
        <f>J17</f>
        <v>100</v>
      </c>
      <c r="X17" s="1896"/>
      <c r="Y17" s="3002"/>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29"/>
      <c r="Q18" s="1895"/>
      <c r="R18" s="751"/>
      <c r="S18" s="752"/>
      <c r="T18" s="751"/>
      <c r="U18" s="752"/>
      <c r="V18" s="751"/>
      <c r="W18" s="752"/>
      <c r="X18" s="1896"/>
      <c r="Y18" s="3002"/>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29"/>
      <c r="Q19" s="1895" t="str">
        <f>B19</f>
        <v>公共配套设施</v>
      </c>
      <c r="R19" s="751" t="s">
        <v>28</v>
      </c>
      <c r="S19" s="752">
        <f>F19</f>
        <v>100</v>
      </c>
      <c r="T19" s="751" t="s">
        <v>28</v>
      </c>
      <c r="U19" s="752">
        <f>H19</f>
        <v>100</v>
      </c>
      <c r="V19" s="751" t="s">
        <v>28</v>
      </c>
      <c r="W19" s="752">
        <f>J19</f>
        <v>100</v>
      </c>
      <c r="X19" s="1896"/>
      <c r="Y19" s="3002"/>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29"/>
      <c r="Q20" s="1895"/>
      <c r="R20" s="751"/>
      <c r="S20" s="752"/>
      <c r="T20" s="751"/>
      <c r="U20" s="752"/>
      <c r="V20" s="751"/>
      <c r="W20" s="752"/>
      <c r="X20" s="1896"/>
      <c r="Y20" s="3002"/>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29"/>
      <c r="Q21" s="1895" t="str">
        <f>B21</f>
        <v>基础设施水平</v>
      </c>
      <c r="R21" s="751" t="s">
        <v>28</v>
      </c>
      <c r="S21" s="752">
        <f>F21</f>
        <v>100</v>
      </c>
      <c r="T21" s="751" t="s">
        <v>28</v>
      </c>
      <c r="U21" s="752">
        <f>H21</f>
        <v>100</v>
      </c>
      <c r="V21" s="751" t="s">
        <v>28</v>
      </c>
      <c r="W21" s="752">
        <f>J21</f>
        <v>100</v>
      </c>
      <c r="X21" s="1896"/>
      <c r="Y21" s="3002"/>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29"/>
      <c r="Q22" s="1895"/>
      <c r="R22" s="751"/>
      <c r="S22" s="752"/>
      <c r="T22" s="751"/>
      <c r="U22" s="752"/>
      <c r="V22" s="751"/>
      <c r="W22" s="752"/>
      <c r="X22" s="1896"/>
      <c r="Y22" s="3002"/>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29"/>
      <c r="Q23" s="1895" t="str">
        <f>B23</f>
        <v>自然及人文环境</v>
      </c>
      <c r="R23" s="751" t="s">
        <v>28</v>
      </c>
      <c r="S23" s="752">
        <f>F23</f>
        <v>100</v>
      </c>
      <c r="T23" s="751" t="s">
        <v>28</v>
      </c>
      <c r="U23" s="752">
        <f>H23</f>
        <v>100</v>
      </c>
      <c r="V23" s="751" t="s">
        <v>28</v>
      </c>
      <c r="W23" s="752">
        <f>J23</f>
        <v>100</v>
      </c>
      <c r="X23" s="1896"/>
      <c r="Y23" s="3002"/>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29"/>
      <c r="Q24" s="1895"/>
      <c r="R24" s="751"/>
      <c r="S24" s="752"/>
      <c r="T24" s="751"/>
      <c r="U24" s="752"/>
      <c r="V24" s="751"/>
      <c r="W24" s="752"/>
      <c r="X24" s="1896"/>
      <c r="Y24" s="3002"/>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29"/>
      <c r="Q25" s="1895" t="str">
        <f t="shared" ref="Q25:Q46" si="11">B25</f>
        <v>楼层-1</v>
      </c>
      <c r="R25" s="751" t="s">
        <v>28</v>
      </c>
      <c r="S25" s="752">
        <f>F25</f>
        <v>100</v>
      </c>
      <c r="T25" s="751" t="s">
        <v>28</v>
      </c>
      <c r="U25" s="752">
        <f>H25</f>
        <v>100</v>
      </c>
      <c r="V25" s="751" t="s">
        <v>28</v>
      </c>
      <c r="W25" s="752">
        <f>J25</f>
        <v>100</v>
      </c>
      <c r="X25" s="1896"/>
      <c r="Y25" s="3002"/>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29"/>
      <c r="Q26" s="1895" t="str">
        <f t="shared" si="11"/>
        <v>朝向</v>
      </c>
      <c r="R26" s="751" t="s">
        <v>28</v>
      </c>
      <c r="S26" s="752">
        <f>F26</f>
        <v>100</v>
      </c>
      <c r="T26" s="751" t="s">
        <v>28</v>
      </c>
      <c r="U26" s="752">
        <f>H26</f>
        <v>100</v>
      </c>
      <c r="V26" s="751" t="s">
        <v>28</v>
      </c>
      <c r="W26" s="752">
        <f>J26</f>
        <v>100</v>
      </c>
      <c r="X26" s="1896"/>
      <c r="Y26" s="3002"/>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29"/>
      <c r="Q27" s="1883" t="str">
        <f t="shared" si="11"/>
        <v>道路级别</v>
      </c>
      <c r="R27" s="747" t="s">
        <v>28</v>
      </c>
      <c r="S27" s="748">
        <f>F27</f>
        <v>100</v>
      </c>
      <c r="T27" s="747" t="s">
        <v>28</v>
      </c>
      <c r="U27" s="748">
        <f>H27</f>
        <v>100</v>
      </c>
      <c r="V27" s="747" t="s">
        <v>28</v>
      </c>
      <c r="W27" s="748">
        <f>J27</f>
        <v>100</v>
      </c>
      <c r="X27" s="749"/>
      <c r="Y27" s="3002"/>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29"/>
      <c r="Q28" s="1895">
        <f t="shared" si="11"/>
        <v>111</v>
      </c>
      <c r="R28" s="751" t="s">
        <v>28</v>
      </c>
      <c r="S28" s="752">
        <f t="shared" ref="S28:S46" si="12">F28</f>
        <v>100</v>
      </c>
      <c r="T28" s="751" t="s">
        <v>28</v>
      </c>
      <c r="U28" s="752">
        <f t="shared" ref="U28:U46" si="13">H28</f>
        <v>100</v>
      </c>
      <c r="V28" s="751" t="s">
        <v>28</v>
      </c>
      <c r="W28" s="752">
        <f t="shared" ref="W28:W46" si="14">J28</f>
        <v>100</v>
      </c>
      <c r="X28" s="1896"/>
      <c r="Y28" s="3002"/>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29"/>
      <c r="Q29" s="1895">
        <f t="shared" si="11"/>
        <v>111</v>
      </c>
      <c r="R29" s="751" t="s">
        <v>28</v>
      </c>
      <c r="S29" s="752">
        <f t="shared" si="12"/>
        <v>100</v>
      </c>
      <c r="T29" s="751" t="s">
        <v>28</v>
      </c>
      <c r="U29" s="752">
        <f t="shared" si="13"/>
        <v>100</v>
      </c>
      <c r="V29" s="751" t="s">
        <v>28</v>
      </c>
      <c r="W29" s="752">
        <f t="shared" si="14"/>
        <v>100</v>
      </c>
      <c r="X29" s="1896"/>
      <c r="Y29" s="3002"/>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29"/>
      <c r="Q30" s="1895">
        <f t="shared" si="11"/>
        <v>111</v>
      </c>
      <c r="R30" s="751" t="s">
        <v>28</v>
      </c>
      <c r="S30" s="752">
        <f t="shared" si="12"/>
        <v>100</v>
      </c>
      <c r="T30" s="751" t="s">
        <v>28</v>
      </c>
      <c r="U30" s="752">
        <f t="shared" si="13"/>
        <v>100</v>
      </c>
      <c r="V30" s="751" t="s">
        <v>28</v>
      </c>
      <c r="W30" s="752">
        <f t="shared" si="14"/>
        <v>100</v>
      </c>
      <c r="X30" s="1896"/>
      <c r="Y30" s="3002"/>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29"/>
      <c r="Q31" s="1895">
        <f t="shared" si="11"/>
        <v>111</v>
      </c>
      <c r="R31" s="751" t="s">
        <v>28</v>
      </c>
      <c r="S31" s="752">
        <f t="shared" si="12"/>
        <v>100</v>
      </c>
      <c r="T31" s="751" t="s">
        <v>28</v>
      </c>
      <c r="U31" s="752">
        <f t="shared" si="13"/>
        <v>100</v>
      </c>
      <c r="V31" s="751" t="s">
        <v>28</v>
      </c>
      <c r="W31" s="752">
        <f t="shared" si="14"/>
        <v>100</v>
      </c>
      <c r="X31" s="1896"/>
      <c r="Y31" s="3002"/>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25" t="s">
        <v>2365</v>
      </c>
      <c r="Q32" s="1895" t="str">
        <f t="shared" si="11"/>
        <v>建筑类型</v>
      </c>
      <c r="R32" s="751" t="s">
        <v>28</v>
      </c>
      <c r="S32" s="752">
        <f t="shared" si="12"/>
        <v>100</v>
      </c>
      <c r="T32" s="751" t="s">
        <v>28</v>
      </c>
      <c r="U32" s="752">
        <f t="shared" si="13"/>
        <v>100</v>
      </c>
      <c r="V32" s="751" t="s">
        <v>28</v>
      </c>
      <c r="W32" s="752">
        <f t="shared" si="14"/>
        <v>100</v>
      </c>
      <c r="X32" s="1896"/>
      <c r="Y32" s="2988"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26"/>
      <c r="Q33" s="753" t="str">
        <f t="shared" si="11"/>
        <v>项目建筑规模</v>
      </c>
      <c r="R33" s="754" t="s">
        <v>28</v>
      </c>
      <c r="S33" s="755" t="e">
        <f t="shared" si="12"/>
        <v>#N/A</v>
      </c>
      <c r="T33" s="754" t="s">
        <v>28</v>
      </c>
      <c r="U33" s="755" t="e">
        <f t="shared" si="13"/>
        <v>#N/A</v>
      </c>
      <c r="V33" s="754" t="s">
        <v>28</v>
      </c>
      <c r="W33" s="755" t="e">
        <f t="shared" si="14"/>
        <v>#N/A</v>
      </c>
      <c r="X33" s="756"/>
      <c r="Y33" s="2988"/>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26"/>
      <c r="Q34" s="1895" t="str">
        <f t="shared" si="11"/>
        <v>建筑结构</v>
      </c>
      <c r="R34" s="751" t="s">
        <v>28</v>
      </c>
      <c r="S34" s="752">
        <f t="shared" si="12"/>
        <v>100</v>
      </c>
      <c r="T34" s="751" t="s">
        <v>28</v>
      </c>
      <c r="U34" s="752">
        <f t="shared" si="13"/>
        <v>100</v>
      </c>
      <c r="V34" s="751" t="s">
        <v>28</v>
      </c>
      <c r="W34" s="752">
        <f t="shared" si="14"/>
        <v>100</v>
      </c>
      <c r="X34" s="1896"/>
      <c r="Y34" s="2988"/>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26"/>
      <c r="Q35" s="1895" t="str">
        <f t="shared" si="11"/>
        <v>建筑品质</v>
      </c>
      <c r="R35" s="751" t="s">
        <v>28</v>
      </c>
      <c r="S35" s="752">
        <f t="shared" si="12"/>
        <v>100</v>
      </c>
      <c r="T35" s="751" t="s">
        <v>28</v>
      </c>
      <c r="U35" s="752">
        <f t="shared" si="13"/>
        <v>100</v>
      </c>
      <c r="V35" s="751" t="s">
        <v>28</v>
      </c>
      <c r="W35" s="752">
        <f t="shared" si="14"/>
        <v>100</v>
      </c>
      <c r="X35" s="1896"/>
      <c r="Y35" s="2988"/>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26"/>
      <c r="Q36" s="1895" t="str">
        <f t="shared" si="11"/>
        <v>公共部分装修</v>
      </c>
      <c r="R36" s="751" t="s">
        <v>28</v>
      </c>
      <c r="S36" s="752">
        <f t="shared" si="12"/>
        <v>100</v>
      </c>
      <c r="T36" s="751" t="s">
        <v>28</v>
      </c>
      <c r="U36" s="752">
        <f t="shared" si="13"/>
        <v>100</v>
      </c>
      <c r="V36" s="751" t="s">
        <v>28</v>
      </c>
      <c r="W36" s="752">
        <f t="shared" si="14"/>
        <v>100</v>
      </c>
      <c r="X36" s="1896"/>
      <c r="Y36" s="2988"/>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26"/>
      <c r="Q37" s="1883" t="str">
        <f t="shared" si="11"/>
        <v>成新度</v>
      </c>
      <c r="R37" s="747" t="s">
        <v>28</v>
      </c>
      <c r="S37" s="748" t="e">
        <f t="shared" si="12"/>
        <v>#N/A</v>
      </c>
      <c r="T37" s="747" t="s">
        <v>28</v>
      </c>
      <c r="U37" s="748" t="e">
        <f t="shared" si="13"/>
        <v>#N/A</v>
      </c>
      <c r="V37" s="747" t="s">
        <v>28</v>
      </c>
      <c r="W37" s="748" t="e">
        <f t="shared" si="14"/>
        <v>#N/A</v>
      </c>
      <c r="X37" s="749"/>
      <c r="Y37" s="2988"/>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26" t="s">
        <v>2365</v>
      </c>
      <c r="Q38" s="1895" t="str">
        <f t="shared" si="11"/>
        <v>物业管理</v>
      </c>
      <c r="R38" s="751" t="s">
        <v>28</v>
      </c>
      <c r="S38" s="752">
        <f t="shared" si="12"/>
        <v>100</v>
      </c>
      <c r="T38" s="751" t="s">
        <v>28</v>
      </c>
      <c r="U38" s="752">
        <f t="shared" si="13"/>
        <v>100</v>
      </c>
      <c r="V38" s="751" t="s">
        <v>28</v>
      </c>
      <c r="W38" s="752">
        <f t="shared" si="14"/>
        <v>100</v>
      </c>
      <c r="X38" s="1896"/>
      <c r="Y38" s="2988"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26"/>
      <c r="Q39" s="1895" t="str">
        <f t="shared" si="11"/>
        <v>市政基础设施</v>
      </c>
      <c r="R39" s="751" t="s">
        <v>28</v>
      </c>
      <c r="S39" s="752">
        <f t="shared" si="12"/>
        <v>100</v>
      </c>
      <c r="T39" s="751" t="s">
        <v>28</v>
      </c>
      <c r="U39" s="752">
        <f t="shared" si="13"/>
        <v>100</v>
      </c>
      <c r="V39" s="751" t="s">
        <v>28</v>
      </c>
      <c r="W39" s="752">
        <f t="shared" si="14"/>
        <v>100</v>
      </c>
      <c r="X39" s="1896"/>
      <c r="Y39" s="2988"/>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26"/>
      <c r="Q40" s="1895" t="str">
        <f t="shared" si="11"/>
        <v>房型</v>
      </c>
      <c r="R40" s="751" t="s">
        <v>28</v>
      </c>
      <c r="S40" s="752">
        <f t="shared" si="12"/>
        <v>100</v>
      </c>
      <c r="T40" s="751" t="s">
        <v>28</v>
      </c>
      <c r="U40" s="752">
        <f t="shared" si="13"/>
        <v>100</v>
      </c>
      <c r="V40" s="751" t="s">
        <v>28</v>
      </c>
      <c r="W40" s="752">
        <f t="shared" si="14"/>
        <v>100</v>
      </c>
      <c r="X40" s="1896"/>
      <c r="Y40" s="2988"/>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26"/>
      <c r="Q41" s="753" t="str">
        <f t="shared" si="11"/>
        <v>单套/主力户型建筑面积</v>
      </c>
      <c r="R41" s="754" t="s">
        <v>28</v>
      </c>
      <c r="S41" s="755">
        <f t="shared" si="12"/>
        <v>100</v>
      </c>
      <c r="T41" s="754" t="s">
        <v>28</v>
      </c>
      <c r="U41" s="755">
        <f t="shared" si="13"/>
        <v>100</v>
      </c>
      <c r="V41" s="754" t="s">
        <v>28</v>
      </c>
      <c r="W41" s="755">
        <f t="shared" si="14"/>
        <v>100</v>
      </c>
      <c r="X41" s="756"/>
      <c r="Y41" s="2988"/>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26"/>
      <c r="Q42" s="1895" t="str">
        <f t="shared" si="11"/>
        <v>内部装修</v>
      </c>
      <c r="R42" s="751" t="s">
        <v>28</v>
      </c>
      <c r="S42" s="752">
        <f t="shared" si="12"/>
        <v>100</v>
      </c>
      <c r="T42" s="751" t="s">
        <v>28</v>
      </c>
      <c r="U42" s="752">
        <f t="shared" si="13"/>
        <v>100</v>
      </c>
      <c r="V42" s="751" t="s">
        <v>28</v>
      </c>
      <c r="W42" s="752">
        <f t="shared" si="14"/>
        <v>100</v>
      </c>
      <c r="X42" s="1896"/>
      <c r="Y42" s="2988"/>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26"/>
      <c r="Q43" s="1895" t="str">
        <f t="shared" si="11"/>
        <v>内部装修维护情况</v>
      </c>
      <c r="R43" s="751" t="s">
        <v>28</v>
      </c>
      <c r="S43" s="752">
        <f t="shared" si="12"/>
        <v>100</v>
      </c>
      <c r="T43" s="751" t="s">
        <v>28</v>
      </c>
      <c r="U43" s="752">
        <f t="shared" si="13"/>
        <v>100</v>
      </c>
      <c r="V43" s="751" t="s">
        <v>28</v>
      </c>
      <c r="W43" s="752">
        <f t="shared" si="14"/>
        <v>100</v>
      </c>
      <c r="X43" s="1896"/>
      <c r="Y43" s="298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26"/>
      <c r="Q44" s="1883">
        <f t="shared" si="11"/>
        <v>111</v>
      </c>
      <c r="R44" s="747" t="s">
        <v>28</v>
      </c>
      <c r="S44" s="748">
        <f t="shared" si="12"/>
        <v>100</v>
      </c>
      <c r="T44" s="747" t="s">
        <v>28</v>
      </c>
      <c r="U44" s="748">
        <f t="shared" si="13"/>
        <v>100</v>
      </c>
      <c r="V44" s="747" t="s">
        <v>28</v>
      </c>
      <c r="W44" s="748">
        <f t="shared" si="14"/>
        <v>100</v>
      </c>
      <c r="X44" s="749"/>
      <c r="Y44" s="2988"/>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26"/>
      <c r="Q45" s="1895">
        <f t="shared" si="11"/>
        <v>111</v>
      </c>
      <c r="R45" s="751" t="s">
        <v>28</v>
      </c>
      <c r="S45" s="752">
        <f t="shared" si="12"/>
        <v>100</v>
      </c>
      <c r="T45" s="751" t="s">
        <v>28</v>
      </c>
      <c r="U45" s="752">
        <f t="shared" si="13"/>
        <v>100</v>
      </c>
      <c r="V45" s="751" t="s">
        <v>28</v>
      </c>
      <c r="W45" s="752">
        <f t="shared" si="14"/>
        <v>100</v>
      </c>
      <c r="X45" s="1896"/>
      <c r="Y45" s="2988"/>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27"/>
      <c r="Q46" s="1895">
        <f t="shared" si="11"/>
        <v>111</v>
      </c>
      <c r="R46" s="751" t="s">
        <v>27</v>
      </c>
      <c r="S46" s="752">
        <f t="shared" si="12"/>
        <v>100</v>
      </c>
      <c r="T46" s="751" t="s">
        <v>27</v>
      </c>
      <c r="U46" s="752">
        <f t="shared" si="13"/>
        <v>100</v>
      </c>
      <c r="V46" s="751" t="s">
        <v>27</v>
      </c>
      <c r="W46" s="752">
        <f t="shared" si="14"/>
        <v>100</v>
      </c>
      <c r="X46" s="1896"/>
      <c r="Y46" s="2989"/>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2981" t="str">
        <f>A47</f>
        <v>成交单价（元/平方米）</v>
      </c>
      <c r="Q47" s="2981"/>
      <c r="R47" s="2982">
        <f>E47</f>
        <v>0</v>
      </c>
      <c r="S47" s="2982"/>
      <c r="T47" s="2982">
        <f>G47</f>
        <v>0</v>
      </c>
      <c r="U47" s="2982"/>
      <c r="V47" s="2982">
        <f>I47</f>
        <v>0</v>
      </c>
      <c r="W47" s="2982"/>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2981" t="str">
        <f>A48</f>
        <v>比较价值（元/平方米）</v>
      </c>
      <c r="Q48" s="2981"/>
      <c r="R48" s="2982" t="e">
        <f>IF(E1="售价",ROUND(PRODUCT(R47,AA7:AA46),0),ROUND(PRODUCT(R47,AA7:AA46),1))</f>
        <v>#DIV/0!</v>
      </c>
      <c r="S48" s="2982"/>
      <c r="T48" s="3064" t="e">
        <f>IF(E1="售价",ROUND(PRODUCT(T47,AB7:AB46),0),ROUND(PRODUCT(T47,AB7:AB46),1))</f>
        <v>#DIV/0!</v>
      </c>
      <c r="U48" s="3065"/>
      <c r="V48" s="2982" t="e">
        <f>IF(E1="售价",ROUND(PRODUCT(V47,AC7:AC46),0),ROUND(PRODUCT(V47,AC7:AC46),1))</f>
        <v>#DIV/0!</v>
      </c>
      <c r="W48" s="2982"/>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24" t="str">
        <f>A49</f>
        <v>估价对象XX用房的比较价值（楼面单价，元/平方米）</v>
      </c>
      <c r="Q49" s="2980"/>
      <c r="R49" s="2984" t="e">
        <f>IF(E1="售价",ROUND(AVERAGE(R48:V48),0),ROUND(AVERAGE(R48:V48),1))</f>
        <v>#DIV/0!</v>
      </c>
      <c r="S49" s="2984"/>
      <c r="T49" s="2984"/>
      <c r="U49" s="2984"/>
      <c r="V49" s="2984"/>
      <c r="W49" s="298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6" t="s">
        <v>2335</v>
      </c>
      <c r="D4" s="3007"/>
      <c r="E4" s="3008" t="s">
        <v>2336</v>
      </c>
      <c r="F4" s="3009"/>
      <c r="G4" s="3006" t="s">
        <v>2337</v>
      </c>
      <c r="H4" s="3007"/>
      <c r="I4" s="3006" t="s">
        <v>2338</v>
      </c>
      <c r="J4" s="3007"/>
      <c r="K4" s="594"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04" t="s">
        <v>2337</v>
      </c>
      <c r="AC4" s="3003" t="s">
        <v>2338</v>
      </c>
    </row>
    <row r="5" spans="1:29" ht="15">
      <c r="A5" s="383"/>
      <c r="B5" s="384"/>
      <c r="C5" s="3021" t="s">
        <v>2341</v>
      </c>
      <c r="D5" s="3018"/>
      <c r="E5" s="3015" t="s">
        <v>2342</v>
      </c>
      <c r="F5" s="3016"/>
      <c r="G5" s="3021" t="s">
        <v>2343</v>
      </c>
      <c r="H5" s="3018"/>
      <c r="I5" s="3021" t="s">
        <v>2344</v>
      </c>
      <c r="J5" s="3018"/>
      <c r="K5" s="594"/>
      <c r="L5" s="1240"/>
      <c r="M5" s="1241"/>
      <c r="N5" s="1241"/>
      <c r="O5" s="1241"/>
      <c r="P5" s="303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594" t="s">
        <v>2346</v>
      </c>
      <c r="L6" s="1240"/>
      <c r="M6" s="1241"/>
      <c r="N6" s="1241"/>
      <c r="O6" s="1241"/>
      <c r="P6" s="303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2990" t="s">
        <v>2348</v>
      </c>
      <c r="Q7" s="2998"/>
      <c r="R7" s="747" t="s">
        <v>25</v>
      </c>
      <c r="S7" s="748">
        <f t="shared" ref="S7:S15" si="0">F7</f>
        <v>0</v>
      </c>
      <c r="T7" s="747" t="s">
        <v>25</v>
      </c>
      <c r="U7" s="748">
        <f t="shared" ref="U7:U15" si="1">H7</f>
        <v>0</v>
      </c>
      <c r="V7" s="747" t="s">
        <v>25</v>
      </c>
      <c r="W7" s="748">
        <f t="shared" ref="W7:W15" si="2">J7</f>
        <v>0</v>
      </c>
      <c r="X7" s="749"/>
      <c r="Y7" s="2990" t="s">
        <v>2348</v>
      </c>
      <c r="Z7" s="2991"/>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2990" t="s">
        <v>2351</v>
      </c>
      <c r="Q8" s="2991"/>
      <c r="R8" s="747" t="s">
        <v>25</v>
      </c>
      <c r="S8" s="748">
        <f t="shared" si="0"/>
        <v>100</v>
      </c>
      <c r="T8" s="747" t="s">
        <v>25</v>
      </c>
      <c r="U8" s="748">
        <f t="shared" si="1"/>
        <v>100</v>
      </c>
      <c r="V8" s="747" t="s">
        <v>25</v>
      </c>
      <c r="W8" s="748">
        <f t="shared" si="2"/>
        <v>100</v>
      </c>
      <c r="X8" s="749"/>
      <c r="Y8" s="2990" t="s">
        <v>2351</v>
      </c>
      <c r="Z8" s="2991"/>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81"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81"/>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81"/>
      <c r="Q11" s="1883" t="str">
        <f t="shared" si="6"/>
        <v>容积率</v>
      </c>
      <c r="R11" s="747" t="s">
        <v>25</v>
      </c>
      <c r="S11" s="748" t="e">
        <f t="shared" si="0"/>
        <v>#N/A</v>
      </c>
      <c r="T11" s="747" t="s">
        <v>25</v>
      </c>
      <c r="U11" s="748" t="e">
        <f t="shared" si="1"/>
        <v>#N/A</v>
      </c>
      <c r="V11" s="747" t="s">
        <v>25</v>
      </c>
      <c r="W11" s="748" t="e">
        <f t="shared" si="2"/>
        <v>#N/A</v>
      </c>
      <c r="X11" s="749"/>
      <c r="Y11" s="2841"/>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2981"/>
      <c r="Q12" s="1883">
        <f t="shared" si="6"/>
        <v>111</v>
      </c>
      <c r="R12" s="747" t="s">
        <v>25</v>
      </c>
      <c r="S12" s="748">
        <f t="shared" si="0"/>
        <v>100</v>
      </c>
      <c r="T12" s="747" t="s">
        <v>25</v>
      </c>
      <c r="U12" s="748">
        <f t="shared" si="1"/>
        <v>100</v>
      </c>
      <c r="V12" s="747" t="s">
        <v>25</v>
      </c>
      <c r="W12" s="748">
        <f t="shared" si="2"/>
        <v>100</v>
      </c>
      <c r="X12" s="749"/>
      <c r="Y12" s="2841"/>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2981"/>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2981"/>
      <c r="Q14" s="1883">
        <f t="shared" si="6"/>
        <v>111</v>
      </c>
      <c r="R14" s="747" t="s">
        <v>25</v>
      </c>
      <c r="S14" s="748">
        <f t="shared" si="0"/>
        <v>100</v>
      </c>
      <c r="T14" s="747" t="s">
        <v>25</v>
      </c>
      <c r="U14" s="748">
        <f t="shared" si="1"/>
        <v>100</v>
      </c>
      <c r="V14" s="747" t="s">
        <v>25</v>
      </c>
      <c r="W14" s="748">
        <f t="shared" si="2"/>
        <v>100</v>
      </c>
      <c r="X14" s="749"/>
      <c r="Y14" s="2841"/>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01" t="s">
        <v>2359</v>
      </c>
      <c r="Q15" s="1895" t="str">
        <f t="shared" si="6"/>
        <v>产业集聚程度</v>
      </c>
      <c r="R15" s="751" t="s">
        <v>25</v>
      </c>
      <c r="S15" s="752">
        <f t="shared" si="0"/>
        <v>100</v>
      </c>
      <c r="T15" s="751" t="s">
        <v>25</v>
      </c>
      <c r="U15" s="752">
        <f t="shared" si="1"/>
        <v>100</v>
      </c>
      <c r="V15" s="751" t="s">
        <v>25</v>
      </c>
      <c r="W15" s="752">
        <f t="shared" si="2"/>
        <v>100</v>
      </c>
      <c r="X15" s="1896"/>
      <c r="Y15" s="3001"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02"/>
      <c r="Q16" s="1895"/>
      <c r="R16" s="751"/>
      <c r="S16" s="752"/>
      <c r="T16" s="751"/>
      <c r="U16" s="752"/>
      <c r="V16" s="751"/>
      <c r="W16" s="752"/>
      <c r="X16" s="1896"/>
      <c r="Y16" s="3002"/>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02"/>
      <c r="Q17" s="1895" t="str">
        <f>B17</f>
        <v>交通便捷度</v>
      </c>
      <c r="R17" s="751" t="s">
        <v>25</v>
      </c>
      <c r="S17" s="752">
        <f>F17</f>
        <v>100</v>
      </c>
      <c r="T17" s="751" t="s">
        <v>25</v>
      </c>
      <c r="U17" s="752">
        <f>H17</f>
        <v>100</v>
      </c>
      <c r="V17" s="751" t="s">
        <v>25</v>
      </c>
      <c r="W17" s="752">
        <f>J17</f>
        <v>100</v>
      </c>
      <c r="X17" s="1896"/>
      <c r="Y17" s="3002"/>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02"/>
      <c r="Q18" s="1895"/>
      <c r="R18" s="751"/>
      <c r="S18" s="752"/>
      <c r="T18" s="751"/>
      <c r="U18" s="752"/>
      <c r="V18" s="751"/>
      <c r="W18" s="752"/>
      <c r="X18" s="1896"/>
      <c r="Y18" s="3002"/>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02"/>
      <c r="Q19" s="1895" t="str">
        <f>B19</f>
        <v>公共配套设施</v>
      </c>
      <c r="R19" s="751" t="s">
        <v>25</v>
      </c>
      <c r="S19" s="752">
        <f>F19</f>
        <v>100</v>
      </c>
      <c r="T19" s="751" t="s">
        <v>25</v>
      </c>
      <c r="U19" s="752">
        <f>H19</f>
        <v>100</v>
      </c>
      <c r="V19" s="751" t="s">
        <v>25</v>
      </c>
      <c r="W19" s="752">
        <f>J19</f>
        <v>100</v>
      </c>
      <c r="X19" s="1896"/>
      <c r="Y19" s="3002"/>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02"/>
      <c r="Q20" s="1895"/>
      <c r="R20" s="751"/>
      <c r="S20" s="752"/>
      <c r="T20" s="751"/>
      <c r="U20" s="752"/>
      <c r="V20" s="751"/>
      <c r="W20" s="752"/>
      <c r="X20" s="1896"/>
      <c r="Y20" s="3002"/>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02"/>
      <c r="Q21" s="1895" t="str">
        <f>B21</f>
        <v>基础设施水平</v>
      </c>
      <c r="R21" s="751" t="s">
        <v>25</v>
      </c>
      <c r="S21" s="752">
        <f>F21</f>
        <v>100</v>
      </c>
      <c r="T21" s="751" t="s">
        <v>25</v>
      </c>
      <c r="U21" s="752">
        <f>H21</f>
        <v>100</v>
      </c>
      <c r="V21" s="751" t="s">
        <v>25</v>
      </c>
      <c r="W21" s="752">
        <f>J21</f>
        <v>100</v>
      </c>
      <c r="X21" s="1896"/>
      <c r="Y21" s="3002"/>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02"/>
      <c r="Q22" s="1895"/>
      <c r="R22" s="751"/>
      <c r="S22" s="752"/>
      <c r="T22" s="751"/>
      <c r="U22" s="752"/>
      <c r="V22" s="751"/>
      <c r="W22" s="752"/>
      <c r="X22" s="1896"/>
      <c r="Y22" s="3002"/>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02"/>
      <c r="Q23" s="1895" t="str">
        <f>B23</f>
        <v>环境质量</v>
      </c>
      <c r="R23" s="751" t="s">
        <v>25</v>
      </c>
      <c r="S23" s="752">
        <f>F23</f>
        <v>100</v>
      </c>
      <c r="T23" s="751" t="s">
        <v>25</v>
      </c>
      <c r="U23" s="752">
        <f>H23</f>
        <v>100</v>
      </c>
      <c r="V23" s="751" t="s">
        <v>25</v>
      </c>
      <c r="W23" s="752">
        <f>J23</f>
        <v>100</v>
      </c>
      <c r="X23" s="1896"/>
      <c r="Y23" s="3002"/>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02"/>
      <c r="Q24" s="1895"/>
      <c r="R24" s="751"/>
      <c r="S24" s="752"/>
      <c r="T24" s="751"/>
      <c r="U24" s="752"/>
      <c r="V24" s="751"/>
      <c r="W24" s="752"/>
      <c r="X24" s="1896"/>
      <c r="Y24" s="3002"/>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02"/>
      <c r="Q25" s="1895">
        <f>B25</f>
        <v>111</v>
      </c>
      <c r="R25" s="751" t="s">
        <v>25</v>
      </c>
      <c r="S25" s="752">
        <f>F25</f>
        <v>100</v>
      </c>
      <c r="T25" s="751" t="s">
        <v>25</v>
      </c>
      <c r="U25" s="752">
        <f>H25</f>
        <v>100</v>
      </c>
      <c r="V25" s="751" t="s">
        <v>25</v>
      </c>
      <c r="W25" s="752">
        <f>J25</f>
        <v>100</v>
      </c>
      <c r="X25" s="1896"/>
      <c r="Y25" s="3002"/>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02"/>
      <c r="Q26" s="1895">
        <f t="shared" ref="Q26:Q40" si="11">B26</f>
        <v>111</v>
      </c>
      <c r="R26" s="751" t="s">
        <v>25</v>
      </c>
      <c r="S26" s="752">
        <f>F26</f>
        <v>100</v>
      </c>
      <c r="T26" s="751" t="s">
        <v>25</v>
      </c>
      <c r="U26" s="752">
        <f>H26</f>
        <v>100</v>
      </c>
      <c r="V26" s="751" t="s">
        <v>25</v>
      </c>
      <c r="W26" s="752">
        <f>J26</f>
        <v>100</v>
      </c>
      <c r="X26" s="1896"/>
      <c r="Y26" s="3002"/>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02"/>
      <c r="Q27" s="1883">
        <f t="shared" si="11"/>
        <v>111</v>
      </c>
      <c r="R27" s="747" t="s">
        <v>25</v>
      </c>
      <c r="S27" s="748">
        <f>F27</f>
        <v>100</v>
      </c>
      <c r="T27" s="747" t="s">
        <v>25</v>
      </c>
      <c r="U27" s="748">
        <f>H27</f>
        <v>100</v>
      </c>
      <c r="V27" s="747" t="s">
        <v>25</v>
      </c>
      <c r="W27" s="748">
        <f>J27</f>
        <v>100</v>
      </c>
      <c r="X27" s="749"/>
      <c r="Y27" s="3002"/>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02"/>
      <c r="Q28" s="1895">
        <f t="shared" si="11"/>
        <v>111</v>
      </c>
      <c r="R28" s="751" t="s">
        <v>25</v>
      </c>
      <c r="S28" s="752">
        <f t="shared" ref="S28:S40" si="12">F28</f>
        <v>100</v>
      </c>
      <c r="T28" s="751" t="s">
        <v>25</v>
      </c>
      <c r="U28" s="752">
        <f t="shared" ref="U28:U40" si="13">H28</f>
        <v>100</v>
      </c>
      <c r="V28" s="751" t="s">
        <v>25</v>
      </c>
      <c r="W28" s="752">
        <f t="shared" ref="W28:W40" si="14">J28</f>
        <v>100</v>
      </c>
      <c r="X28" s="1896"/>
      <c r="Y28" s="3002"/>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6" t="s">
        <v>2365</v>
      </c>
      <c r="Q29" s="1895" t="str">
        <f t="shared" si="11"/>
        <v>建筑类型</v>
      </c>
      <c r="R29" s="751" t="s">
        <v>25</v>
      </c>
      <c r="S29" s="752">
        <f t="shared" si="12"/>
        <v>100</v>
      </c>
      <c r="T29" s="751" t="s">
        <v>25</v>
      </c>
      <c r="U29" s="752">
        <f t="shared" si="13"/>
        <v>100</v>
      </c>
      <c r="V29" s="751" t="s">
        <v>25</v>
      </c>
      <c r="W29" s="752">
        <f t="shared" si="14"/>
        <v>100</v>
      </c>
      <c r="X29" s="1896"/>
      <c r="Y29" s="2988"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2988"/>
      <c r="Q30" s="753" t="str">
        <f t="shared" si="11"/>
        <v>项目建筑规模</v>
      </c>
      <c r="R30" s="754" t="s">
        <v>25</v>
      </c>
      <c r="S30" s="755" t="e">
        <f t="shared" si="12"/>
        <v>#N/A</v>
      </c>
      <c r="T30" s="754" t="s">
        <v>25</v>
      </c>
      <c r="U30" s="755" t="e">
        <f t="shared" si="13"/>
        <v>#N/A</v>
      </c>
      <c r="V30" s="754" t="s">
        <v>25</v>
      </c>
      <c r="W30" s="755" t="e">
        <f t="shared" si="14"/>
        <v>#N/A</v>
      </c>
      <c r="X30" s="756"/>
      <c r="Y30" s="2988"/>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2988"/>
      <c r="Q31" s="1895" t="str">
        <f t="shared" si="11"/>
        <v>建筑结构</v>
      </c>
      <c r="R31" s="751" t="s">
        <v>25</v>
      </c>
      <c r="S31" s="752">
        <f t="shared" si="12"/>
        <v>100</v>
      </c>
      <c r="T31" s="751" t="s">
        <v>25</v>
      </c>
      <c r="U31" s="752">
        <f t="shared" si="13"/>
        <v>100</v>
      </c>
      <c r="V31" s="751" t="s">
        <v>25</v>
      </c>
      <c r="W31" s="752">
        <f t="shared" si="14"/>
        <v>100</v>
      </c>
      <c r="X31" s="1896"/>
      <c r="Y31" s="2988"/>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2988"/>
      <c r="Q32" s="1895" t="str">
        <f t="shared" si="11"/>
        <v>公共部分装修</v>
      </c>
      <c r="R32" s="751" t="s">
        <v>25</v>
      </c>
      <c r="S32" s="752">
        <f t="shared" si="12"/>
        <v>100</v>
      </c>
      <c r="T32" s="751" t="s">
        <v>25</v>
      </c>
      <c r="U32" s="752">
        <f t="shared" si="13"/>
        <v>100</v>
      </c>
      <c r="V32" s="751" t="s">
        <v>25</v>
      </c>
      <c r="W32" s="752">
        <f t="shared" si="14"/>
        <v>100</v>
      </c>
      <c r="X32" s="1896"/>
      <c r="Y32" s="2988"/>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2988"/>
      <c r="Q33" s="1895" t="str">
        <f t="shared" si="11"/>
        <v>成新度</v>
      </c>
      <c r="R33" s="751" t="s">
        <v>25</v>
      </c>
      <c r="S33" s="752" t="e">
        <f t="shared" si="12"/>
        <v>#N/A</v>
      </c>
      <c r="T33" s="751" t="s">
        <v>25</v>
      </c>
      <c r="U33" s="752" t="e">
        <f t="shared" si="13"/>
        <v>#N/A</v>
      </c>
      <c r="V33" s="751" t="s">
        <v>25</v>
      </c>
      <c r="W33" s="752" t="e">
        <f t="shared" si="14"/>
        <v>#N/A</v>
      </c>
      <c r="X33" s="1896"/>
      <c r="Y33" s="2988"/>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2988"/>
      <c r="Q34" s="1883" t="str">
        <f t="shared" si="11"/>
        <v>物业管理</v>
      </c>
      <c r="R34" s="747" t="s">
        <v>25</v>
      </c>
      <c r="S34" s="748">
        <f t="shared" si="12"/>
        <v>100</v>
      </c>
      <c r="T34" s="747" t="s">
        <v>25</v>
      </c>
      <c r="U34" s="748">
        <f t="shared" si="13"/>
        <v>100</v>
      </c>
      <c r="V34" s="747" t="s">
        <v>25</v>
      </c>
      <c r="W34" s="748">
        <f t="shared" si="14"/>
        <v>100</v>
      </c>
      <c r="X34" s="749"/>
      <c r="Y34" s="2988"/>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2988" t="s">
        <v>2365</v>
      </c>
      <c r="Q35" s="1895" t="str">
        <f t="shared" si="11"/>
        <v>市政基础设施</v>
      </c>
      <c r="R35" s="751" t="s">
        <v>25</v>
      </c>
      <c r="S35" s="752">
        <f t="shared" si="12"/>
        <v>100</v>
      </c>
      <c r="T35" s="751" t="s">
        <v>25</v>
      </c>
      <c r="U35" s="752">
        <f t="shared" si="13"/>
        <v>100</v>
      </c>
      <c r="V35" s="751" t="s">
        <v>25</v>
      </c>
      <c r="W35" s="752">
        <f t="shared" si="14"/>
        <v>100</v>
      </c>
      <c r="X35" s="1896"/>
      <c r="Y35" s="2988"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2988"/>
      <c r="Q36" s="1895" t="str">
        <f t="shared" si="11"/>
        <v>内部装修</v>
      </c>
      <c r="R36" s="751" t="s">
        <v>25</v>
      </c>
      <c r="S36" s="752">
        <f t="shared" si="12"/>
        <v>100</v>
      </c>
      <c r="T36" s="751" t="s">
        <v>25</v>
      </c>
      <c r="U36" s="752">
        <f t="shared" si="13"/>
        <v>100</v>
      </c>
      <c r="V36" s="751" t="s">
        <v>25</v>
      </c>
      <c r="W36" s="752">
        <f t="shared" si="14"/>
        <v>100</v>
      </c>
      <c r="X36" s="1896"/>
      <c r="Y36" s="2988"/>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2988"/>
      <c r="Q37" s="1895" t="str">
        <f t="shared" si="11"/>
        <v>内部装修状况</v>
      </c>
      <c r="R37" s="751" t="s">
        <v>25</v>
      </c>
      <c r="S37" s="752">
        <f t="shared" si="12"/>
        <v>0</v>
      </c>
      <c r="T37" s="751" t="s">
        <v>25</v>
      </c>
      <c r="U37" s="752">
        <f t="shared" si="13"/>
        <v>0</v>
      </c>
      <c r="V37" s="751" t="s">
        <v>25</v>
      </c>
      <c r="W37" s="752">
        <f t="shared" si="14"/>
        <v>0</v>
      </c>
      <c r="X37" s="1896"/>
      <c r="Y37" s="2988"/>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2988"/>
      <c r="Q38" s="753">
        <f t="shared" si="11"/>
        <v>111</v>
      </c>
      <c r="R38" s="754" t="s">
        <v>25</v>
      </c>
      <c r="S38" s="755">
        <f t="shared" si="12"/>
        <v>100</v>
      </c>
      <c r="T38" s="754" t="s">
        <v>25</v>
      </c>
      <c r="U38" s="755">
        <f t="shared" si="13"/>
        <v>100</v>
      </c>
      <c r="V38" s="754" t="s">
        <v>25</v>
      </c>
      <c r="W38" s="755">
        <f t="shared" si="14"/>
        <v>100</v>
      </c>
      <c r="X38" s="756"/>
      <c r="Y38" s="2988"/>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2988"/>
      <c r="Q39" s="1895">
        <f t="shared" si="11"/>
        <v>111</v>
      </c>
      <c r="R39" s="751" t="s">
        <v>25</v>
      </c>
      <c r="S39" s="752">
        <f t="shared" si="12"/>
        <v>100</v>
      </c>
      <c r="T39" s="751" t="s">
        <v>25</v>
      </c>
      <c r="U39" s="752">
        <f t="shared" si="13"/>
        <v>100</v>
      </c>
      <c r="V39" s="751" t="s">
        <v>25</v>
      </c>
      <c r="W39" s="752">
        <f t="shared" si="14"/>
        <v>100</v>
      </c>
      <c r="X39" s="1896"/>
      <c r="Y39" s="2988"/>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2989"/>
      <c r="Q40" s="1895">
        <f t="shared" si="11"/>
        <v>111</v>
      </c>
      <c r="R40" s="751" t="s">
        <v>25</v>
      </c>
      <c r="S40" s="752">
        <f t="shared" si="12"/>
        <v>100</v>
      </c>
      <c r="T40" s="751" t="s">
        <v>25</v>
      </c>
      <c r="U40" s="752">
        <f t="shared" si="13"/>
        <v>100</v>
      </c>
      <c r="V40" s="751" t="s">
        <v>25</v>
      </c>
      <c r="W40" s="752">
        <f t="shared" si="14"/>
        <v>100</v>
      </c>
      <c r="X40" s="1896"/>
      <c r="Y40" s="2989"/>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2981" t="str">
        <f>A41</f>
        <v>成交单价（元/平方米）</v>
      </c>
      <c r="Q41" s="2981"/>
      <c r="R41" s="2982">
        <f>E41</f>
        <v>0</v>
      </c>
      <c r="S41" s="2982"/>
      <c r="T41" s="2982">
        <f>G41</f>
        <v>0</v>
      </c>
      <c r="U41" s="2982"/>
      <c r="V41" s="2982">
        <f>I41</f>
        <v>0</v>
      </c>
      <c r="W41" s="2982"/>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2981" t="str">
        <f>A42</f>
        <v>比较价值（元/平方米）</v>
      </c>
      <c r="Q42" s="2981"/>
      <c r="R42" s="2982" t="e">
        <f>IF(E1="售价",ROUND(PRODUCT(R41,AA7:AA40),0),ROUND(PRODUCT(R41,AA7:AA40),1))</f>
        <v>#DIV/0!</v>
      </c>
      <c r="S42" s="2982"/>
      <c r="T42" s="2982" t="e">
        <f>IF(E1="售价",ROUND(PRODUCT(T41,AB7:AB40),0),ROUND(PRODUCT(T41,AB7:AB40),1))</f>
        <v>#DIV/0!</v>
      </c>
      <c r="U42" s="2982"/>
      <c r="V42" s="2982" t="e">
        <f>IF(E1="售价",ROUND(PRODUCT(V41,AC7:AC40),0),ROUND(PRODUCT(V41,AC7:AC40),1))</f>
        <v>#DIV/0!</v>
      </c>
      <c r="W42" s="2982"/>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24" t="str">
        <f>A43</f>
        <v>估价对象XX用房的比较价值（楼面单价，元/平方米）</v>
      </c>
      <c r="Q43" s="2980"/>
      <c r="R43" s="2984" t="e">
        <f>IF(E1="售价",ROUND(AVERAGE(R42:V42),0),ROUND(AVERAGE(R42:V42),1))</f>
        <v>#DIV/0!</v>
      </c>
      <c r="S43" s="2984"/>
      <c r="T43" s="2984"/>
      <c r="U43" s="2984"/>
      <c r="V43" s="2984"/>
      <c r="W43" s="2984"/>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3006" t="s">
        <v>2335</v>
      </c>
      <c r="D4" s="3007"/>
      <c r="E4" s="3008" t="s">
        <v>2336</v>
      </c>
      <c r="F4" s="3009"/>
      <c r="G4" s="3006" t="s">
        <v>2337</v>
      </c>
      <c r="H4" s="3007"/>
      <c r="I4" s="3006" t="s">
        <v>2338</v>
      </c>
      <c r="J4" s="3007"/>
      <c r="K4" s="594" t="s">
        <v>2339</v>
      </c>
      <c r="L4" s="1510"/>
      <c r="M4" s="425"/>
      <c r="N4" s="425"/>
      <c r="O4" s="425"/>
      <c r="P4" s="3030" t="s">
        <v>2340</v>
      </c>
      <c r="Q4" s="2999"/>
      <c r="R4" s="2992" t="s">
        <v>2336</v>
      </c>
      <c r="S4" s="2993"/>
      <c r="T4" s="2992" t="s">
        <v>2337</v>
      </c>
      <c r="U4" s="2993"/>
      <c r="V4" s="3014" t="s">
        <v>2338</v>
      </c>
      <c r="W4" s="3014"/>
      <c r="X4" s="1896"/>
      <c r="Y4" s="2992" t="s">
        <v>2340</v>
      </c>
      <c r="Z4" s="2993"/>
      <c r="AA4" s="3003" t="s">
        <v>2336</v>
      </c>
      <c r="AB4" s="3004" t="s">
        <v>2337</v>
      </c>
      <c r="AC4" s="3003" t="s">
        <v>2338</v>
      </c>
    </row>
    <row r="5" spans="1:29" ht="15">
      <c r="A5" s="383"/>
      <c r="B5" s="384"/>
      <c r="C5" s="3021" t="s">
        <v>2341</v>
      </c>
      <c r="D5" s="3018"/>
      <c r="E5" s="3015" t="s">
        <v>2342</v>
      </c>
      <c r="F5" s="3016"/>
      <c r="G5" s="3021" t="s">
        <v>2343</v>
      </c>
      <c r="H5" s="3018"/>
      <c r="I5" s="3021" t="s">
        <v>2344</v>
      </c>
      <c r="J5" s="3018"/>
      <c r="K5" s="594"/>
      <c r="L5" s="1510"/>
      <c r="M5" s="425"/>
      <c r="N5" s="425"/>
      <c r="O5" s="425"/>
      <c r="P5" s="303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594" t="s">
        <v>2346</v>
      </c>
      <c r="L6" s="1510"/>
      <c r="M6" s="425"/>
      <c r="N6" s="425"/>
      <c r="O6" s="425"/>
      <c r="P6" s="303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0" t="s">
        <v>2348</v>
      </c>
      <c r="Q7" s="2998"/>
      <c r="R7" s="747" t="s">
        <v>25</v>
      </c>
      <c r="S7" s="748">
        <f t="shared" ref="S7:S14" si="0">F7</f>
        <v>0</v>
      </c>
      <c r="T7" s="747" t="s">
        <v>25</v>
      </c>
      <c r="U7" s="748">
        <f t="shared" ref="U7:U14" si="1">H7</f>
        <v>0</v>
      </c>
      <c r="V7" s="747" t="s">
        <v>25</v>
      </c>
      <c r="W7" s="748">
        <f t="shared" ref="W7:W14" si="2">J7</f>
        <v>0</v>
      </c>
      <c r="X7" s="749"/>
      <c r="Y7" s="2990" t="s">
        <v>2348</v>
      </c>
      <c r="Z7" s="2991"/>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0" t="s">
        <v>2351</v>
      </c>
      <c r="Q8" s="2991"/>
      <c r="R8" s="747" t="s">
        <v>25</v>
      </c>
      <c r="S8" s="748">
        <f t="shared" si="0"/>
        <v>0</v>
      </c>
      <c r="T8" s="747" t="s">
        <v>25</v>
      </c>
      <c r="U8" s="748">
        <f t="shared" si="1"/>
        <v>0</v>
      </c>
      <c r="V8" s="747" t="s">
        <v>25</v>
      </c>
      <c r="W8" s="748">
        <f t="shared" si="2"/>
        <v>0</v>
      </c>
      <c r="X8" s="749"/>
      <c r="Y8" s="2990" t="s">
        <v>2351</v>
      </c>
      <c r="Z8" s="2991"/>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1" t="s">
        <v>2354</v>
      </c>
      <c r="Q9" s="1883" t="str">
        <f t="shared" ref="Q9:Q14" si="6">B9</f>
        <v>用途</v>
      </c>
      <c r="R9" s="747" t="s">
        <v>25</v>
      </c>
      <c r="S9" s="748">
        <f t="shared" si="0"/>
        <v>100</v>
      </c>
      <c r="T9" s="747" t="s">
        <v>25</v>
      </c>
      <c r="U9" s="748">
        <f t="shared" si="1"/>
        <v>100</v>
      </c>
      <c r="V9" s="747" t="s">
        <v>25</v>
      </c>
      <c r="W9" s="748">
        <f t="shared" si="2"/>
        <v>100</v>
      </c>
      <c r="X9" s="749"/>
      <c r="Y9" s="2841"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1"/>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981"/>
      <c r="Q11" s="1883">
        <f t="shared" si="6"/>
        <v>111</v>
      </c>
      <c r="R11" s="747" t="s">
        <v>25</v>
      </c>
      <c r="S11" s="748">
        <f t="shared" si="0"/>
        <v>100</v>
      </c>
      <c r="T11" s="747" t="s">
        <v>25</v>
      </c>
      <c r="U11" s="748">
        <f t="shared" si="1"/>
        <v>100</v>
      </c>
      <c r="V11" s="747" t="s">
        <v>25</v>
      </c>
      <c r="W11" s="748">
        <f t="shared" si="2"/>
        <v>100</v>
      </c>
      <c r="X11" s="749"/>
      <c r="Y11" s="2841"/>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1"/>
      <c r="Q12" s="1883">
        <f t="shared" si="6"/>
        <v>111</v>
      </c>
      <c r="R12" s="747" t="s">
        <v>25</v>
      </c>
      <c r="S12" s="748">
        <f t="shared" si="0"/>
        <v>100</v>
      </c>
      <c r="T12" s="747" t="s">
        <v>25</v>
      </c>
      <c r="U12" s="748">
        <f t="shared" si="1"/>
        <v>100</v>
      </c>
      <c r="V12" s="747" t="s">
        <v>25</v>
      </c>
      <c r="W12" s="748">
        <f t="shared" si="2"/>
        <v>100</v>
      </c>
      <c r="X12" s="749"/>
      <c r="Y12" s="2841"/>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981"/>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01" t="s">
        <v>2359</v>
      </c>
      <c r="Q14" s="1895" t="str">
        <f t="shared" si="6"/>
        <v>交通便捷度</v>
      </c>
      <c r="R14" s="751" t="s">
        <v>25</v>
      </c>
      <c r="S14" s="752">
        <f t="shared" si="0"/>
        <v>100</v>
      </c>
      <c r="T14" s="751" t="s">
        <v>25</v>
      </c>
      <c r="U14" s="752">
        <f t="shared" si="1"/>
        <v>100</v>
      </c>
      <c r="V14" s="751" t="s">
        <v>25</v>
      </c>
      <c r="W14" s="752">
        <f t="shared" si="2"/>
        <v>100</v>
      </c>
      <c r="X14" s="1896"/>
      <c r="Y14" s="3001"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02"/>
      <c r="Q15" s="1895"/>
      <c r="R15" s="751"/>
      <c r="S15" s="752"/>
      <c r="T15" s="751"/>
      <c r="U15" s="752"/>
      <c r="V15" s="751"/>
      <c r="W15" s="752"/>
      <c r="X15" s="1896"/>
      <c r="Y15" s="3002"/>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02"/>
      <c r="Q16" s="1895" t="str">
        <f>B16</f>
        <v>公共配套设施</v>
      </c>
      <c r="R16" s="751" t="s">
        <v>25</v>
      </c>
      <c r="S16" s="752">
        <f>F16</f>
        <v>100</v>
      </c>
      <c r="T16" s="751" t="s">
        <v>25</v>
      </c>
      <c r="U16" s="752">
        <f>H16</f>
        <v>100</v>
      </c>
      <c r="V16" s="751" t="s">
        <v>25</v>
      </c>
      <c r="W16" s="752">
        <f>J16</f>
        <v>100</v>
      </c>
      <c r="X16" s="1896"/>
      <c r="Y16" s="3002"/>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02"/>
      <c r="Q17" s="1895"/>
      <c r="R17" s="751"/>
      <c r="S17" s="752"/>
      <c r="T17" s="751"/>
      <c r="U17" s="752"/>
      <c r="V17" s="751"/>
      <c r="W17" s="752"/>
      <c r="X17" s="1896"/>
      <c r="Y17" s="3002"/>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02"/>
      <c r="Q18" s="1895" t="str">
        <f>B18</f>
        <v>基础设施水平</v>
      </c>
      <c r="R18" s="751" t="s">
        <v>25</v>
      </c>
      <c r="S18" s="752">
        <f>F18</f>
        <v>100</v>
      </c>
      <c r="T18" s="751" t="s">
        <v>25</v>
      </c>
      <c r="U18" s="752">
        <f>H18</f>
        <v>100</v>
      </c>
      <c r="V18" s="751" t="s">
        <v>25</v>
      </c>
      <c r="W18" s="752">
        <f>J18</f>
        <v>100</v>
      </c>
      <c r="X18" s="1896"/>
      <c r="Y18" s="3002"/>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02"/>
      <c r="Q19" s="1895"/>
      <c r="R19" s="751"/>
      <c r="S19" s="752"/>
      <c r="T19" s="751"/>
      <c r="U19" s="752"/>
      <c r="V19" s="751"/>
      <c r="W19" s="752"/>
      <c r="X19" s="1896"/>
      <c r="Y19" s="3002"/>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02"/>
      <c r="Q20" s="1895" t="str">
        <f>B20</f>
        <v>自然及人文环境</v>
      </c>
      <c r="R20" s="751" t="s">
        <v>25</v>
      </c>
      <c r="S20" s="752">
        <f>F20</f>
        <v>100</v>
      </c>
      <c r="T20" s="751" t="s">
        <v>25</v>
      </c>
      <c r="U20" s="752">
        <f>H20</f>
        <v>100</v>
      </c>
      <c r="V20" s="751" t="s">
        <v>25</v>
      </c>
      <c r="W20" s="752">
        <f>J20</f>
        <v>100</v>
      </c>
      <c r="X20" s="1896"/>
      <c r="Y20" s="3002"/>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02"/>
      <c r="Q21" s="1895"/>
      <c r="R21" s="751"/>
      <c r="S21" s="752"/>
      <c r="T21" s="751"/>
      <c r="U21" s="752"/>
      <c r="V21" s="751"/>
      <c r="W21" s="752"/>
      <c r="X21" s="1896"/>
      <c r="Y21" s="3002"/>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02"/>
      <c r="Q22" s="1895" t="str">
        <f>B22</f>
        <v>楼层</v>
      </c>
      <c r="R22" s="751" t="s">
        <v>25</v>
      </c>
      <c r="S22" s="752">
        <f>F22</f>
        <v>100</v>
      </c>
      <c r="T22" s="751" t="s">
        <v>25</v>
      </c>
      <c r="U22" s="752">
        <f>H22</f>
        <v>100</v>
      </c>
      <c r="V22" s="751" t="s">
        <v>25</v>
      </c>
      <c r="W22" s="752">
        <f>J22</f>
        <v>100</v>
      </c>
      <c r="X22" s="1896"/>
      <c r="Y22" s="3002"/>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02"/>
      <c r="Q23" s="1895">
        <f>B23</f>
        <v>111</v>
      </c>
      <c r="R23" s="751" t="s">
        <v>25</v>
      </c>
      <c r="S23" s="752">
        <f>F23</f>
        <v>100</v>
      </c>
      <c r="T23" s="751" t="s">
        <v>25</v>
      </c>
      <c r="U23" s="752">
        <f>H23</f>
        <v>100</v>
      </c>
      <c r="V23" s="751" t="s">
        <v>25</v>
      </c>
      <c r="W23" s="752">
        <f>J23</f>
        <v>100</v>
      </c>
      <c r="X23" s="1896"/>
      <c r="Y23" s="3002"/>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02"/>
      <c r="Q24" s="1895">
        <f t="shared" ref="Q24:Q36" si="11">B24</f>
        <v>111</v>
      </c>
      <c r="R24" s="751" t="s">
        <v>25</v>
      </c>
      <c r="S24" s="752">
        <f>F24</f>
        <v>100</v>
      </c>
      <c r="T24" s="751" t="s">
        <v>25</v>
      </c>
      <c r="U24" s="752">
        <f>H24</f>
        <v>100</v>
      </c>
      <c r="V24" s="751" t="s">
        <v>25</v>
      </c>
      <c r="W24" s="752">
        <f>J24</f>
        <v>100</v>
      </c>
      <c r="X24" s="1896"/>
      <c r="Y24" s="3002"/>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02"/>
      <c r="Q25" s="1883">
        <f t="shared" si="11"/>
        <v>111</v>
      </c>
      <c r="R25" s="747" t="s">
        <v>25</v>
      </c>
      <c r="S25" s="748">
        <f>F25</f>
        <v>100</v>
      </c>
      <c r="T25" s="747" t="s">
        <v>25</v>
      </c>
      <c r="U25" s="748">
        <f>H25</f>
        <v>100</v>
      </c>
      <c r="V25" s="747" t="s">
        <v>25</v>
      </c>
      <c r="W25" s="748">
        <f>J25</f>
        <v>100</v>
      </c>
      <c r="X25" s="749"/>
      <c r="Y25" s="3002"/>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6"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2988"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2988"/>
      <c r="Q27" s="753" t="str">
        <f t="shared" si="11"/>
        <v>项目停车位配比</v>
      </c>
      <c r="R27" s="754" t="s">
        <v>25</v>
      </c>
      <c r="S27" s="755">
        <f t="shared" si="12"/>
        <v>100</v>
      </c>
      <c r="T27" s="754" t="s">
        <v>25</v>
      </c>
      <c r="U27" s="755">
        <f t="shared" si="13"/>
        <v>100</v>
      </c>
      <c r="V27" s="754" t="s">
        <v>25</v>
      </c>
      <c r="W27" s="755">
        <f t="shared" si="14"/>
        <v>100</v>
      </c>
      <c r="X27" s="756"/>
      <c r="Y27" s="2988"/>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988"/>
      <c r="Q28" s="1895" t="str">
        <f t="shared" si="11"/>
        <v>公共部分装修</v>
      </c>
      <c r="R28" s="751" t="s">
        <v>25</v>
      </c>
      <c r="S28" s="752">
        <f t="shared" si="12"/>
        <v>100</v>
      </c>
      <c r="T28" s="751" t="s">
        <v>25</v>
      </c>
      <c r="U28" s="752">
        <f t="shared" si="13"/>
        <v>100</v>
      </c>
      <c r="V28" s="751" t="s">
        <v>25</v>
      </c>
      <c r="W28" s="752">
        <f t="shared" si="14"/>
        <v>100</v>
      </c>
      <c r="X28" s="1896"/>
      <c r="Y28" s="2988"/>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988"/>
      <c r="Q29" s="1895" t="str">
        <f t="shared" si="11"/>
        <v>成新率</v>
      </c>
      <c r="R29" s="751" t="s">
        <v>25</v>
      </c>
      <c r="S29" s="752" t="e">
        <f t="shared" si="12"/>
        <v>#N/A</v>
      </c>
      <c r="T29" s="751" t="s">
        <v>25</v>
      </c>
      <c r="U29" s="752" t="e">
        <f t="shared" si="13"/>
        <v>#N/A</v>
      </c>
      <c r="V29" s="751" t="s">
        <v>25</v>
      </c>
      <c r="W29" s="752" t="e">
        <f t="shared" si="14"/>
        <v>#N/A</v>
      </c>
      <c r="X29" s="1896"/>
      <c r="Y29" s="2988"/>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2988"/>
      <c r="Q30" s="1895" t="str">
        <f t="shared" si="11"/>
        <v>物业等级</v>
      </c>
      <c r="R30" s="751" t="s">
        <v>25</v>
      </c>
      <c r="S30" s="752">
        <f t="shared" si="12"/>
        <v>100</v>
      </c>
      <c r="T30" s="751" t="s">
        <v>25</v>
      </c>
      <c r="U30" s="752">
        <f t="shared" si="13"/>
        <v>100</v>
      </c>
      <c r="V30" s="751" t="s">
        <v>25</v>
      </c>
      <c r="W30" s="752">
        <f t="shared" si="14"/>
        <v>100</v>
      </c>
      <c r="X30" s="1896"/>
      <c r="Y30" s="2988"/>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88"/>
      <c r="Q31" s="1883" t="str">
        <f t="shared" si="11"/>
        <v>停车位面积</v>
      </c>
      <c r="R31" s="747" t="s">
        <v>25</v>
      </c>
      <c r="S31" s="748" t="e">
        <f t="shared" si="12"/>
        <v>#N/A</v>
      </c>
      <c r="T31" s="747" t="s">
        <v>25</v>
      </c>
      <c r="U31" s="748" t="e">
        <f t="shared" si="13"/>
        <v>#N/A</v>
      </c>
      <c r="V31" s="747" t="s">
        <v>25</v>
      </c>
      <c r="W31" s="748" t="e">
        <f t="shared" si="14"/>
        <v>#N/A</v>
      </c>
      <c r="X31" s="749"/>
      <c r="Y31" s="2988"/>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988" t="s">
        <v>2365</v>
      </c>
      <c r="Q32" s="1895" t="str">
        <f t="shared" si="11"/>
        <v>车位类型</v>
      </c>
      <c r="R32" s="751" t="s">
        <v>25</v>
      </c>
      <c r="S32" s="752">
        <f t="shared" si="12"/>
        <v>100</v>
      </c>
      <c r="T32" s="751" t="s">
        <v>25</v>
      </c>
      <c r="U32" s="752">
        <f t="shared" si="13"/>
        <v>100</v>
      </c>
      <c r="V32" s="751" t="s">
        <v>25</v>
      </c>
      <c r="W32" s="752">
        <f t="shared" si="14"/>
        <v>100</v>
      </c>
      <c r="X32" s="1896"/>
      <c r="Y32" s="2988"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988"/>
      <c r="Q33" s="1895" t="str">
        <f t="shared" si="11"/>
        <v>是否直接入户</v>
      </c>
      <c r="R33" s="751" t="s">
        <v>25</v>
      </c>
      <c r="S33" s="752">
        <f t="shared" si="12"/>
        <v>100</v>
      </c>
      <c r="T33" s="751" t="s">
        <v>25</v>
      </c>
      <c r="U33" s="752">
        <f t="shared" si="13"/>
        <v>100</v>
      </c>
      <c r="V33" s="751" t="s">
        <v>25</v>
      </c>
      <c r="W33" s="752">
        <f t="shared" si="14"/>
        <v>100</v>
      </c>
      <c r="X33" s="1896"/>
      <c r="Y33" s="2988"/>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988"/>
      <c r="Q34" s="1895">
        <f t="shared" si="11"/>
        <v>111</v>
      </c>
      <c r="R34" s="751" t="s">
        <v>25</v>
      </c>
      <c r="S34" s="752">
        <f t="shared" si="12"/>
        <v>100</v>
      </c>
      <c r="T34" s="751" t="s">
        <v>25</v>
      </c>
      <c r="U34" s="752">
        <f t="shared" si="13"/>
        <v>100</v>
      </c>
      <c r="V34" s="751" t="s">
        <v>25</v>
      </c>
      <c r="W34" s="752">
        <f t="shared" si="14"/>
        <v>100</v>
      </c>
      <c r="X34" s="1896"/>
      <c r="Y34" s="2988"/>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88"/>
      <c r="Q35" s="753">
        <f t="shared" si="11"/>
        <v>111</v>
      </c>
      <c r="R35" s="754" t="s">
        <v>25</v>
      </c>
      <c r="S35" s="755">
        <f t="shared" si="12"/>
        <v>100</v>
      </c>
      <c r="T35" s="754" t="s">
        <v>25</v>
      </c>
      <c r="U35" s="755">
        <f t="shared" si="13"/>
        <v>100</v>
      </c>
      <c r="V35" s="754" t="s">
        <v>25</v>
      </c>
      <c r="W35" s="755">
        <f t="shared" si="14"/>
        <v>100</v>
      </c>
      <c r="X35" s="756"/>
      <c r="Y35" s="2988"/>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988"/>
      <c r="Q36" s="1895">
        <f t="shared" si="11"/>
        <v>111</v>
      </c>
      <c r="R36" s="751" t="s">
        <v>25</v>
      </c>
      <c r="S36" s="752">
        <f t="shared" si="12"/>
        <v>100</v>
      </c>
      <c r="T36" s="751" t="s">
        <v>25</v>
      </c>
      <c r="U36" s="752">
        <f t="shared" si="13"/>
        <v>100</v>
      </c>
      <c r="V36" s="751" t="s">
        <v>25</v>
      </c>
      <c r="W36" s="752">
        <f t="shared" si="14"/>
        <v>100</v>
      </c>
      <c r="X36" s="1896"/>
      <c r="Y36" s="2988"/>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2981" t="str">
        <f>A37</f>
        <v>成交单价</v>
      </c>
      <c r="Q37" s="2981"/>
      <c r="R37" s="2982">
        <f>E37</f>
        <v>0</v>
      </c>
      <c r="S37" s="2982"/>
      <c r="T37" s="2982">
        <f>G37</f>
        <v>0</v>
      </c>
      <c r="U37" s="2982"/>
      <c r="V37" s="2982">
        <f>I37</f>
        <v>0</v>
      </c>
      <c r="W37" s="2982"/>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2981" t="str">
        <f>A38</f>
        <v>比较价值</v>
      </c>
      <c r="Q38" s="2981"/>
      <c r="R38" s="2982" t="e">
        <f>IF(E1="售价",ROUND(PRODUCT(R37,AA7:AA36),0),ROUND(PRODUCT(R37,AA7:AA36),1))</f>
        <v>#DIV/0!</v>
      </c>
      <c r="S38" s="2982"/>
      <c r="T38" s="2982" t="e">
        <f>IF(E1="售价",ROUND(PRODUCT(T37,AB7:AB36),0),ROUND(PRODUCT(T37,AB7:AB36),1))</f>
        <v>#DIV/0!</v>
      </c>
      <c r="U38" s="2982"/>
      <c r="V38" s="2982" t="e">
        <f>IF(E1="售价",ROUND(PRODUCT(V37,AC7:AC36),0),ROUND(PRODUCT(V37,AC7:AC36),1))</f>
        <v>#DIV/0!</v>
      </c>
      <c r="W38" s="2982"/>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24" t="str">
        <f>A39</f>
        <v>估价对象XX用房的比较价值（楼面单价，元/平方米）</v>
      </c>
      <c r="Q39" s="2980"/>
      <c r="R39" s="2984" t="e">
        <f>IF(E1="售价",ROUND(AVERAGE(R38:V38),0),ROUND(AVERAGE(R38:V38),1))</f>
        <v>#DIV/0!</v>
      </c>
      <c r="S39" s="2984"/>
      <c r="T39" s="2984"/>
      <c r="U39" s="2984"/>
      <c r="V39" s="2984"/>
      <c r="W39" s="2984"/>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6" t="s">
        <v>2335</v>
      </c>
      <c r="D4" s="3007"/>
      <c r="E4" s="3008" t="s">
        <v>2336</v>
      </c>
      <c r="F4" s="3009"/>
      <c r="G4" s="3006" t="s">
        <v>2337</v>
      </c>
      <c r="H4" s="3007"/>
      <c r="I4" s="3006" t="s">
        <v>2338</v>
      </c>
      <c r="J4" s="3007"/>
      <c r="K4" s="594"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04" t="s">
        <v>2337</v>
      </c>
      <c r="AC4" s="3003" t="s">
        <v>2338</v>
      </c>
    </row>
    <row r="5" spans="1:29" ht="15">
      <c r="A5" s="383"/>
      <c r="B5" s="384"/>
      <c r="C5" s="3021" t="s">
        <v>2341</v>
      </c>
      <c r="D5" s="3018"/>
      <c r="E5" s="3015" t="s">
        <v>2342</v>
      </c>
      <c r="F5" s="3016"/>
      <c r="G5" s="3021" t="s">
        <v>2343</v>
      </c>
      <c r="H5" s="3018"/>
      <c r="I5" s="3021" t="s">
        <v>2344</v>
      </c>
      <c r="J5" s="3018"/>
      <c r="K5" s="594"/>
      <c r="L5" s="1240"/>
      <c r="M5" s="1241"/>
      <c r="N5" s="1241"/>
      <c r="O5" s="1241"/>
      <c r="P5" s="303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594" t="s">
        <v>2346</v>
      </c>
      <c r="L6" s="1240"/>
      <c r="M6" s="1241"/>
      <c r="N6" s="1241"/>
      <c r="O6" s="1241"/>
      <c r="P6" s="303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2990" t="s">
        <v>2348</v>
      </c>
      <c r="Q7" s="2998"/>
      <c r="R7" s="747" t="s">
        <v>25</v>
      </c>
      <c r="S7" s="748">
        <f t="shared" ref="S7:S14" si="0">F7</f>
        <v>0</v>
      </c>
      <c r="T7" s="747" t="s">
        <v>25</v>
      </c>
      <c r="U7" s="748">
        <f t="shared" ref="U7:U14" si="1">H7</f>
        <v>0</v>
      </c>
      <c r="V7" s="747" t="s">
        <v>25</v>
      </c>
      <c r="W7" s="748">
        <f t="shared" ref="W7:W14" si="2">J7</f>
        <v>0</v>
      </c>
      <c r="X7" s="749"/>
      <c r="Y7" s="2990" t="s">
        <v>2348</v>
      </c>
      <c r="Z7" s="2991"/>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2990" t="s">
        <v>2351</v>
      </c>
      <c r="Q8" s="2991"/>
      <c r="R8" s="747" t="s">
        <v>25</v>
      </c>
      <c r="S8" s="748">
        <f t="shared" si="0"/>
        <v>0</v>
      </c>
      <c r="T8" s="747" t="s">
        <v>25</v>
      </c>
      <c r="U8" s="748">
        <f t="shared" si="1"/>
        <v>0</v>
      </c>
      <c r="V8" s="747" t="s">
        <v>25</v>
      </c>
      <c r="W8" s="748">
        <f t="shared" si="2"/>
        <v>0</v>
      </c>
      <c r="X8" s="749"/>
      <c r="Y8" s="2990" t="s">
        <v>2351</v>
      </c>
      <c r="Z8" s="2991"/>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81" t="s">
        <v>2354</v>
      </c>
      <c r="Q9" s="1883" t="str">
        <f t="shared" ref="Q9:Q14" si="6">B9</f>
        <v>用途</v>
      </c>
      <c r="R9" s="747" t="s">
        <v>25</v>
      </c>
      <c r="S9" s="748">
        <f t="shared" si="0"/>
        <v>100</v>
      </c>
      <c r="T9" s="747" t="s">
        <v>25</v>
      </c>
      <c r="U9" s="748">
        <f t="shared" si="1"/>
        <v>100</v>
      </c>
      <c r="V9" s="747" t="s">
        <v>25</v>
      </c>
      <c r="W9" s="748">
        <f t="shared" si="2"/>
        <v>100</v>
      </c>
      <c r="X9" s="749"/>
      <c r="Y9" s="2841"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81"/>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81"/>
      <c r="Q11" s="1883">
        <f t="shared" si="6"/>
        <v>111</v>
      </c>
      <c r="R11" s="747" t="s">
        <v>25</v>
      </c>
      <c r="S11" s="748">
        <f t="shared" si="0"/>
        <v>100</v>
      </c>
      <c r="T11" s="747" t="s">
        <v>25</v>
      </c>
      <c r="U11" s="748">
        <f t="shared" si="1"/>
        <v>100</v>
      </c>
      <c r="V11" s="747" t="s">
        <v>25</v>
      </c>
      <c r="W11" s="748">
        <f t="shared" si="2"/>
        <v>100</v>
      </c>
      <c r="X11" s="749"/>
      <c r="Y11" s="2841"/>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81"/>
      <c r="Q12" s="1883">
        <f t="shared" si="6"/>
        <v>111</v>
      </c>
      <c r="R12" s="747" t="s">
        <v>25</v>
      </c>
      <c r="S12" s="748">
        <f t="shared" si="0"/>
        <v>100</v>
      </c>
      <c r="T12" s="747" t="s">
        <v>25</v>
      </c>
      <c r="U12" s="748">
        <f t="shared" si="1"/>
        <v>100</v>
      </c>
      <c r="V12" s="747" t="s">
        <v>25</v>
      </c>
      <c r="W12" s="748">
        <f t="shared" si="2"/>
        <v>100</v>
      </c>
      <c r="X12" s="749"/>
      <c r="Y12" s="2841"/>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81"/>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01" t="s">
        <v>2359</v>
      </c>
      <c r="Q14" s="1895" t="str">
        <f t="shared" si="6"/>
        <v>交通便捷度</v>
      </c>
      <c r="R14" s="751" t="s">
        <v>25</v>
      </c>
      <c r="S14" s="752">
        <f t="shared" si="0"/>
        <v>100</v>
      </c>
      <c r="T14" s="751" t="s">
        <v>25</v>
      </c>
      <c r="U14" s="752">
        <f t="shared" si="1"/>
        <v>100</v>
      </c>
      <c r="V14" s="751" t="s">
        <v>25</v>
      </c>
      <c r="W14" s="752">
        <f t="shared" si="2"/>
        <v>100</v>
      </c>
      <c r="X14" s="1896"/>
      <c r="Y14" s="3001"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02"/>
      <c r="Q15" s="1895"/>
      <c r="R15" s="751"/>
      <c r="S15" s="752"/>
      <c r="T15" s="751"/>
      <c r="U15" s="752"/>
      <c r="V15" s="751"/>
      <c r="W15" s="752"/>
      <c r="X15" s="1896"/>
      <c r="Y15" s="3002"/>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02"/>
      <c r="Q16" s="1895" t="str">
        <f>B16</f>
        <v>公共配套设施</v>
      </c>
      <c r="R16" s="751" t="s">
        <v>25</v>
      </c>
      <c r="S16" s="752">
        <f>F16</f>
        <v>100</v>
      </c>
      <c r="T16" s="751" t="s">
        <v>25</v>
      </c>
      <c r="U16" s="752">
        <f>H16</f>
        <v>100</v>
      </c>
      <c r="V16" s="751" t="s">
        <v>25</v>
      </c>
      <c r="W16" s="752">
        <f>J16</f>
        <v>100</v>
      </c>
      <c r="X16" s="1896"/>
      <c r="Y16" s="3002"/>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02"/>
      <c r="Q17" s="1895"/>
      <c r="R17" s="751"/>
      <c r="S17" s="752"/>
      <c r="T17" s="751"/>
      <c r="U17" s="752"/>
      <c r="V17" s="751"/>
      <c r="W17" s="752"/>
      <c r="X17" s="1896"/>
      <c r="Y17" s="3002"/>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02"/>
      <c r="Q18" s="1895" t="str">
        <f>B18</f>
        <v>基础设施水平</v>
      </c>
      <c r="R18" s="751" t="s">
        <v>25</v>
      </c>
      <c r="S18" s="752">
        <f>F18</f>
        <v>100</v>
      </c>
      <c r="T18" s="751" t="s">
        <v>25</v>
      </c>
      <c r="U18" s="752">
        <f>H18</f>
        <v>100</v>
      </c>
      <c r="V18" s="751" t="s">
        <v>25</v>
      </c>
      <c r="W18" s="752">
        <f>J18</f>
        <v>100</v>
      </c>
      <c r="X18" s="1896"/>
      <c r="Y18" s="3002"/>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02"/>
      <c r="Q19" s="1895"/>
      <c r="R19" s="751"/>
      <c r="S19" s="752"/>
      <c r="T19" s="751"/>
      <c r="U19" s="752"/>
      <c r="V19" s="751"/>
      <c r="W19" s="752"/>
      <c r="X19" s="1896"/>
      <c r="Y19" s="3002"/>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02"/>
      <c r="Q20" s="1895" t="str">
        <f>B20</f>
        <v>自然及人文环境</v>
      </c>
      <c r="R20" s="751" t="s">
        <v>25</v>
      </c>
      <c r="S20" s="752">
        <f>F20</f>
        <v>100</v>
      </c>
      <c r="T20" s="751" t="s">
        <v>25</v>
      </c>
      <c r="U20" s="752">
        <f>H20</f>
        <v>100</v>
      </c>
      <c r="V20" s="751" t="s">
        <v>25</v>
      </c>
      <c r="W20" s="752">
        <f>J20</f>
        <v>100</v>
      </c>
      <c r="X20" s="1896"/>
      <c r="Y20" s="300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02"/>
      <c r="Q21" s="1895"/>
      <c r="R21" s="751"/>
      <c r="S21" s="752"/>
      <c r="T21" s="751"/>
      <c r="U21" s="752"/>
      <c r="V21" s="751"/>
      <c r="W21" s="752"/>
      <c r="X21" s="1896"/>
      <c r="Y21" s="3002"/>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02"/>
      <c r="Q22" s="1895" t="str">
        <f>B22</f>
        <v>楼层</v>
      </c>
      <c r="R22" s="751" t="s">
        <v>25</v>
      </c>
      <c r="S22" s="752">
        <f>F22</f>
        <v>100</v>
      </c>
      <c r="T22" s="751" t="s">
        <v>25</v>
      </c>
      <c r="U22" s="752">
        <f>H22</f>
        <v>100</v>
      </c>
      <c r="V22" s="751" t="s">
        <v>25</v>
      </c>
      <c r="W22" s="752">
        <f>J22</f>
        <v>100</v>
      </c>
      <c r="X22" s="1896"/>
      <c r="Y22" s="3002"/>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02"/>
      <c r="Q23" s="1895">
        <f>B23</f>
        <v>111</v>
      </c>
      <c r="R23" s="751" t="s">
        <v>25</v>
      </c>
      <c r="S23" s="752">
        <f>F23</f>
        <v>100</v>
      </c>
      <c r="T23" s="751" t="s">
        <v>25</v>
      </c>
      <c r="U23" s="752">
        <f>H23</f>
        <v>100</v>
      </c>
      <c r="V23" s="751" t="s">
        <v>25</v>
      </c>
      <c r="W23" s="752">
        <f>J23</f>
        <v>100</v>
      </c>
      <c r="X23" s="1896"/>
      <c r="Y23" s="3002"/>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02"/>
      <c r="Q24" s="1895">
        <f t="shared" ref="Q24:Q34" si="11">B24</f>
        <v>111</v>
      </c>
      <c r="R24" s="751" t="s">
        <v>25</v>
      </c>
      <c r="S24" s="752">
        <f>F24</f>
        <v>100</v>
      </c>
      <c r="T24" s="751" t="s">
        <v>25</v>
      </c>
      <c r="U24" s="752">
        <f>H24</f>
        <v>100</v>
      </c>
      <c r="V24" s="751" t="s">
        <v>25</v>
      </c>
      <c r="W24" s="752">
        <f>J24</f>
        <v>100</v>
      </c>
      <c r="X24" s="1896"/>
      <c r="Y24" s="3002"/>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02"/>
      <c r="Q25" s="1883">
        <f t="shared" si="11"/>
        <v>111</v>
      </c>
      <c r="R25" s="747" t="s">
        <v>25</v>
      </c>
      <c r="S25" s="748">
        <f>F25</f>
        <v>100</v>
      </c>
      <c r="T25" s="747" t="s">
        <v>25</v>
      </c>
      <c r="U25" s="748">
        <f>H25</f>
        <v>100</v>
      </c>
      <c r="V25" s="747" t="s">
        <v>25</v>
      </c>
      <c r="W25" s="748">
        <f>J25</f>
        <v>100</v>
      </c>
      <c r="X25" s="749"/>
      <c r="Y25" s="3002"/>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6"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2988"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2988"/>
      <c r="Q27" s="753" t="str">
        <f t="shared" si="11"/>
        <v>成新率</v>
      </c>
      <c r="R27" s="754" t="s">
        <v>25</v>
      </c>
      <c r="S27" s="755" t="e">
        <f t="shared" si="12"/>
        <v>#N/A</v>
      </c>
      <c r="T27" s="754" t="s">
        <v>25</v>
      </c>
      <c r="U27" s="755" t="e">
        <f t="shared" si="13"/>
        <v>#N/A</v>
      </c>
      <c r="V27" s="754" t="s">
        <v>25</v>
      </c>
      <c r="W27" s="755" t="e">
        <f t="shared" si="14"/>
        <v>#N/A</v>
      </c>
      <c r="X27" s="756"/>
      <c r="Y27" s="2988"/>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2988"/>
      <c r="Q28" s="1895" t="str">
        <f t="shared" si="11"/>
        <v>物业等级</v>
      </c>
      <c r="R28" s="751" t="s">
        <v>25</v>
      </c>
      <c r="S28" s="752">
        <f t="shared" si="12"/>
        <v>100</v>
      </c>
      <c r="T28" s="751" t="s">
        <v>25</v>
      </c>
      <c r="U28" s="752">
        <f t="shared" si="13"/>
        <v>100</v>
      </c>
      <c r="V28" s="751" t="s">
        <v>25</v>
      </c>
      <c r="W28" s="752">
        <f t="shared" si="14"/>
        <v>100</v>
      </c>
      <c r="X28" s="1896"/>
      <c r="Y28" s="2988"/>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2988"/>
      <c r="Q29" s="1895" t="str">
        <f t="shared" si="11"/>
        <v>有无电梯</v>
      </c>
      <c r="R29" s="751" t="s">
        <v>25</v>
      </c>
      <c r="S29" s="752">
        <f t="shared" si="12"/>
        <v>100</v>
      </c>
      <c r="T29" s="751" t="s">
        <v>25</v>
      </c>
      <c r="U29" s="752">
        <f t="shared" si="13"/>
        <v>100</v>
      </c>
      <c r="V29" s="751" t="s">
        <v>25</v>
      </c>
      <c r="W29" s="752">
        <f t="shared" si="14"/>
        <v>100</v>
      </c>
      <c r="X29" s="1896"/>
      <c r="Y29" s="2988"/>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2988"/>
      <c r="Q30" s="1895" t="str">
        <f t="shared" si="11"/>
        <v>建筑面积</v>
      </c>
      <c r="R30" s="751" t="s">
        <v>25</v>
      </c>
      <c r="S30" s="752" t="e">
        <f t="shared" si="12"/>
        <v>#N/A</v>
      </c>
      <c r="T30" s="751" t="s">
        <v>25</v>
      </c>
      <c r="U30" s="752" t="e">
        <f t="shared" si="13"/>
        <v>#N/A</v>
      </c>
      <c r="V30" s="751" t="s">
        <v>25</v>
      </c>
      <c r="W30" s="752" t="e">
        <f t="shared" si="14"/>
        <v>#N/A</v>
      </c>
      <c r="X30" s="1896"/>
      <c r="Y30" s="2988"/>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2988"/>
      <c r="Q31" s="1883" t="str">
        <f t="shared" si="11"/>
        <v>是否封闭</v>
      </c>
      <c r="R31" s="747" t="s">
        <v>25</v>
      </c>
      <c r="S31" s="748">
        <f t="shared" si="12"/>
        <v>100</v>
      </c>
      <c r="T31" s="747" t="s">
        <v>25</v>
      </c>
      <c r="U31" s="748">
        <f t="shared" si="13"/>
        <v>100</v>
      </c>
      <c r="V31" s="747" t="s">
        <v>25</v>
      </c>
      <c r="W31" s="748">
        <f t="shared" si="14"/>
        <v>100</v>
      </c>
      <c r="X31" s="749"/>
      <c r="Y31" s="2988"/>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2988" t="s">
        <v>2365</v>
      </c>
      <c r="Q32" s="1895">
        <f t="shared" si="11"/>
        <v>111</v>
      </c>
      <c r="R32" s="751" t="s">
        <v>25</v>
      </c>
      <c r="S32" s="752">
        <f t="shared" si="12"/>
        <v>100</v>
      </c>
      <c r="T32" s="751" t="s">
        <v>25</v>
      </c>
      <c r="U32" s="752">
        <f t="shared" si="13"/>
        <v>100</v>
      </c>
      <c r="V32" s="751" t="s">
        <v>25</v>
      </c>
      <c r="W32" s="752">
        <f t="shared" si="14"/>
        <v>100</v>
      </c>
      <c r="X32" s="1896"/>
      <c r="Y32" s="2988"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2988"/>
      <c r="Q33" s="1895">
        <f t="shared" si="11"/>
        <v>111</v>
      </c>
      <c r="R33" s="751" t="s">
        <v>25</v>
      </c>
      <c r="S33" s="752">
        <f t="shared" si="12"/>
        <v>100</v>
      </c>
      <c r="T33" s="751" t="s">
        <v>25</v>
      </c>
      <c r="U33" s="752">
        <f t="shared" si="13"/>
        <v>100</v>
      </c>
      <c r="V33" s="751" t="s">
        <v>25</v>
      </c>
      <c r="W33" s="752">
        <f t="shared" si="14"/>
        <v>100</v>
      </c>
      <c r="X33" s="1896"/>
      <c r="Y33" s="2988"/>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2988"/>
      <c r="Q34" s="1895">
        <f t="shared" si="11"/>
        <v>111</v>
      </c>
      <c r="R34" s="751" t="s">
        <v>25</v>
      </c>
      <c r="S34" s="752">
        <f t="shared" si="12"/>
        <v>100</v>
      </c>
      <c r="T34" s="751" t="s">
        <v>25</v>
      </c>
      <c r="U34" s="752">
        <f t="shared" si="13"/>
        <v>100</v>
      </c>
      <c r="V34" s="751" t="s">
        <v>25</v>
      </c>
      <c r="W34" s="752">
        <f t="shared" si="14"/>
        <v>100</v>
      </c>
      <c r="X34" s="1896"/>
      <c r="Y34" s="2988"/>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2981" t="str">
        <f>A35</f>
        <v>成交单价（元/平方米）</v>
      </c>
      <c r="Q35" s="2981"/>
      <c r="R35" s="2982">
        <f>E35</f>
        <v>0</v>
      </c>
      <c r="S35" s="2982"/>
      <c r="T35" s="2982">
        <f>G35</f>
        <v>0</v>
      </c>
      <c r="U35" s="2982"/>
      <c r="V35" s="2982">
        <f>I35</f>
        <v>0</v>
      </c>
      <c r="W35" s="2982"/>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2981" t="str">
        <f>A36</f>
        <v>比较价值（元/平方米）</v>
      </c>
      <c r="Q36" s="2981"/>
      <c r="R36" s="2982" t="e">
        <f>IF(E1="售价",ROUND(PRODUCT(R35,AA7:AA34),0),ROUND(PRODUCT(R35,AA7:AA34),1))</f>
        <v>#DIV/0!</v>
      </c>
      <c r="S36" s="2982"/>
      <c r="T36" s="2982" t="e">
        <f>IF(E1="售价",ROUND(PRODUCT(T35,AB7:AB34),0),ROUND(PRODUCT(T35,AB7:AB34),1))</f>
        <v>#DIV/0!</v>
      </c>
      <c r="U36" s="2982"/>
      <c r="V36" s="2982" t="e">
        <f>IF(E1="售价",ROUND(PRODUCT(V35,AC7:AC34),0),ROUND(PRODUCT(V35,AC7:AC34),1))</f>
        <v>#DIV/0!</v>
      </c>
      <c r="W36" s="2982"/>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24" t="str">
        <f>A37</f>
        <v>估价对象XX用房的比较价值（楼面单价，元/平方米）</v>
      </c>
      <c r="Q37" s="2980"/>
      <c r="R37" s="2984" t="e">
        <f>IF(E1="售价",ROUND(AVERAGE(R36:V36),0),ROUND(AVERAGE(R36:V36),1))</f>
        <v>#DIV/0!</v>
      </c>
      <c r="S37" s="2984"/>
      <c r="T37" s="2984"/>
      <c r="U37" s="2984"/>
      <c r="V37" s="2984"/>
      <c r="W37" s="2984"/>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3006" t="s">
        <v>2335</v>
      </c>
      <c r="D4" s="3007"/>
      <c r="E4" s="3008" t="s">
        <v>2336</v>
      </c>
      <c r="F4" s="3009"/>
      <c r="G4" s="3006" t="s">
        <v>2337</v>
      </c>
      <c r="H4" s="3007"/>
      <c r="I4" s="3006" t="s">
        <v>2338</v>
      </c>
      <c r="J4" s="3007"/>
      <c r="K4" s="594"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04" t="s">
        <v>2337</v>
      </c>
      <c r="AC4" s="3003" t="s">
        <v>2338</v>
      </c>
    </row>
    <row r="5" spans="1:30" ht="15">
      <c r="A5" s="383"/>
      <c r="B5" s="384"/>
      <c r="C5" s="3021" t="s">
        <v>2341</v>
      </c>
      <c r="D5" s="3018"/>
      <c r="E5" s="3015" t="s">
        <v>2342</v>
      </c>
      <c r="F5" s="3016"/>
      <c r="G5" s="3021" t="s">
        <v>2343</v>
      </c>
      <c r="H5" s="3018"/>
      <c r="I5" s="3021" t="s">
        <v>2344</v>
      </c>
      <c r="J5" s="3018"/>
      <c r="K5" s="594"/>
      <c r="L5" s="1240"/>
      <c r="M5" s="1241"/>
      <c r="N5" s="1241"/>
      <c r="O5" s="1241"/>
      <c r="P5" s="3031"/>
      <c r="Q5" s="3000"/>
      <c r="R5" s="2994"/>
      <c r="S5" s="2995"/>
      <c r="T5" s="2994"/>
      <c r="U5" s="2995"/>
      <c r="V5" s="3014"/>
      <c r="W5" s="3014"/>
      <c r="X5" s="1896"/>
      <c r="Y5" s="2994"/>
      <c r="Z5" s="2995"/>
      <c r="AA5" s="3004"/>
      <c r="AB5" s="3004"/>
      <c r="AC5" s="3004"/>
    </row>
    <row r="6" spans="1:30" ht="15.75" thickBot="1">
      <c r="A6" s="385"/>
      <c r="B6" s="386"/>
      <c r="C6" s="3019" t="s">
        <v>2345</v>
      </c>
      <c r="D6" s="3020"/>
      <c r="E6" s="3022" t="s">
        <v>2345</v>
      </c>
      <c r="F6" s="3023"/>
      <c r="G6" s="3019" t="s">
        <v>2345</v>
      </c>
      <c r="H6" s="3020"/>
      <c r="I6" s="3019" t="s">
        <v>2345</v>
      </c>
      <c r="J6" s="3020"/>
      <c r="K6" s="594" t="s">
        <v>2346</v>
      </c>
      <c r="L6" s="1240"/>
      <c r="M6" s="1241"/>
      <c r="N6" s="1241"/>
      <c r="O6" s="1241"/>
      <c r="P6" s="3032"/>
      <c r="Q6" s="3013"/>
      <c r="R6" s="2994"/>
      <c r="S6" s="2995"/>
      <c r="T6" s="2996"/>
      <c r="U6" s="2997"/>
      <c r="V6" s="3014"/>
      <c r="W6" s="3014"/>
      <c r="X6" s="1896"/>
      <c r="Y6" s="2996"/>
      <c r="Z6" s="2997"/>
      <c r="AA6" s="3005"/>
      <c r="AB6" s="3005"/>
      <c r="AC6" s="3005"/>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2990" t="s">
        <v>2348</v>
      </c>
      <c r="Q7" s="2998"/>
      <c r="R7" s="747" t="s">
        <v>25</v>
      </c>
      <c r="S7" s="748">
        <f t="shared" ref="S7:S15" si="0">F7</f>
        <v>0</v>
      </c>
      <c r="T7" s="747" t="s">
        <v>25</v>
      </c>
      <c r="U7" s="748">
        <f t="shared" ref="U7:U15" si="1">H7</f>
        <v>0</v>
      </c>
      <c r="V7" s="747" t="s">
        <v>25</v>
      </c>
      <c r="W7" s="748">
        <f t="shared" ref="W7:W15" si="2">J7</f>
        <v>0</v>
      </c>
      <c r="X7" s="749"/>
      <c r="Y7" s="2990" t="s">
        <v>2348</v>
      </c>
      <c r="Z7" s="2991"/>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2990" t="s">
        <v>2351</v>
      </c>
      <c r="Q8" s="2991"/>
      <c r="R8" s="747" t="s">
        <v>25</v>
      </c>
      <c r="S8" s="748">
        <f t="shared" si="0"/>
        <v>0</v>
      </c>
      <c r="T8" s="747" t="s">
        <v>25</v>
      </c>
      <c r="U8" s="748">
        <f t="shared" si="1"/>
        <v>0</v>
      </c>
      <c r="V8" s="747" t="s">
        <v>25</v>
      </c>
      <c r="W8" s="748">
        <f t="shared" si="2"/>
        <v>0</v>
      </c>
      <c r="X8" s="749"/>
      <c r="Y8" s="2990" t="s">
        <v>2351</v>
      </c>
      <c r="Z8" s="2991"/>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2981"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2981"/>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2981"/>
      <c r="Q11" s="1883" t="str">
        <f t="shared" si="6"/>
        <v>容积率</v>
      </c>
      <c r="R11" s="747" t="s">
        <v>25</v>
      </c>
      <c r="S11" s="748" t="e">
        <f t="shared" si="0"/>
        <v>#N/A</v>
      </c>
      <c r="T11" s="747" t="s">
        <v>25</v>
      </c>
      <c r="U11" s="748" t="e">
        <f t="shared" si="1"/>
        <v>#N/A</v>
      </c>
      <c r="V11" s="747" t="s">
        <v>25</v>
      </c>
      <c r="W11" s="748" t="e">
        <f t="shared" si="2"/>
        <v>#N/A</v>
      </c>
      <c r="X11" s="749"/>
      <c r="Y11" s="2841"/>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2981"/>
      <c r="Q12" s="1883" t="str">
        <f t="shared" si="6"/>
        <v>配建</v>
      </c>
      <c r="R12" s="747" t="s">
        <v>25</v>
      </c>
      <c r="S12" s="748">
        <f t="shared" si="0"/>
        <v>100</v>
      </c>
      <c r="T12" s="747" t="s">
        <v>25</v>
      </c>
      <c r="U12" s="748">
        <f t="shared" si="1"/>
        <v>100</v>
      </c>
      <c r="V12" s="747" t="s">
        <v>25</v>
      </c>
      <c r="W12" s="748">
        <f t="shared" si="2"/>
        <v>100</v>
      </c>
      <c r="X12" s="749"/>
      <c r="Y12" s="2841"/>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2981"/>
      <c r="Q13" s="1883">
        <f t="shared" si="6"/>
        <v>111</v>
      </c>
      <c r="R13" s="747" t="s">
        <v>25</v>
      </c>
      <c r="S13" s="748">
        <f t="shared" si="0"/>
        <v>100</v>
      </c>
      <c r="T13" s="747" t="s">
        <v>25</v>
      </c>
      <c r="U13" s="748">
        <f t="shared" si="1"/>
        <v>100</v>
      </c>
      <c r="V13" s="747" t="s">
        <v>25</v>
      </c>
      <c r="W13" s="748">
        <f t="shared" si="2"/>
        <v>100</v>
      </c>
      <c r="X13" s="749"/>
      <c r="Y13" s="2841"/>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2981"/>
      <c r="Q14" s="1883">
        <f t="shared" si="6"/>
        <v>111</v>
      </c>
      <c r="R14" s="747" t="s">
        <v>25</v>
      </c>
      <c r="S14" s="748">
        <f t="shared" si="0"/>
        <v>100</v>
      </c>
      <c r="T14" s="747" t="s">
        <v>25</v>
      </c>
      <c r="U14" s="748">
        <f t="shared" si="1"/>
        <v>100</v>
      </c>
      <c r="V14" s="747" t="s">
        <v>25</v>
      </c>
      <c r="W14" s="748">
        <f t="shared" si="2"/>
        <v>100</v>
      </c>
      <c r="X14" s="749"/>
      <c r="Y14" s="2841"/>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01" t="s">
        <v>2359</v>
      </c>
      <c r="Q15" s="1895" t="str">
        <f t="shared" si="6"/>
        <v>居住社区成熟度</v>
      </c>
      <c r="R15" s="751" t="s">
        <v>25</v>
      </c>
      <c r="S15" s="752">
        <f t="shared" si="0"/>
        <v>100</v>
      </c>
      <c r="T15" s="751" t="s">
        <v>25</v>
      </c>
      <c r="U15" s="752">
        <f t="shared" si="1"/>
        <v>100</v>
      </c>
      <c r="V15" s="751" t="s">
        <v>25</v>
      </c>
      <c r="W15" s="752">
        <f t="shared" si="2"/>
        <v>100</v>
      </c>
      <c r="X15" s="1896"/>
      <c r="Y15" s="3001"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02"/>
      <c r="Q16" s="1895"/>
      <c r="R16" s="751"/>
      <c r="S16" s="752"/>
      <c r="T16" s="751"/>
      <c r="U16" s="752"/>
      <c r="V16" s="751"/>
      <c r="W16" s="752"/>
      <c r="X16" s="1896"/>
      <c r="Y16" s="3002"/>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02"/>
      <c r="Q17" s="1895" t="str">
        <f>B17</f>
        <v>商业繁华度</v>
      </c>
      <c r="R17" s="751" t="s">
        <v>25</v>
      </c>
      <c r="S17" s="752">
        <f>F17</f>
        <v>100</v>
      </c>
      <c r="T17" s="751" t="s">
        <v>25</v>
      </c>
      <c r="U17" s="752">
        <f>H17</f>
        <v>100</v>
      </c>
      <c r="V17" s="751" t="s">
        <v>25</v>
      </c>
      <c r="W17" s="752">
        <f>J17</f>
        <v>100</v>
      </c>
      <c r="X17" s="1896"/>
      <c r="Y17" s="3002"/>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02"/>
      <c r="Q18" s="1895"/>
      <c r="R18" s="751"/>
      <c r="S18" s="752"/>
      <c r="T18" s="751"/>
      <c r="U18" s="752"/>
      <c r="V18" s="751"/>
      <c r="W18" s="752"/>
      <c r="X18" s="1896"/>
      <c r="Y18" s="3002"/>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02"/>
      <c r="Q19" s="1895" t="str">
        <f>B19</f>
        <v>办公集聚程度</v>
      </c>
      <c r="R19" s="751" t="s">
        <v>25</v>
      </c>
      <c r="S19" s="752">
        <f>F19</f>
        <v>100</v>
      </c>
      <c r="T19" s="751" t="s">
        <v>25</v>
      </c>
      <c r="U19" s="752">
        <f>H19</f>
        <v>100</v>
      </c>
      <c r="V19" s="751" t="s">
        <v>25</v>
      </c>
      <c r="W19" s="752">
        <f>J19</f>
        <v>100</v>
      </c>
      <c r="X19" s="1896"/>
      <c r="Y19" s="3002"/>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02"/>
      <c r="Q20" s="1895"/>
      <c r="R20" s="751"/>
      <c r="S20" s="752"/>
      <c r="T20" s="751"/>
      <c r="U20" s="752"/>
      <c r="V20" s="751"/>
      <c r="W20" s="752"/>
      <c r="X20" s="1896"/>
      <c r="Y20" s="3002"/>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02"/>
      <c r="Q21" s="1895" t="str">
        <f>B21</f>
        <v>交通便捷度</v>
      </c>
      <c r="R21" s="751" t="s">
        <v>25</v>
      </c>
      <c r="S21" s="752">
        <f>F21</f>
        <v>100</v>
      </c>
      <c r="T21" s="751" t="s">
        <v>25</v>
      </c>
      <c r="U21" s="752">
        <f>H21</f>
        <v>100</v>
      </c>
      <c r="V21" s="751" t="s">
        <v>25</v>
      </c>
      <c r="W21" s="752">
        <f>J21</f>
        <v>100</v>
      </c>
      <c r="X21" s="1896"/>
      <c r="Y21" s="3002"/>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02"/>
      <c r="Q22" s="1895"/>
      <c r="R22" s="751"/>
      <c r="S22" s="752"/>
      <c r="T22" s="751"/>
      <c r="U22" s="752"/>
      <c r="V22" s="751"/>
      <c r="W22" s="752"/>
      <c r="X22" s="1896"/>
      <c r="Y22" s="3002"/>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02"/>
      <c r="Q23" s="1895" t="str">
        <f t="shared" ref="Q23:Q37" si="8">B23</f>
        <v>区域土地利用方向</v>
      </c>
      <c r="R23" s="751" t="s">
        <v>25</v>
      </c>
      <c r="S23" s="752">
        <f>F23</f>
        <v>100</v>
      </c>
      <c r="T23" s="751" t="s">
        <v>25</v>
      </c>
      <c r="U23" s="752">
        <f>H23</f>
        <v>100</v>
      </c>
      <c r="V23" s="751" t="s">
        <v>25</v>
      </c>
      <c r="W23" s="752">
        <f>J23</f>
        <v>100</v>
      </c>
      <c r="X23" s="1896"/>
      <c r="Y23" s="3002"/>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02"/>
      <c r="Q24" s="1895"/>
      <c r="R24" s="751"/>
      <c r="S24" s="752"/>
      <c r="T24" s="751"/>
      <c r="U24" s="752"/>
      <c r="V24" s="751"/>
      <c r="W24" s="752"/>
      <c r="X24" s="1896"/>
      <c r="Y24" s="3002"/>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02"/>
      <c r="Q25" s="1895" t="str">
        <f t="shared" si="8"/>
        <v>自然及人文环境状况</v>
      </c>
      <c r="R25" s="751" t="s">
        <v>25</v>
      </c>
      <c r="S25" s="752">
        <f>F25</f>
        <v>100</v>
      </c>
      <c r="T25" s="751" t="s">
        <v>25</v>
      </c>
      <c r="U25" s="752">
        <f>H25</f>
        <v>100</v>
      </c>
      <c r="V25" s="751" t="s">
        <v>25</v>
      </c>
      <c r="W25" s="752">
        <f>J25</f>
        <v>100</v>
      </c>
      <c r="X25" s="1896"/>
      <c r="Y25" s="3002"/>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02"/>
      <c r="Q26" s="1895"/>
      <c r="R26" s="751"/>
      <c r="S26" s="752"/>
      <c r="T26" s="751"/>
      <c r="U26" s="752"/>
      <c r="V26" s="751"/>
      <c r="W26" s="752"/>
      <c r="X26" s="1896"/>
      <c r="Y26" s="3002"/>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02"/>
      <c r="Q27" s="1883" t="str">
        <f t="shared" ref="Q27" si="9">B27</f>
        <v>公共配套设施</v>
      </c>
      <c r="R27" s="747" t="s">
        <v>25</v>
      </c>
      <c r="S27" s="748">
        <f>F27</f>
        <v>100</v>
      </c>
      <c r="T27" s="747" t="s">
        <v>25</v>
      </c>
      <c r="U27" s="748">
        <f>H27</f>
        <v>100</v>
      </c>
      <c r="V27" s="747" t="s">
        <v>25</v>
      </c>
      <c r="W27" s="748">
        <f>J27</f>
        <v>100</v>
      </c>
      <c r="X27" s="1896"/>
      <c r="Y27" s="3002"/>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02"/>
      <c r="Q28" s="1895"/>
      <c r="R28" s="751"/>
      <c r="S28" s="752"/>
      <c r="T28" s="751"/>
      <c r="U28" s="752"/>
      <c r="V28" s="751"/>
      <c r="W28" s="752"/>
      <c r="X28" s="1896"/>
      <c r="Y28" s="3002"/>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02"/>
      <c r="Q29" s="1883" t="str">
        <f t="shared" si="8"/>
        <v>基础设施水平</v>
      </c>
      <c r="R29" s="747" t="s">
        <v>25</v>
      </c>
      <c r="S29" s="748">
        <f>F29</f>
        <v>100</v>
      </c>
      <c r="T29" s="747" t="s">
        <v>25</v>
      </c>
      <c r="U29" s="748">
        <f>H29</f>
        <v>100</v>
      </c>
      <c r="V29" s="747" t="s">
        <v>25</v>
      </c>
      <c r="W29" s="748">
        <f>J29</f>
        <v>100</v>
      </c>
      <c r="X29" s="749"/>
      <c r="Y29" s="3002"/>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02"/>
      <c r="Q30" s="1883"/>
      <c r="R30" s="747"/>
      <c r="S30" s="748"/>
      <c r="T30" s="747"/>
      <c r="U30" s="748"/>
      <c r="V30" s="747"/>
      <c r="W30" s="748"/>
      <c r="X30" s="749"/>
      <c r="Y30" s="3002"/>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02"/>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02"/>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02"/>
      <c r="Q32" s="1895" t="str">
        <f t="shared" si="8"/>
        <v>毗邻道路的类型与等级</v>
      </c>
      <c r="R32" s="751" t="s">
        <v>25</v>
      </c>
      <c r="S32" s="752">
        <f t="shared" si="10"/>
        <v>100</v>
      </c>
      <c r="T32" s="751" t="s">
        <v>25</v>
      </c>
      <c r="U32" s="752">
        <f t="shared" si="11"/>
        <v>100</v>
      </c>
      <c r="V32" s="751" t="s">
        <v>25</v>
      </c>
      <c r="W32" s="752">
        <f t="shared" si="12"/>
        <v>100</v>
      </c>
      <c r="X32" s="1896"/>
      <c r="Y32" s="3002"/>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02"/>
      <c r="Q33" s="1895"/>
      <c r="R33" s="751"/>
      <c r="S33" s="752"/>
      <c r="T33" s="751"/>
      <c r="U33" s="752"/>
      <c r="V33" s="751"/>
      <c r="W33" s="752"/>
      <c r="X33" s="1896"/>
      <c r="Y33" s="3002"/>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02"/>
      <c r="Q34" s="1895" t="str">
        <f t="shared" si="8"/>
        <v>土地级别</v>
      </c>
      <c r="R34" s="751" t="s">
        <v>25</v>
      </c>
      <c r="S34" s="752">
        <f t="shared" si="10"/>
        <v>100</v>
      </c>
      <c r="T34" s="751" t="s">
        <v>25</v>
      </c>
      <c r="U34" s="752">
        <f t="shared" si="11"/>
        <v>100</v>
      </c>
      <c r="V34" s="751" t="s">
        <v>25</v>
      </c>
      <c r="W34" s="752">
        <f t="shared" si="12"/>
        <v>100</v>
      </c>
      <c r="X34" s="1896"/>
      <c r="Y34" s="3002"/>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02"/>
      <c r="Q35" s="1895">
        <f t="shared" si="8"/>
        <v>111</v>
      </c>
      <c r="R35" s="751" t="s">
        <v>25</v>
      </c>
      <c r="S35" s="752">
        <f t="shared" si="10"/>
        <v>100</v>
      </c>
      <c r="T35" s="751" t="s">
        <v>25</v>
      </c>
      <c r="U35" s="752">
        <f t="shared" si="11"/>
        <v>100</v>
      </c>
      <c r="V35" s="751" t="s">
        <v>25</v>
      </c>
      <c r="W35" s="752">
        <f t="shared" si="12"/>
        <v>100</v>
      </c>
      <c r="X35" s="1896"/>
      <c r="Y35" s="3002"/>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6" t="s">
        <v>2365</v>
      </c>
      <c r="Q36" s="1895">
        <f t="shared" si="8"/>
        <v>111</v>
      </c>
      <c r="R36" s="751" t="s">
        <v>25</v>
      </c>
      <c r="S36" s="752">
        <f t="shared" si="10"/>
        <v>100</v>
      </c>
      <c r="T36" s="751" t="s">
        <v>25</v>
      </c>
      <c r="U36" s="752">
        <f t="shared" si="11"/>
        <v>100</v>
      </c>
      <c r="V36" s="751" t="s">
        <v>25</v>
      </c>
      <c r="W36" s="752">
        <f t="shared" si="12"/>
        <v>100</v>
      </c>
      <c r="X36" s="1896"/>
      <c r="Y36" s="2988"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2988"/>
      <c r="Q37" s="1895">
        <f t="shared" si="8"/>
        <v>111</v>
      </c>
      <c r="R37" s="754" t="s">
        <v>25</v>
      </c>
      <c r="S37" s="755">
        <f t="shared" si="10"/>
        <v>100</v>
      </c>
      <c r="T37" s="754" t="s">
        <v>25</v>
      </c>
      <c r="U37" s="755">
        <f t="shared" si="11"/>
        <v>100</v>
      </c>
      <c r="V37" s="754" t="s">
        <v>25</v>
      </c>
      <c r="W37" s="755">
        <f t="shared" si="12"/>
        <v>100</v>
      </c>
      <c r="X37" s="756"/>
      <c r="Y37" s="2988"/>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2988"/>
      <c r="Q38" s="1895" t="str">
        <f>B38</f>
        <v>宗地面积</v>
      </c>
      <c r="R38" s="751" t="s">
        <v>25</v>
      </c>
      <c r="S38" s="752" t="e">
        <f t="shared" si="10"/>
        <v>#N/A</v>
      </c>
      <c r="T38" s="751" t="s">
        <v>25</v>
      </c>
      <c r="U38" s="752" t="e">
        <f t="shared" si="11"/>
        <v>#N/A</v>
      </c>
      <c r="V38" s="751" t="s">
        <v>25</v>
      </c>
      <c r="W38" s="752" t="e">
        <f t="shared" si="12"/>
        <v>#N/A</v>
      </c>
      <c r="X38" s="1896"/>
      <c r="Y38" s="2988"/>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2988"/>
      <c r="Q39" s="1895" t="str">
        <f t="shared" ref="Q39:Q45" si="14">B39</f>
        <v>宗地形状</v>
      </c>
      <c r="R39" s="751" t="s">
        <v>25</v>
      </c>
      <c r="S39" s="752">
        <f t="shared" si="10"/>
        <v>100</v>
      </c>
      <c r="T39" s="751" t="s">
        <v>25</v>
      </c>
      <c r="U39" s="752">
        <f t="shared" si="11"/>
        <v>100</v>
      </c>
      <c r="V39" s="751" t="s">
        <v>25</v>
      </c>
      <c r="W39" s="752">
        <f t="shared" si="12"/>
        <v>100</v>
      </c>
      <c r="X39" s="1896"/>
      <c r="Y39" s="2988"/>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2988"/>
      <c r="Q40" s="1895" t="str">
        <f t="shared" si="14"/>
        <v>临街宽度及深度</v>
      </c>
      <c r="R40" s="751" t="s">
        <v>25</v>
      </c>
      <c r="S40" s="752">
        <f t="shared" si="10"/>
        <v>100</v>
      </c>
      <c r="T40" s="751" t="s">
        <v>25</v>
      </c>
      <c r="U40" s="752">
        <f t="shared" si="11"/>
        <v>100</v>
      </c>
      <c r="V40" s="751" t="s">
        <v>25</v>
      </c>
      <c r="W40" s="752">
        <f t="shared" si="12"/>
        <v>100</v>
      </c>
      <c r="X40" s="1896"/>
      <c r="Y40" s="2988"/>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2988"/>
      <c r="Q41" s="1895" t="str">
        <f t="shared" si="14"/>
        <v>宗地开发程度</v>
      </c>
      <c r="R41" s="747" t="s">
        <v>25</v>
      </c>
      <c r="S41" s="748">
        <f t="shared" si="10"/>
        <v>100</v>
      </c>
      <c r="T41" s="747" t="s">
        <v>25</v>
      </c>
      <c r="U41" s="748">
        <f t="shared" si="11"/>
        <v>100</v>
      </c>
      <c r="V41" s="747" t="s">
        <v>25</v>
      </c>
      <c r="W41" s="748">
        <f t="shared" si="12"/>
        <v>100</v>
      </c>
      <c r="X41" s="749"/>
      <c r="Y41" s="2988"/>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2988" t="s">
        <v>2365</v>
      </c>
      <c r="Q42" s="1895" t="str">
        <f t="shared" si="14"/>
        <v>工程地质条件</v>
      </c>
      <c r="R42" s="751" t="s">
        <v>25</v>
      </c>
      <c r="S42" s="752">
        <f t="shared" si="10"/>
        <v>100</v>
      </c>
      <c r="T42" s="751" t="s">
        <v>25</v>
      </c>
      <c r="U42" s="752">
        <f t="shared" si="11"/>
        <v>100</v>
      </c>
      <c r="V42" s="751" t="s">
        <v>25</v>
      </c>
      <c r="W42" s="752">
        <f t="shared" si="12"/>
        <v>100</v>
      </c>
      <c r="X42" s="1896"/>
      <c r="Y42" s="2988"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2988"/>
      <c r="Q43" s="1895">
        <f t="shared" si="14"/>
        <v>111</v>
      </c>
      <c r="R43" s="751" t="s">
        <v>25</v>
      </c>
      <c r="S43" s="752">
        <f t="shared" si="10"/>
        <v>100</v>
      </c>
      <c r="T43" s="751" t="s">
        <v>25</v>
      </c>
      <c r="U43" s="752">
        <f t="shared" si="11"/>
        <v>100</v>
      </c>
      <c r="V43" s="751" t="s">
        <v>25</v>
      </c>
      <c r="W43" s="752">
        <f t="shared" si="12"/>
        <v>100</v>
      </c>
      <c r="X43" s="1896"/>
      <c r="Y43" s="2988"/>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2988"/>
      <c r="Q44" s="1895">
        <f t="shared" si="14"/>
        <v>111</v>
      </c>
      <c r="R44" s="751" t="s">
        <v>25</v>
      </c>
      <c r="S44" s="752">
        <f t="shared" si="10"/>
        <v>100</v>
      </c>
      <c r="T44" s="751" t="s">
        <v>25</v>
      </c>
      <c r="U44" s="752">
        <f t="shared" si="11"/>
        <v>100</v>
      </c>
      <c r="V44" s="751" t="s">
        <v>25</v>
      </c>
      <c r="W44" s="752">
        <f t="shared" si="12"/>
        <v>100</v>
      </c>
      <c r="X44" s="1896"/>
      <c r="Y44" s="2988"/>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2988"/>
      <c r="Q45" s="1895">
        <f t="shared" si="14"/>
        <v>111</v>
      </c>
      <c r="R45" s="754" t="s">
        <v>25</v>
      </c>
      <c r="S45" s="755">
        <f t="shared" si="10"/>
        <v>100</v>
      </c>
      <c r="T45" s="754" t="s">
        <v>25</v>
      </c>
      <c r="U45" s="755">
        <f t="shared" si="11"/>
        <v>100</v>
      </c>
      <c r="V45" s="754" t="s">
        <v>25</v>
      </c>
      <c r="W45" s="755">
        <f t="shared" si="12"/>
        <v>100</v>
      </c>
      <c r="X45" s="756"/>
      <c r="Y45" s="2988"/>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2981" t="str">
        <f>A46</f>
        <v>成交单价</v>
      </c>
      <c r="Q46" s="2981"/>
      <c r="R46" s="3014">
        <f>E46</f>
        <v>0</v>
      </c>
      <c r="S46" s="3014"/>
      <c r="T46" s="3014">
        <f>G46</f>
        <v>0</v>
      </c>
      <c r="U46" s="3014"/>
      <c r="V46" s="3014">
        <f>I46</f>
        <v>0</v>
      </c>
      <c r="W46" s="3014"/>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2981" t="str">
        <f>A47</f>
        <v>比较价值（元/平方米）</v>
      </c>
      <c r="Q47" s="2981"/>
      <c r="R47" s="3067" t="e">
        <f>ROUND(PRODUCT(R46,AA7:AA45),0)</f>
        <v>#DIV/0!</v>
      </c>
      <c r="S47" s="3067"/>
      <c r="T47" s="3067" t="e">
        <f>ROUND(PRODUCT(T46,AB7:AB45),0)</f>
        <v>#DIV/0!</v>
      </c>
      <c r="U47" s="3067"/>
      <c r="V47" s="3067" t="e">
        <f>ROUND(PRODUCT(V46,AC7:AC45),0)</f>
        <v>#DIV/0!</v>
      </c>
      <c r="W47" s="3067"/>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24" t="str">
        <f>A48</f>
        <v>估价对象XX用房的比较价值（楼面单价，元/平方米）</v>
      </c>
      <c r="Q48" s="2980"/>
      <c r="R48" s="3068" t="e">
        <f>ROUND(AVERAGE(R47:V47),0)</f>
        <v>#DIV/0!</v>
      </c>
      <c r="S48" s="3068"/>
      <c r="T48" s="3068"/>
      <c r="U48" s="3068"/>
      <c r="V48" s="3068"/>
      <c r="W48" s="306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6" t="s">
        <v>2335</v>
      </c>
      <c r="D4" s="3007"/>
      <c r="E4" s="3008" t="s">
        <v>2336</v>
      </c>
      <c r="F4" s="3009"/>
      <c r="G4" s="3006" t="s">
        <v>2337</v>
      </c>
      <c r="H4" s="3007"/>
      <c r="I4" s="3006" t="s">
        <v>2338</v>
      </c>
      <c r="J4" s="3007"/>
      <c r="K4" s="594" t="s">
        <v>2339</v>
      </c>
      <c r="L4" s="1240"/>
      <c r="M4" s="1241"/>
      <c r="N4" s="1241"/>
      <c r="O4" s="1241"/>
      <c r="P4" s="3030" t="s">
        <v>2340</v>
      </c>
      <c r="Q4" s="2999"/>
      <c r="R4" s="2992" t="s">
        <v>2336</v>
      </c>
      <c r="S4" s="2993"/>
      <c r="T4" s="2992" t="s">
        <v>2337</v>
      </c>
      <c r="U4" s="2993"/>
      <c r="V4" s="3014" t="s">
        <v>2338</v>
      </c>
      <c r="W4" s="3014"/>
      <c r="X4" s="1896"/>
      <c r="Y4" s="2992" t="s">
        <v>2340</v>
      </c>
      <c r="Z4" s="2993"/>
      <c r="AA4" s="3003" t="s">
        <v>2336</v>
      </c>
      <c r="AB4" s="3004" t="s">
        <v>2337</v>
      </c>
      <c r="AC4" s="3003" t="s">
        <v>2338</v>
      </c>
    </row>
    <row r="5" spans="1:29" ht="15">
      <c r="A5" s="383"/>
      <c r="B5" s="384"/>
      <c r="C5" s="3021" t="s">
        <v>2341</v>
      </c>
      <c r="D5" s="3018"/>
      <c r="E5" s="3015" t="s">
        <v>2342</v>
      </c>
      <c r="F5" s="3016"/>
      <c r="G5" s="3021" t="s">
        <v>2343</v>
      </c>
      <c r="H5" s="3018"/>
      <c r="I5" s="3021" t="s">
        <v>2344</v>
      </c>
      <c r="J5" s="3018"/>
      <c r="K5" s="594"/>
      <c r="L5" s="1240"/>
      <c r="M5" s="1241"/>
      <c r="N5" s="1241"/>
      <c r="O5" s="1241"/>
      <c r="P5" s="3031"/>
      <c r="Q5" s="3000"/>
      <c r="R5" s="2994"/>
      <c r="S5" s="2995"/>
      <c r="T5" s="2994"/>
      <c r="U5" s="2995"/>
      <c r="V5" s="3014"/>
      <c r="W5" s="3014"/>
      <c r="X5" s="1896"/>
      <c r="Y5" s="2994"/>
      <c r="Z5" s="2995"/>
      <c r="AA5" s="3004"/>
      <c r="AB5" s="3004"/>
      <c r="AC5" s="3004"/>
    </row>
    <row r="6" spans="1:29" ht="15.75" thickBot="1">
      <c r="A6" s="385"/>
      <c r="B6" s="386"/>
      <c r="C6" s="3019" t="s">
        <v>2345</v>
      </c>
      <c r="D6" s="3020"/>
      <c r="E6" s="3022" t="s">
        <v>2345</v>
      </c>
      <c r="F6" s="3023"/>
      <c r="G6" s="3019" t="s">
        <v>2345</v>
      </c>
      <c r="H6" s="3020"/>
      <c r="I6" s="3019" t="s">
        <v>2345</v>
      </c>
      <c r="J6" s="3020"/>
      <c r="K6" s="594" t="s">
        <v>2346</v>
      </c>
      <c r="L6" s="1240"/>
      <c r="M6" s="1241"/>
      <c r="N6" s="1241"/>
      <c r="O6" s="1241"/>
      <c r="P6" s="3032"/>
      <c r="Q6" s="3013"/>
      <c r="R6" s="2994"/>
      <c r="S6" s="2995"/>
      <c r="T6" s="2996"/>
      <c r="U6" s="2997"/>
      <c r="V6" s="3014"/>
      <c r="W6" s="3014"/>
      <c r="X6" s="1896"/>
      <c r="Y6" s="2996"/>
      <c r="Z6" s="2997"/>
      <c r="AA6" s="3005"/>
      <c r="AB6" s="3005"/>
      <c r="AC6" s="3005"/>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2990" t="s">
        <v>2348</v>
      </c>
      <c r="Q7" s="2998"/>
      <c r="R7" s="747" t="s">
        <v>25</v>
      </c>
      <c r="S7" s="748">
        <f t="shared" ref="S7:S15" si="0">F7</f>
        <v>0</v>
      </c>
      <c r="T7" s="747" t="s">
        <v>25</v>
      </c>
      <c r="U7" s="748">
        <f t="shared" ref="U7:U15" si="1">H7</f>
        <v>0</v>
      </c>
      <c r="V7" s="747" t="s">
        <v>25</v>
      </c>
      <c r="W7" s="748">
        <f t="shared" ref="W7:W15" si="2">J7</f>
        <v>0</v>
      </c>
      <c r="X7" s="749"/>
      <c r="Y7" s="2990" t="s">
        <v>2348</v>
      </c>
      <c r="Z7" s="2991"/>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2990" t="s">
        <v>2351</v>
      </c>
      <c r="Q8" s="2991"/>
      <c r="R8" s="747" t="s">
        <v>25</v>
      </c>
      <c r="S8" s="748">
        <f t="shared" si="0"/>
        <v>0</v>
      </c>
      <c r="T8" s="747" t="s">
        <v>25</v>
      </c>
      <c r="U8" s="748">
        <f t="shared" si="1"/>
        <v>0</v>
      </c>
      <c r="V8" s="747" t="s">
        <v>25</v>
      </c>
      <c r="W8" s="748">
        <f t="shared" si="2"/>
        <v>0</v>
      </c>
      <c r="X8" s="749"/>
      <c r="Y8" s="2990" t="s">
        <v>2351</v>
      </c>
      <c r="Z8" s="2991"/>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2981" t="s">
        <v>2354</v>
      </c>
      <c r="Q9" s="1883" t="str">
        <f t="shared" ref="Q9:Q15" si="6">B9</f>
        <v>用途</v>
      </c>
      <c r="R9" s="747" t="s">
        <v>25</v>
      </c>
      <c r="S9" s="748">
        <f t="shared" si="0"/>
        <v>100</v>
      </c>
      <c r="T9" s="747" t="s">
        <v>25</v>
      </c>
      <c r="U9" s="748">
        <f t="shared" si="1"/>
        <v>100</v>
      </c>
      <c r="V9" s="747" t="s">
        <v>25</v>
      </c>
      <c r="W9" s="748">
        <f t="shared" si="2"/>
        <v>100</v>
      </c>
      <c r="X9" s="749"/>
      <c r="Y9" s="2841"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2981"/>
      <c r="Q10" s="1883" t="str">
        <f t="shared" si="6"/>
        <v>土地使用年限（年）</v>
      </c>
      <c r="R10" s="747" t="s">
        <v>25</v>
      </c>
      <c r="S10" s="748">
        <f t="shared" si="0"/>
        <v>100</v>
      </c>
      <c r="T10" s="747" t="s">
        <v>25</v>
      </c>
      <c r="U10" s="748">
        <f t="shared" si="1"/>
        <v>100</v>
      </c>
      <c r="V10" s="747" t="s">
        <v>25</v>
      </c>
      <c r="W10" s="748">
        <f t="shared" si="2"/>
        <v>100</v>
      </c>
      <c r="X10" s="749"/>
      <c r="Y10" s="2841"/>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2981"/>
      <c r="Q11" s="1883" t="str">
        <f t="shared" si="6"/>
        <v>容积率</v>
      </c>
      <c r="R11" s="747" t="s">
        <v>25</v>
      </c>
      <c r="S11" s="748" t="e">
        <f t="shared" si="0"/>
        <v>#N/A</v>
      </c>
      <c r="T11" s="747" t="s">
        <v>25</v>
      </c>
      <c r="U11" s="748" t="e">
        <f t="shared" si="1"/>
        <v>#N/A</v>
      </c>
      <c r="V11" s="747" t="s">
        <v>25</v>
      </c>
      <c r="W11" s="748" t="e">
        <f t="shared" si="2"/>
        <v>#N/A</v>
      </c>
      <c r="X11" s="749"/>
      <c r="Y11" s="2841"/>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2981"/>
      <c r="Q12" s="1883">
        <f t="shared" si="6"/>
        <v>111</v>
      </c>
      <c r="R12" s="747" t="s">
        <v>25</v>
      </c>
      <c r="S12" s="748">
        <f t="shared" si="0"/>
        <v>100</v>
      </c>
      <c r="T12" s="747" t="s">
        <v>25</v>
      </c>
      <c r="U12" s="748">
        <f t="shared" si="1"/>
        <v>100</v>
      </c>
      <c r="V12" s="747" t="s">
        <v>25</v>
      </c>
      <c r="W12" s="748">
        <f t="shared" si="2"/>
        <v>100</v>
      </c>
      <c r="X12" s="749"/>
      <c r="Y12" s="2841"/>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2981"/>
      <c r="Q13" s="1883">
        <f t="shared" si="6"/>
        <v>111</v>
      </c>
      <c r="R13" s="747" t="s">
        <v>25</v>
      </c>
      <c r="S13" s="748">
        <f t="shared" si="0"/>
        <v>100</v>
      </c>
      <c r="T13" s="747" t="s">
        <v>25</v>
      </c>
      <c r="U13" s="748">
        <f t="shared" si="1"/>
        <v>100</v>
      </c>
      <c r="V13" s="747" t="s">
        <v>25</v>
      </c>
      <c r="W13" s="748">
        <f t="shared" si="2"/>
        <v>100</v>
      </c>
      <c r="X13" s="749"/>
      <c r="Y13" s="2841"/>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2981"/>
      <c r="Q14" s="1883">
        <f t="shared" si="6"/>
        <v>111</v>
      </c>
      <c r="R14" s="747" t="s">
        <v>25</v>
      </c>
      <c r="S14" s="748">
        <f t="shared" si="0"/>
        <v>100</v>
      </c>
      <c r="T14" s="747" t="s">
        <v>25</v>
      </c>
      <c r="U14" s="748">
        <f t="shared" si="1"/>
        <v>100</v>
      </c>
      <c r="V14" s="747" t="s">
        <v>25</v>
      </c>
      <c r="W14" s="748">
        <f t="shared" si="2"/>
        <v>100</v>
      </c>
      <c r="X14" s="749"/>
      <c r="Y14" s="2841"/>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01" t="s">
        <v>2359</v>
      </c>
      <c r="Q15" s="1895" t="str">
        <f t="shared" si="6"/>
        <v>产业集聚程度</v>
      </c>
      <c r="R15" s="751" t="s">
        <v>25</v>
      </c>
      <c r="S15" s="752">
        <f t="shared" si="0"/>
        <v>100</v>
      </c>
      <c r="T15" s="751" t="s">
        <v>25</v>
      </c>
      <c r="U15" s="752">
        <f t="shared" si="1"/>
        <v>100</v>
      </c>
      <c r="V15" s="751" t="s">
        <v>25</v>
      </c>
      <c r="W15" s="752">
        <f t="shared" si="2"/>
        <v>100</v>
      </c>
      <c r="X15" s="1896"/>
      <c r="Y15" s="3001"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02"/>
      <c r="Q16" s="1895"/>
      <c r="R16" s="751"/>
      <c r="S16" s="752"/>
      <c r="T16" s="751"/>
      <c r="U16" s="752"/>
      <c r="V16" s="751"/>
      <c r="W16" s="752"/>
      <c r="X16" s="1896"/>
      <c r="Y16" s="3002"/>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02"/>
      <c r="Q17" s="1895" t="str">
        <f>B17</f>
        <v>交通便捷度</v>
      </c>
      <c r="R17" s="751" t="s">
        <v>25</v>
      </c>
      <c r="S17" s="752">
        <f>F17</f>
        <v>100</v>
      </c>
      <c r="T17" s="751" t="s">
        <v>25</v>
      </c>
      <c r="U17" s="752">
        <f>H17</f>
        <v>100</v>
      </c>
      <c r="V17" s="751" t="s">
        <v>25</v>
      </c>
      <c r="W17" s="752">
        <f>J17</f>
        <v>100</v>
      </c>
      <c r="X17" s="1896"/>
      <c r="Y17" s="3002"/>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02"/>
      <c r="Q18" s="1895"/>
      <c r="R18" s="751"/>
      <c r="S18" s="752"/>
      <c r="T18" s="751"/>
      <c r="U18" s="752"/>
      <c r="V18" s="751"/>
      <c r="W18" s="752"/>
      <c r="X18" s="1896"/>
      <c r="Y18" s="3002"/>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02"/>
      <c r="Q19" s="1895" t="str">
        <f t="shared" ref="Q19:Q33" si="8">B19</f>
        <v>区域土地利用方向</v>
      </c>
      <c r="R19" s="751" t="s">
        <v>25</v>
      </c>
      <c r="S19" s="752">
        <f>F19</f>
        <v>100</v>
      </c>
      <c r="T19" s="751" t="s">
        <v>25</v>
      </c>
      <c r="U19" s="752">
        <f>H19</f>
        <v>100</v>
      </c>
      <c r="V19" s="751" t="s">
        <v>25</v>
      </c>
      <c r="W19" s="752">
        <f>J19</f>
        <v>100</v>
      </c>
      <c r="X19" s="1896"/>
      <c r="Y19" s="3002"/>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02"/>
      <c r="Q20" s="1895"/>
      <c r="R20" s="751"/>
      <c r="S20" s="752"/>
      <c r="T20" s="751"/>
      <c r="U20" s="752"/>
      <c r="V20" s="751"/>
      <c r="W20" s="752"/>
      <c r="X20" s="1896"/>
      <c r="Y20" s="3002"/>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02"/>
      <c r="Q21" s="1895" t="str">
        <f t="shared" si="8"/>
        <v>环境状况</v>
      </c>
      <c r="R21" s="751" t="s">
        <v>25</v>
      </c>
      <c r="S21" s="752">
        <f>F21</f>
        <v>100</v>
      </c>
      <c r="T21" s="751" t="s">
        <v>25</v>
      </c>
      <c r="U21" s="752">
        <f>H21</f>
        <v>100</v>
      </c>
      <c r="V21" s="751" t="s">
        <v>25</v>
      </c>
      <c r="W21" s="752">
        <f>J21</f>
        <v>100</v>
      </c>
      <c r="X21" s="1896"/>
      <c r="Y21" s="3002"/>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02"/>
      <c r="Q22" s="1895"/>
      <c r="R22" s="751"/>
      <c r="S22" s="752"/>
      <c r="T22" s="751"/>
      <c r="U22" s="752"/>
      <c r="V22" s="751"/>
      <c r="W22" s="752"/>
      <c r="X22" s="1896"/>
      <c r="Y22" s="3002"/>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02"/>
      <c r="Q23" s="1883" t="str">
        <f t="shared" si="8"/>
        <v>公共配套设施</v>
      </c>
      <c r="R23" s="747" t="s">
        <v>25</v>
      </c>
      <c r="S23" s="748">
        <f>F23</f>
        <v>100</v>
      </c>
      <c r="T23" s="747" t="s">
        <v>25</v>
      </c>
      <c r="U23" s="748">
        <f>H23</f>
        <v>100</v>
      </c>
      <c r="V23" s="747" t="s">
        <v>25</v>
      </c>
      <c r="W23" s="748">
        <f>J23</f>
        <v>100</v>
      </c>
      <c r="X23" s="749"/>
      <c r="Y23" s="3002"/>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02"/>
      <c r="Q24" s="1883"/>
      <c r="R24" s="747"/>
      <c r="S24" s="748"/>
      <c r="T24" s="747"/>
      <c r="U24" s="748"/>
      <c r="V24" s="747"/>
      <c r="W24" s="748"/>
      <c r="X24" s="749"/>
      <c r="Y24" s="3002"/>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02"/>
      <c r="Q25" s="1883" t="str">
        <f t="shared" ref="Q25" si="9">B25</f>
        <v>基础设施水平</v>
      </c>
      <c r="R25" s="747" t="s">
        <v>25</v>
      </c>
      <c r="S25" s="748">
        <f>F25</f>
        <v>100</v>
      </c>
      <c r="T25" s="747" t="s">
        <v>25</v>
      </c>
      <c r="U25" s="748">
        <f>H25</f>
        <v>100</v>
      </c>
      <c r="V25" s="747" t="s">
        <v>25</v>
      </c>
      <c r="W25" s="748">
        <f>J25</f>
        <v>100</v>
      </c>
      <c r="X25" s="749"/>
      <c r="Y25" s="3002"/>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02"/>
      <c r="Q26" s="1883"/>
      <c r="R26" s="747"/>
      <c r="S26" s="748"/>
      <c r="T26" s="747"/>
      <c r="U26" s="748"/>
      <c r="V26" s="747"/>
      <c r="W26" s="748"/>
      <c r="X26" s="749"/>
      <c r="Y26" s="3002"/>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02"/>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02"/>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02"/>
      <c r="Q28" s="1895" t="str">
        <f t="shared" si="8"/>
        <v>毗邻道路的类型与等级</v>
      </c>
      <c r="R28" s="751" t="s">
        <v>25</v>
      </c>
      <c r="S28" s="752">
        <f t="shared" si="10"/>
        <v>100</v>
      </c>
      <c r="T28" s="751" t="s">
        <v>25</v>
      </c>
      <c r="U28" s="752">
        <f t="shared" si="11"/>
        <v>100</v>
      </c>
      <c r="V28" s="751" t="s">
        <v>25</v>
      </c>
      <c r="W28" s="752">
        <f t="shared" si="12"/>
        <v>100</v>
      </c>
      <c r="X28" s="1896"/>
      <c r="Y28" s="3002"/>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02"/>
      <c r="Q29" s="1895"/>
      <c r="R29" s="751"/>
      <c r="S29" s="752"/>
      <c r="T29" s="751"/>
      <c r="U29" s="752"/>
      <c r="V29" s="751"/>
      <c r="W29" s="752"/>
      <c r="X29" s="1896"/>
      <c r="Y29" s="3002"/>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02"/>
      <c r="Q30" s="1895" t="str">
        <f t="shared" si="8"/>
        <v>土地级别</v>
      </c>
      <c r="R30" s="751" t="s">
        <v>25</v>
      </c>
      <c r="S30" s="752">
        <f t="shared" si="10"/>
        <v>100</v>
      </c>
      <c r="T30" s="751" t="s">
        <v>25</v>
      </c>
      <c r="U30" s="752">
        <f t="shared" si="11"/>
        <v>100</v>
      </c>
      <c r="V30" s="751" t="s">
        <v>25</v>
      </c>
      <c r="W30" s="752">
        <f t="shared" si="12"/>
        <v>100</v>
      </c>
      <c r="X30" s="1896"/>
      <c r="Y30" s="3002"/>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02"/>
      <c r="Q31" s="1895">
        <f t="shared" si="8"/>
        <v>111</v>
      </c>
      <c r="R31" s="751" t="s">
        <v>25</v>
      </c>
      <c r="S31" s="752">
        <f t="shared" si="10"/>
        <v>100</v>
      </c>
      <c r="T31" s="751" t="s">
        <v>25</v>
      </c>
      <c r="U31" s="752">
        <f t="shared" si="11"/>
        <v>100</v>
      </c>
      <c r="V31" s="751" t="s">
        <v>25</v>
      </c>
      <c r="W31" s="752">
        <f t="shared" si="12"/>
        <v>100</v>
      </c>
      <c r="X31" s="1896"/>
      <c r="Y31" s="3002"/>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6" t="s">
        <v>2365</v>
      </c>
      <c r="Q32" s="1895">
        <f t="shared" si="8"/>
        <v>111</v>
      </c>
      <c r="R32" s="751" t="s">
        <v>25</v>
      </c>
      <c r="S32" s="752">
        <f t="shared" si="10"/>
        <v>100</v>
      </c>
      <c r="T32" s="751" t="s">
        <v>25</v>
      </c>
      <c r="U32" s="752">
        <f t="shared" si="11"/>
        <v>100</v>
      </c>
      <c r="V32" s="751" t="s">
        <v>25</v>
      </c>
      <c r="W32" s="752">
        <f t="shared" si="12"/>
        <v>100</v>
      </c>
      <c r="X32" s="1896"/>
      <c r="Y32" s="2988"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2988"/>
      <c r="Q33" s="1895">
        <f t="shared" si="8"/>
        <v>111</v>
      </c>
      <c r="R33" s="754" t="s">
        <v>25</v>
      </c>
      <c r="S33" s="755">
        <f t="shared" si="10"/>
        <v>100</v>
      </c>
      <c r="T33" s="754" t="s">
        <v>25</v>
      </c>
      <c r="U33" s="755">
        <f t="shared" si="11"/>
        <v>100</v>
      </c>
      <c r="V33" s="754" t="s">
        <v>25</v>
      </c>
      <c r="W33" s="755">
        <f t="shared" si="12"/>
        <v>100</v>
      </c>
      <c r="X33" s="756"/>
      <c r="Y33" s="2988"/>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2988"/>
      <c r="Q34" s="1895" t="str">
        <f>B34</f>
        <v>宗地面积</v>
      </c>
      <c r="R34" s="751" t="s">
        <v>25</v>
      </c>
      <c r="S34" s="752" t="e">
        <f t="shared" si="10"/>
        <v>#N/A</v>
      </c>
      <c r="T34" s="751" t="s">
        <v>25</v>
      </c>
      <c r="U34" s="752" t="e">
        <f t="shared" si="11"/>
        <v>#N/A</v>
      </c>
      <c r="V34" s="751" t="s">
        <v>25</v>
      </c>
      <c r="W34" s="752" t="e">
        <f t="shared" si="12"/>
        <v>#N/A</v>
      </c>
      <c r="X34" s="1896"/>
      <c r="Y34" s="2988"/>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2988"/>
      <c r="Q35" s="1895" t="str">
        <f t="shared" ref="Q35:Q40" si="14">B35</f>
        <v>宗地形状</v>
      </c>
      <c r="R35" s="751" t="s">
        <v>25</v>
      </c>
      <c r="S35" s="752">
        <f t="shared" si="10"/>
        <v>100</v>
      </c>
      <c r="T35" s="751" t="s">
        <v>25</v>
      </c>
      <c r="U35" s="752">
        <f t="shared" si="11"/>
        <v>100</v>
      </c>
      <c r="V35" s="751" t="s">
        <v>25</v>
      </c>
      <c r="W35" s="752">
        <f t="shared" si="12"/>
        <v>100</v>
      </c>
      <c r="X35" s="1896"/>
      <c r="Y35" s="2988"/>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2988"/>
      <c r="Q36" s="1895" t="str">
        <f t="shared" si="14"/>
        <v>宗地开发程度</v>
      </c>
      <c r="R36" s="747" t="s">
        <v>25</v>
      </c>
      <c r="S36" s="748">
        <f t="shared" si="10"/>
        <v>100</v>
      </c>
      <c r="T36" s="747" t="s">
        <v>25</v>
      </c>
      <c r="U36" s="748">
        <f t="shared" si="11"/>
        <v>100</v>
      </c>
      <c r="V36" s="747" t="s">
        <v>25</v>
      </c>
      <c r="W36" s="748">
        <f t="shared" si="12"/>
        <v>100</v>
      </c>
      <c r="X36" s="749"/>
      <c r="Y36" s="2988"/>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2988" t="s">
        <v>2365</v>
      </c>
      <c r="Q37" s="1895" t="str">
        <f t="shared" si="14"/>
        <v>工程地质条件</v>
      </c>
      <c r="R37" s="751" t="s">
        <v>25</v>
      </c>
      <c r="S37" s="752">
        <f t="shared" si="10"/>
        <v>100</v>
      </c>
      <c r="T37" s="751" t="s">
        <v>25</v>
      </c>
      <c r="U37" s="752">
        <f t="shared" si="11"/>
        <v>100</v>
      </c>
      <c r="V37" s="751" t="s">
        <v>25</v>
      </c>
      <c r="W37" s="752">
        <f t="shared" si="12"/>
        <v>100</v>
      </c>
      <c r="X37" s="1896"/>
      <c r="Y37" s="2988"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2988"/>
      <c r="Q38" s="1895">
        <f t="shared" si="14"/>
        <v>111</v>
      </c>
      <c r="R38" s="751" t="s">
        <v>25</v>
      </c>
      <c r="S38" s="752">
        <f t="shared" si="10"/>
        <v>100</v>
      </c>
      <c r="T38" s="751" t="s">
        <v>25</v>
      </c>
      <c r="U38" s="752">
        <f t="shared" si="11"/>
        <v>100</v>
      </c>
      <c r="V38" s="751" t="s">
        <v>25</v>
      </c>
      <c r="W38" s="752">
        <f t="shared" si="12"/>
        <v>100</v>
      </c>
      <c r="X38" s="1896"/>
      <c r="Y38" s="2988"/>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2988"/>
      <c r="Q39" s="1895">
        <f t="shared" si="14"/>
        <v>111</v>
      </c>
      <c r="R39" s="751" t="s">
        <v>25</v>
      </c>
      <c r="S39" s="752">
        <f t="shared" si="10"/>
        <v>100</v>
      </c>
      <c r="T39" s="751" t="s">
        <v>25</v>
      </c>
      <c r="U39" s="752">
        <f t="shared" si="11"/>
        <v>100</v>
      </c>
      <c r="V39" s="751" t="s">
        <v>25</v>
      </c>
      <c r="W39" s="752">
        <f t="shared" si="12"/>
        <v>100</v>
      </c>
      <c r="X39" s="1896"/>
      <c r="Y39" s="2988"/>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2988"/>
      <c r="Q40" s="1895">
        <f t="shared" si="14"/>
        <v>111</v>
      </c>
      <c r="R40" s="754" t="s">
        <v>25</v>
      </c>
      <c r="S40" s="755">
        <f t="shared" si="10"/>
        <v>100</v>
      </c>
      <c r="T40" s="754" t="s">
        <v>25</v>
      </c>
      <c r="U40" s="755">
        <f t="shared" si="11"/>
        <v>100</v>
      </c>
      <c r="V40" s="754" t="s">
        <v>25</v>
      </c>
      <c r="W40" s="755">
        <f t="shared" si="12"/>
        <v>100</v>
      </c>
      <c r="X40" s="756"/>
      <c r="Y40" s="2988"/>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2981" t="str">
        <f>A41</f>
        <v>成交单价</v>
      </c>
      <c r="Q41" s="2981"/>
      <c r="R41" s="3014">
        <f>E41</f>
        <v>0</v>
      </c>
      <c r="S41" s="3014"/>
      <c r="T41" s="3014">
        <f>G41</f>
        <v>0</v>
      </c>
      <c r="U41" s="3014"/>
      <c r="V41" s="3014">
        <f>I41</f>
        <v>0</v>
      </c>
      <c r="W41" s="3014"/>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2981" t="str">
        <f>A42</f>
        <v>比较价值（元/平方米）</v>
      </c>
      <c r="Q42" s="2981"/>
      <c r="R42" s="3067" t="e">
        <f>ROUND(PRODUCT(R41,AA7:AA40),0)</f>
        <v>#DIV/0!</v>
      </c>
      <c r="S42" s="3067"/>
      <c r="T42" s="3067" t="e">
        <f>ROUND(PRODUCT(T41,AB7:AB40),0)</f>
        <v>#DIV/0!</v>
      </c>
      <c r="U42" s="3067"/>
      <c r="V42" s="3067" t="e">
        <f>ROUND(PRODUCT(V41,AC7:AC40),0)</f>
        <v>#DIV/0!</v>
      </c>
      <c r="W42" s="3067"/>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24" t="str">
        <f>A43</f>
        <v>估价对象XX用房的比较价值（楼面单价，元/平方米）</v>
      </c>
      <c r="Q43" s="2980"/>
      <c r="R43" s="3068" t="e">
        <f>ROUND(AVERAGE(R42:V42),0)</f>
        <v>#DIV/0!</v>
      </c>
      <c r="S43" s="3068"/>
      <c r="T43" s="3068"/>
      <c r="U43" s="3068"/>
      <c r="V43" s="3068"/>
      <c r="W43" s="306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E30" sqref="E3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497.22</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8164601</v>
      </c>
      <c r="C2" s="2503" t="s">
        <v>2600</v>
      </c>
      <c r="D2" s="2504" t="s">
        <v>2601</v>
      </c>
      <c r="E2" s="2505" t="s">
        <v>2882</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16420</v>
      </c>
      <c r="C3" s="2503" t="s">
        <v>2606</v>
      </c>
      <c r="D3" s="2504" t="s">
        <v>2607</v>
      </c>
      <c r="E3" s="2510" t="s">
        <v>2884</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72"/>
      <c r="B4" s="3073"/>
      <c r="C4" s="3073"/>
      <c r="D4" s="3074"/>
      <c r="E4" s="3074"/>
      <c r="F4" s="3074"/>
      <c r="G4" s="3074"/>
      <c r="H4" s="3074"/>
      <c r="I4" s="3074"/>
      <c r="J4" s="3075"/>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76"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7"/>
      <c r="B8" s="115" t="s">
        <v>2624</v>
      </c>
      <c r="C8" s="2534" t="s">
        <v>2816</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69" t="s">
        <v>2627</v>
      </c>
      <c r="X8" s="3070"/>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7"/>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71"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7"/>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7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7"/>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71"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76" t="str">
        <f>IF(E2="住宅",2,"")</f>
        <v/>
      </c>
      <c r="B12" s="2542" t="s">
        <v>2653</v>
      </c>
      <c r="C12" s="942">
        <f>ROUND(C15*D15*E15*F15*G15*H15*I15*J15,4)</f>
        <v>1.2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71"/>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8"/>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71"/>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78"/>
      <c r="B14" s="2553"/>
      <c r="C14" s="2554" t="s">
        <v>2933</v>
      </c>
      <c r="D14" s="2555" t="s">
        <v>2663</v>
      </c>
      <c r="E14" s="2555" t="s">
        <v>2663</v>
      </c>
      <c r="F14" s="2556" t="s">
        <v>2664</v>
      </c>
      <c r="G14" s="2557" t="s">
        <v>2665</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79"/>
      <c r="B15" s="2561" t="s">
        <v>2666</v>
      </c>
      <c r="C15" s="150">
        <f>IF(C14="有",1.1,1)</f>
        <v>1</v>
      </c>
      <c r="D15" s="150">
        <f>IF(D14="有",1.1,1)</f>
        <v>1</v>
      </c>
      <c r="E15" s="150">
        <f>IF(E14="有",1.1,1)</f>
        <v>1</v>
      </c>
      <c r="F15" s="150">
        <f>IF(F14="500米范围内",1.2,IF(F14="500-1000米",1.1,1))</f>
        <v>1.2</v>
      </c>
      <c r="G15" s="974">
        <v>1</v>
      </c>
      <c r="H15" s="974">
        <v>1</v>
      </c>
      <c r="I15" s="974">
        <v>1</v>
      </c>
      <c r="J15" s="975">
        <v>1</v>
      </c>
      <c r="L15" s="2562" t="s">
        <v>2667</v>
      </c>
      <c r="M15" s="943" t="s">
        <v>2668</v>
      </c>
      <c r="N15" s="943" t="s">
        <v>2669</v>
      </c>
      <c r="O15" s="943" t="s">
        <v>2670</v>
      </c>
      <c r="P15" s="2563" t="s">
        <v>2671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76">
        <f>IF(E2="办公",2,IF(E2="工业",2,IF(E2="住宅",3,IF(E2="商业",IF(C8="不临58条商业街",2,3)))))</f>
        <v>2</v>
      </c>
      <c r="B16" s="2529" t="s">
        <v>2672</v>
      </c>
      <c r="C16" s="1881">
        <f>ROUND(SUM(G17:J17)/C17,0)</f>
        <v>36</v>
      </c>
      <c r="D16" s="2564" t="s">
        <v>2673</v>
      </c>
      <c r="E16" s="2565" t="s">
        <v>2817</v>
      </c>
      <c r="F16" s="2566" t="s">
        <v>2818</v>
      </c>
      <c r="G16" s="2567" t="s">
        <v>2819</v>
      </c>
      <c r="H16" s="2567" t="s">
        <v>2820</v>
      </c>
      <c r="I16" s="2567"/>
      <c r="J16" s="2568"/>
      <c r="L16" s="1456" t="s">
        <v>2674</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7"/>
      <c r="B17" s="2569" t="s">
        <v>2675</v>
      </c>
      <c r="C17" s="947">
        <f>SUMPRODUCT((修正!A2:A5=E2)*(修正!B1:M1=G2)*(修正!B2:M5))</f>
        <v>2.5</v>
      </c>
      <c r="D17" s="2570" t="s">
        <v>2676</v>
      </c>
      <c r="E17" s="946" t="str">
        <f>IF(OR(G2="八级",G2="九级",G2="十级",G2="十一级",G2="十二级"),"五通一平","七通一平")</f>
        <v>七通一平</v>
      </c>
      <c r="F17" s="947" t="s">
        <v>2677</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2678</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2679</v>
      </c>
      <c r="B18" s="2572" t="s">
        <v>2680</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2681</v>
      </c>
      <c r="B19" s="2572" t="s">
        <v>2682</v>
      </c>
      <c r="C19" s="950">
        <f>ROUND(IF(H19="按公示增长率计算",SUMPRODUCT((地价!A3:A22=YEAR(G19)&amp;"-"&amp;ROUNDUP(MONTH(G19)/3,0))*(地价!X2:AB2=E2)*(地价!X3:AB22)),IF(H19="地价指数",M20/M19,(1+I19)^O19)),4)</f>
        <v>1.2928999999999999</v>
      </c>
      <c r="D19" s="2580" t="s">
        <v>2683</v>
      </c>
      <c r="E19" s="951">
        <v>41640</v>
      </c>
      <c r="F19" s="2580" t="s">
        <v>2684</v>
      </c>
      <c r="G19" s="952">
        <f>'数据-取费表'!B2</f>
        <v>43257</v>
      </c>
      <c r="H19" s="2581" t="s">
        <v>2821</v>
      </c>
      <c r="I19" s="953" t="str">
        <f>IF(H19="季度增幅（自定义）",SUMIF(N21:N24,E2,O21:O24),"")</f>
        <v/>
      </c>
      <c r="J19" s="2577"/>
      <c r="K19" s="2578"/>
      <c r="L19" s="2582" t="s">
        <v>2685</v>
      </c>
      <c r="M19" s="1822">
        <f>ROUND(SUMIF(地价!B2:F2,E2,地价!B22:F22),0)</f>
        <v>258</v>
      </c>
      <c r="N19" s="1462" t="s">
        <v>2686</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2687</v>
      </c>
      <c r="B20" s="2587" t="s">
        <v>2688</v>
      </c>
      <c r="C20" s="955">
        <f ca="1">ROUND(POWER(1+G20,J20-I20)*(POWER(1+G20,I20)-1)/(POWER(1+G20,J20)-1),4)</f>
        <v>1</v>
      </c>
      <c r="D20" s="2588" t="s">
        <v>2689</v>
      </c>
      <c r="E20" s="1852">
        <f ca="1">存贷款利率!D4/100</f>
        <v>4.3499999999999997E-2</v>
      </c>
      <c r="F20" s="2588" t="s">
        <v>2678</v>
      </c>
      <c r="G20" s="961">
        <f ca="1">SUMIF(M15:P15,E2,M17:P17)</f>
        <v>5.3999999999999999E-2</v>
      </c>
      <c r="H20" s="2588" t="s">
        <v>2690</v>
      </c>
      <c r="I20" s="962">
        <f>'数据-取费表'!B13</f>
        <v>40</v>
      </c>
      <c r="J20" s="963">
        <f>IF(E2="住宅",70,IF(E2="商业",40,50))</f>
        <v>40</v>
      </c>
      <c r="K20" s="2578"/>
      <c r="L20" s="2589" t="s">
        <v>2691</v>
      </c>
      <c r="M20" s="1823">
        <f>ROUND(SUMPRODUCT((地价!A4:A22=YEAR(G19)&amp;"-"&amp;ROUNDUP(MONTH(G19)/3,0))*(地价!B2:F2=E2)*(地价!B4:F22)),0)</f>
        <v>333</v>
      </c>
      <c r="N20" s="2590" t="s">
        <v>2692</v>
      </c>
      <c r="O20" s="2591" t="s">
        <v>2693</v>
      </c>
      <c r="P20" s="2592" t="s">
        <v>2694</v>
      </c>
      <c r="R20" s="1458"/>
      <c r="S20" s="1458"/>
      <c r="T20" s="1458"/>
      <c r="U20" s="1458"/>
      <c r="V20" s="1458"/>
      <c r="W20" s="1458"/>
      <c r="X20" s="1458"/>
      <c r="Y20" s="1458"/>
      <c r="Z20" s="1458"/>
      <c r="AA20" s="1458"/>
      <c r="AB20" s="1458"/>
      <c r="AC20" s="1458"/>
      <c r="AD20" s="1458"/>
      <c r="AE20" s="2578"/>
      <c r="AF20" s="2578"/>
    </row>
    <row r="21" spans="1:37" s="2521" customFormat="1" ht="15">
      <c r="A21" s="2593" t="s">
        <v>2695</v>
      </c>
      <c r="B21" s="2594" t="s">
        <v>2927</v>
      </c>
      <c r="C21" s="964">
        <f>IF(B21="容积率修正",IF(G3&lt;=10,D22,J22),C23)</f>
        <v>3.5657999999999999</v>
      </c>
      <c r="D21" s="2595"/>
      <c r="E21" s="2595"/>
      <c r="F21" s="2595"/>
      <c r="G21" s="2595"/>
      <c r="H21" s="2595"/>
      <c r="I21" s="2595"/>
      <c r="J21" s="2596"/>
      <c r="K21" s="2578"/>
      <c r="N21" s="2597" t="s">
        <v>2696</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2697</v>
      </c>
      <c r="C22" s="1895" t="s">
        <v>2698</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2699</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2700</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2701</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2702</v>
      </c>
      <c r="B24" s="2606" t="s">
        <v>2703</v>
      </c>
      <c r="C24" s="966">
        <f>SUMIF(A46:A88,E2,B46:B88)</f>
        <v>1.048</v>
      </c>
      <c r="D24" s="2607"/>
      <c r="E24" s="2608"/>
      <c r="F24" s="2608"/>
      <c r="G24" s="2608"/>
      <c r="H24" s="2608"/>
      <c r="I24" s="2608"/>
      <c r="J24" s="2609"/>
      <c r="K24" s="2578"/>
      <c r="N24" s="2610" t="s">
        <v>2704</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2705</v>
      </c>
      <c r="B25" s="2611" t="s">
        <v>2706</v>
      </c>
      <c r="C25" s="957"/>
      <c r="D25" s="2532"/>
      <c r="E25" s="2532"/>
      <c r="F25" s="2612"/>
      <c r="G25" s="2532"/>
      <c r="H25" s="2532"/>
      <c r="I25" s="2532"/>
      <c r="J25" s="2533"/>
      <c r="L25" s="1458"/>
      <c r="M25" s="1458"/>
      <c r="N25" s="2613" t="s">
        <v>2707</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2708</v>
      </c>
      <c r="C26" s="123">
        <f ca="1">E29+SUM(E33:E39)</f>
        <v>8164601</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2709</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2710</v>
      </c>
      <c r="C28" s="2624" t="s">
        <v>2711</v>
      </c>
      <c r="D28" s="2624" t="s">
        <v>2712</v>
      </c>
      <c r="E28" s="2625" t="s">
        <v>2713</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2714</v>
      </c>
      <c r="C29" s="3106">
        <f ca="1">ROUND(C5*C18*C19*C20*C24,0)</f>
        <v>32841</v>
      </c>
      <c r="D29" s="2629">
        <f>'数据-取费表'!B6</f>
        <v>248.61</v>
      </c>
      <c r="E29" s="970">
        <f ca="1">ROUND(C29*D29,0)</f>
        <v>8164601</v>
      </c>
      <c r="F29" s="2630" t="s">
        <v>2715</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2716</v>
      </c>
      <c r="C30" s="150">
        <f ca="1">ROUND(IF(E2="工业",C29*M39,C29*M38),0)</f>
        <v>8210</v>
      </c>
      <c r="D30" s="2635">
        <f>D29</f>
        <v>248.61</v>
      </c>
      <c r="E30" s="970">
        <f ca="1">ROUND(C30*D30,0)</f>
        <v>2041088</v>
      </c>
      <c r="F30" s="2636" t="s">
        <v>2717</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2718</v>
      </c>
      <c r="C31" s="2641" t="s">
        <v>2719</v>
      </c>
      <c r="D31" s="2545"/>
      <c r="E31" s="2641"/>
      <c r="F31" s="2641"/>
      <c r="G31" s="2543" t="s">
        <v>2720</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2711</v>
      </c>
      <c r="D32" s="479" t="s">
        <v>2712</v>
      </c>
      <c r="E32" s="479" t="s">
        <v>2713</v>
      </c>
      <c r="F32" s="367" t="s">
        <v>2721</v>
      </c>
      <c r="G32" s="956" t="s">
        <v>2711</v>
      </c>
      <c r="H32" s="956" t="s">
        <v>2712</v>
      </c>
      <c r="I32" s="956"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88" t="s">
        <v>2722</v>
      </c>
      <c r="B33" s="2644" t="s">
        <v>2723</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9"/>
      <c r="B34" s="2549" t="s">
        <v>2724</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9"/>
      <c r="B35" s="2549" t="s">
        <v>2725</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0"/>
      <c r="B36" s="2549" t="s">
        <v>2726</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2727</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2728</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2729</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2730</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2731</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2671</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2732</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2733</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2734</v>
      </c>
      <c r="B47" s="821" t="s">
        <v>2735</v>
      </c>
      <c r="C47" s="821" t="s">
        <v>2736</v>
      </c>
      <c r="D47" s="821" t="s">
        <v>2737</v>
      </c>
      <c r="E47" s="822" t="s">
        <v>2738</v>
      </c>
      <c r="F47" s="2666" t="s">
        <v>2739</v>
      </c>
      <c r="G47" s="821" t="s">
        <v>2740</v>
      </c>
      <c r="H47" s="2667" t="s">
        <v>2741</v>
      </c>
      <c r="I47" s="821"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2748</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2749</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2750</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2751</v>
      </c>
      <c r="B51" s="2670" t="s">
        <v>2752</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2753</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2754</v>
      </c>
      <c r="B53" s="2671" t="s">
        <v>2755</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2756</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2757</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2758</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2759</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2734</v>
      </c>
      <c r="B58" s="2669"/>
      <c r="C58" s="821" t="s">
        <v>2736</v>
      </c>
      <c r="D58" s="821" t="s">
        <v>2737</v>
      </c>
      <c r="E58" s="822" t="s">
        <v>2738</v>
      </c>
      <c r="F58" s="2666" t="s">
        <v>2739</v>
      </c>
      <c r="G58" s="821" t="s">
        <v>2760</v>
      </c>
      <c r="H58" s="2667" t="s">
        <v>2761</v>
      </c>
      <c r="I58" s="821" t="s">
        <v>2762</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2763</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2749</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2750</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2751</v>
      </c>
      <c r="B62" s="2670" t="s">
        <v>2752</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2753</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2754</v>
      </c>
      <c r="B64" s="2671" t="s">
        <v>2755</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2756</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2757</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2758</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2764</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2734</v>
      </c>
      <c r="B69" s="2669"/>
      <c r="C69" s="821" t="s">
        <v>2736</v>
      </c>
      <c r="D69" s="821" t="s">
        <v>2737</v>
      </c>
      <c r="E69" s="822" t="s">
        <v>2738</v>
      </c>
      <c r="F69" s="2666" t="s">
        <v>2739</v>
      </c>
      <c r="G69" s="821" t="s">
        <v>2760</v>
      </c>
      <c r="H69" s="2667" t="s">
        <v>2761</v>
      </c>
      <c r="I69" s="821" t="s">
        <v>2762</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2765</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2749</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2750</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2766</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2756</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2757</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2754</v>
      </c>
      <c r="B76" s="2671" t="s">
        <v>2755</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2758</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2767</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2768</v>
      </c>
      <c r="B79" s="2676">
        <f>1+E81</f>
        <v>1</v>
      </c>
      <c r="C79" s="815"/>
      <c r="D79" s="815"/>
      <c r="E79" s="816"/>
      <c r="F79" s="2663"/>
      <c r="G79" s="7"/>
      <c r="H79" s="7"/>
      <c r="I79" s="7"/>
      <c r="J79" s="9"/>
      <c r="K79" s="9"/>
      <c r="L79" s="9"/>
      <c r="M79" s="9"/>
      <c r="N79" s="9"/>
      <c r="Z79" s="2502"/>
      <c r="AA79" s="2579"/>
      <c r="AG79" s="2655"/>
      <c r="AK79" s="2579"/>
    </row>
    <row r="80" spans="1:37" ht="24.75">
      <c r="A80" s="2665" t="s">
        <v>2734</v>
      </c>
      <c r="B80" s="2669"/>
      <c r="C80" s="821" t="s">
        <v>2736</v>
      </c>
      <c r="D80" s="821" t="s">
        <v>2737</v>
      </c>
      <c r="E80" s="822" t="s">
        <v>2738</v>
      </c>
      <c r="F80" s="2666" t="s">
        <v>2739</v>
      </c>
      <c r="G80" s="821" t="s">
        <v>2760</v>
      </c>
      <c r="H80" s="2667" t="s">
        <v>2761</v>
      </c>
      <c r="I80" s="821" t="s">
        <v>2762</v>
      </c>
      <c r="J80" s="587" t="s">
        <v>2397</v>
      </c>
      <c r="K80" s="587" t="s">
        <v>2398</v>
      </c>
      <c r="L80" s="587" t="s">
        <v>2399</v>
      </c>
      <c r="M80" s="587" t="s">
        <v>2400</v>
      </c>
      <c r="N80" s="587" t="s">
        <v>2401</v>
      </c>
      <c r="Z80" s="2502"/>
      <c r="AA80" s="2579"/>
      <c r="AG80" s="2655"/>
      <c r="AK80" s="2579"/>
    </row>
    <row r="81" spans="1:37" ht="38.25">
      <c r="A81" s="2665" t="s">
        <v>2769</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2749</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2750</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2766</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2756</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2757</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2754</v>
      </c>
      <c r="B87" s="2671" t="s">
        <v>2755</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2770</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80" t="s">
        <v>2771</v>
      </c>
      <c r="B90" s="3080"/>
      <c r="C90" s="3080"/>
      <c r="D90" s="3080"/>
      <c r="E90" s="3080"/>
      <c r="F90" s="3080"/>
      <c r="G90" s="3080"/>
      <c r="H90" s="3080"/>
      <c r="I90" s="3080"/>
      <c r="J90" s="3080"/>
      <c r="K90" s="2682"/>
      <c r="L90" s="2682"/>
      <c r="M90" s="2682"/>
      <c r="N90" s="2682"/>
    </row>
    <row r="91" spans="1:37">
      <c r="A91" s="3082" t="s">
        <v>2772</v>
      </c>
      <c r="B91" s="3082" t="s">
        <v>2773</v>
      </c>
      <c r="C91" s="2630" t="s">
        <v>2774</v>
      </c>
      <c r="D91" s="2631"/>
      <c r="E91" s="2631"/>
      <c r="F91" s="2631"/>
      <c r="G91" s="2631"/>
      <c r="H91" s="2631"/>
      <c r="I91" s="2631"/>
      <c r="J91" s="2683"/>
      <c r="K91" s="2684"/>
      <c r="L91" s="2684"/>
      <c r="M91" s="2684"/>
      <c r="N91" s="2684"/>
    </row>
    <row r="92" spans="1:37">
      <c r="A92" s="3082"/>
      <c r="B92" s="3082"/>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83" t="s">
        <v>2775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84"/>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84"/>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84"/>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84"/>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84"/>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84"/>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85"/>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83" t="s">
        <v>2776</v>
      </c>
      <c r="B101" s="2689" t="s">
        <v>2777</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84"/>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84"/>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84"/>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84"/>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84"/>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84"/>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84"/>
      <c r="B108" s="3086" t="s">
        <v>2778</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85"/>
      <c r="B109" s="3087"/>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81" t="s">
        <v>2779</v>
      </c>
      <c r="B110" s="3081"/>
      <c r="C110" s="3081"/>
      <c r="D110" s="3081"/>
      <c r="E110" s="3081"/>
      <c r="F110" s="3081"/>
      <c r="G110" s="3081"/>
      <c r="H110" s="3081"/>
      <c r="I110" s="3081"/>
      <c r="J110" s="3081"/>
      <c r="K110" s="2691"/>
      <c r="L110" s="2691"/>
      <c r="M110" s="2691"/>
      <c r="N110" s="2691"/>
    </row>
    <row r="112" spans="1:14" ht="13.5" thickBot="1"/>
    <row r="113" spans="1:13" ht="25.5" thickBot="1">
      <c r="A113" s="926" t="s">
        <v>2780</v>
      </c>
      <c r="B113" s="1375">
        <f>G3</f>
        <v>0.4</v>
      </c>
      <c r="C113" s="927" t="s">
        <v>2781</v>
      </c>
      <c r="D113" s="928">
        <f>SUMPRODUCT((A115:A118=F113)*(B114:M114=H113)*B115:M118)</f>
        <v>0.82869999999999999</v>
      </c>
      <c r="E113" s="2693" t="s">
        <v>2667</v>
      </c>
      <c r="F113" s="2694" t="str">
        <f>E2</f>
        <v>商业</v>
      </c>
      <c r="G113" s="2693" t="s">
        <v>2602</v>
      </c>
      <c r="H113" s="2694" t="str">
        <f>G2</f>
        <v>三级</v>
      </c>
      <c r="I113" s="2693"/>
      <c r="J113" s="2695"/>
      <c r="K113" s="2695"/>
      <c r="L113" s="2695"/>
      <c r="M113" s="2695"/>
    </row>
    <row r="114" spans="1:13">
      <c r="A114" s="931"/>
      <c r="B114" s="2696" t="s">
        <v>2782</v>
      </c>
      <c r="C114" s="2696" t="s">
        <v>2783</v>
      </c>
      <c r="D114" s="2696" t="s">
        <v>2784</v>
      </c>
      <c r="E114" s="2697" t="s">
        <v>2785</v>
      </c>
      <c r="F114" s="2697" t="s">
        <v>2786</v>
      </c>
      <c r="G114" s="2697" t="s">
        <v>2787</v>
      </c>
      <c r="H114" s="2698" t="s">
        <v>2788</v>
      </c>
      <c r="I114" s="2698" t="s">
        <v>2789</v>
      </c>
      <c r="J114" s="2699" t="s">
        <v>2790</v>
      </c>
      <c r="K114" s="2699" t="s">
        <v>2791</v>
      </c>
      <c r="L114" s="2699" t="s">
        <v>2792</v>
      </c>
      <c r="M114" s="2700" t="s">
        <v>2793</v>
      </c>
    </row>
    <row r="115" spans="1:13">
      <c r="A115" s="932" t="s">
        <v>2668</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2669</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2670</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2671</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1" t="s">
        <v>787</v>
      </c>
      <c r="B1" s="3091"/>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5" t="s">
        <v>571</v>
      </c>
      <c r="C61" s="819" t="s">
        <v>572</v>
      </c>
      <c r="D61" s="819" t="s">
        <v>573</v>
      </c>
      <c r="E61" s="918">
        <v>0.5</v>
      </c>
      <c r="F61" s="905">
        <v>80</v>
      </c>
    </row>
    <row r="62" spans="1:8" s="901" customFormat="1" ht="24">
      <c r="A62" s="905">
        <v>2</v>
      </c>
      <c r="B62" s="3095"/>
      <c r="C62" s="819" t="s">
        <v>574</v>
      </c>
      <c r="D62" s="819" t="s">
        <v>575</v>
      </c>
      <c r="E62" s="918">
        <v>0.5</v>
      </c>
      <c r="F62" s="905">
        <v>80</v>
      </c>
    </row>
    <row r="63" spans="1:8" s="901" customFormat="1" ht="36">
      <c r="A63" s="905">
        <v>3</v>
      </c>
      <c r="B63" s="3095"/>
      <c r="C63" s="819" t="s">
        <v>576</v>
      </c>
      <c r="D63" s="819" t="s">
        <v>577</v>
      </c>
      <c r="E63" s="918">
        <v>0.5</v>
      </c>
      <c r="F63" s="905">
        <v>80</v>
      </c>
    </row>
    <row r="64" spans="1:8" s="901" customFormat="1" ht="36">
      <c r="A64" s="905">
        <v>4</v>
      </c>
      <c r="B64" s="3095"/>
      <c r="C64" s="819" t="s">
        <v>578</v>
      </c>
      <c r="D64" s="819" t="s">
        <v>579</v>
      </c>
      <c r="E64" s="918">
        <v>0.4</v>
      </c>
      <c r="F64" s="905">
        <v>60</v>
      </c>
    </row>
    <row r="65" spans="1:6" s="901" customFormat="1" ht="36">
      <c r="A65" s="905">
        <v>5</v>
      </c>
      <c r="B65" s="3095"/>
      <c r="C65" s="819" t="s">
        <v>580</v>
      </c>
      <c r="D65" s="819" t="s">
        <v>581</v>
      </c>
      <c r="E65" s="918">
        <v>0.2</v>
      </c>
      <c r="F65" s="905">
        <v>30</v>
      </c>
    </row>
    <row r="66" spans="1:6" s="901" customFormat="1" ht="36">
      <c r="A66" s="905">
        <v>6</v>
      </c>
      <c r="B66" s="3095"/>
      <c r="C66" s="819" t="s">
        <v>582</v>
      </c>
      <c r="D66" s="819" t="s">
        <v>583</v>
      </c>
      <c r="E66" s="918">
        <v>0.3</v>
      </c>
      <c r="F66" s="905">
        <v>50</v>
      </c>
    </row>
    <row r="67" spans="1:6" s="901" customFormat="1" ht="36">
      <c r="A67" s="905">
        <v>7</v>
      </c>
      <c r="B67" s="3095"/>
      <c r="C67" s="819" t="s">
        <v>584</v>
      </c>
      <c r="D67" s="819" t="s">
        <v>585</v>
      </c>
      <c r="E67" s="918">
        <v>0.2</v>
      </c>
      <c r="F67" s="905">
        <v>30</v>
      </c>
    </row>
    <row r="68" spans="1:6" s="901" customFormat="1" ht="36">
      <c r="A68" s="905">
        <v>8</v>
      </c>
      <c r="B68" s="3095"/>
      <c r="C68" s="819" t="s">
        <v>586</v>
      </c>
      <c r="D68" s="819" t="s">
        <v>587</v>
      </c>
      <c r="E68" s="918">
        <v>0.2</v>
      </c>
      <c r="F68" s="905">
        <v>30</v>
      </c>
    </row>
    <row r="69" spans="1:6" s="901" customFormat="1" ht="36">
      <c r="A69" s="905">
        <v>9</v>
      </c>
      <c r="B69" s="3095"/>
      <c r="C69" s="819" t="s">
        <v>588</v>
      </c>
      <c r="D69" s="819" t="s">
        <v>589</v>
      </c>
      <c r="E69" s="918">
        <v>0.2</v>
      </c>
      <c r="F69" s="905">
        <v>30</v>
      </c>
    </row>
    <row r="70" spans="1:6" s="901" customFormat="1" ht="48">
      <c r="A70" s="905">
        <v>10</v>
      </c>
      <c r="B70" s="3095"/>
      <c r="C70" s="819" t="s">
        <v>590</v>
      </c>
      <c r="D70" s="819" t="s">
        <v>591</v>
      </c>
      <c r="E70" s="918">
        <v>0.2</v>
      </c>
      <c r="F70" s="905">
        <v>30</v>
      </c>
    </row>
    <row r="71" spans="1:6" s="901" customFormat="1" ht="48">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24">
      <c r="A73" s="905">
        <v>13</v>
      </c>
      <c r="B73" s="3095"/>
      <c r="C73" s="819" t="s">
        <v>596</v>
      </c>
      <c r="D73" s="819" t="s">
        <v>597</v>
      </c>
      <c r="E73" s="918">
        <v>0.4</v>
      </c>
      <c r="F73" s="905">
        <v>60</v>
      </c>
    </row>
    <row r="74" spans="1:6" s="901" customFormat="1" ht="24">
      <c r="A74" s="905">
        <v>14</v>
      </c>
      <c r="B74" s="3095"/>
      <c r="C74" s="819" t="s">
        <v>598</v>
      </c>
      <c r="D74" s="819" t="s">
        <v>599</v>
      </c>
      <c r="E74" s="918">
        <v>0.2</v>
      </c>
      <c r="F74" s="905">
        <v>30</v>
      </c>
    </row>
    <row r="75" spans="1:6" s="901" customFormat="1" ht="24">
      <c r="A75" s="905">
        <v>15</v>
      </c>
      <c r="B75" s="3095"/>
      <c r="C75" s="819" t="s">
        <v>600</v>
      </c>
      <c r="D75" s="819" t="s">
        <v>601</v>
      </c>
      <c r="E75" s="918">
        <v>0.2</v>
      </c>
      <c r="F75" s="905">
        <v>30</v>
      </c>
    </row>
    <row r="76" spans="1:6" s="901" customFormat="1" ht="24">
      <c r="A76" s="905">
        <v>16</v>
      </c>
      <c r="B76" s="3095" t="s">
        <v>602</v>
      </c>
      <c r="C76" s="819" t="s">
        <v>603</v>
      </c>
      <c r="D76" s="819" t="s">
        <v>604</v>
      </c>
      <c r="E76" s="918">
        <v>0.5</v>
      </c>
      <c r="F76" s="905">
        <v>80</v>
      </c>
    </row>
    <row r="77" spans="1:6" s="901" customFormat="1" ht="24">
      <c r="A77" s="905">
        <v>17</v>
      </c>
      <c r="B77" s="3095"/>
      <c r="C77" s="819" t="s">
        <v>605</v>
      </c>
      <c r="D77" s="819" t="s">
        <v>606</v>
      </c>
      <c r="E77" s="918">
        <v>0.5</v>
      </c>
      <c r="F77" s="905">
        <v>80</v>
      </c>
    </row>
    <row r="78" spans="1:6" s="901" customFormat="1" ht="24">
      <c r="A78" s="905">
        <v>18</v>
      </c>
      <c r="B78" s="3095"/>
      <c r="C78" s="819" t="s">
        <v>607</v>
      </c>
      <c r="D78" s="819" t="s">
        <v>608</v>
      </c>
      <c r="E78" s="918">
        <v>0.2</v>
      </c>
      <c r="F78" s="905">
        <v>30</v>
      </c>
    </row>
    <row r="79" spans="1:6" s="901" customFormat="1" ht="24">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48">
      <c r="A82" s="905">
        <v>22</v>
      </c>
      <c r="B82" s="3095"/>
      <c r="C82" s="819" t="s">
        <v>615</v>
      </c>
      <c r="D82" s="819" t="s">
        <v>616</v>
      </c>
      <c r="E82" s="918">
        <v>0.2</v>
      </c>
      <c r="F82" s="905">
        <v>30</v>
      </c>
    </row>
    <row r="83" spans="1:6" s="901" customFormat="1" ht="48">
      <c r="A83" s="905">
        <v>23</v>
      </c>
      <c r="B83" s="3095"/>
      <c r="C83" s="819" t="s">
        <v>617</v>
      </c>
      <c r="D83" s="819" t="s">
        <v>618</v>
      </c>
      <c r="E83" s="918">
        <v>0.2</v>
      </c>
      <c r="F83" s="905">
        <v>30</v>
      </c>
    </row>
    <row r="84" spans="1:6" s="901" customFormat="1" ht="36">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24">
      <c r="A89" s="905">
        <v>29</v>
      </c>
      <c r="B89" s="3095"/>
      <c r="C89" s="819" t="s">
        <v>629</v>
      </c>
      <c r="D89" s="819" t="s">
        <v>630</v>
      </c>
      <c r="E89" s="918">
        <v>0.2</v>
      </c>
      <c r="F89" s="905">
        <v>30</v>
      </c>
    </row>
    <row r="90" spans="1:6" s="901" customFormat="1" ht="24">
      <c r="A90" s="905">
        <v>30</v>
      </c>
      <c r="B90" s="3095"/>
      <c r="C90" s="819" t="s">
        <v>631</v>
      </c>
      <c r="D90" s="819" t="s">
        <v>632</v>
      </c>
      <c r="E90" s="918">
        <v>0.2</v>
      </c>
      <c r="F90" s="905">
        <v>30</v>
      </c>
    </row>
    <row r="91" spans="1:6" s="901" customFormat="1" ht="36">
      <c r="A91" s="905">
        <v>31</v>
      </c>
      <c r="B91" s="3095"/>
      <c r="C91" s="819" t="s">
        <v>633</v>
      </c>
      <c r="D91" s="819" t="s">
        <v>634</v>
      </c>
      <c r="E91" s="918">
        <v>0.2</v>
      </c>
      <c r="F91" s="905">
        <v>30</v>
      </c>
    </row>
    <row r="92" spans="1:6" s="901" customFormat="1" ht="24">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48">
      <c r="A94" s="905">
        <v>34</v>
      </c>
      <c r="B94" s="3095"/>
      <c r="C94" s="905" t="s">
        <v>640</v>
      </c>
      <c r="D94" s="819" t="s">
        <v>641</v>
      </c>
      <c r="E94" s="918">
        <v>0.2</v>
      </c>
      <c r="F94" s="905">
        <v>30</v>
      </c>
    </row>
    <row r="95" spans="1:6" s="901" customFormat="1" ht="36">
      <c r="A95" s="905">
        <v>35</v>
      </c>
      <c r="B95" s="3095"/>
      <c r="C95" s="905" t="s">
        <v>642</v>
      </c>
      <c r="D95" s="819" t="s">
        <v>643</v>
      </c>
      <c r="E95" s="918">
        <v>0.2</v>
      </c>
      <c r="F95" s="905">
        <v>30</v>
      </c>
    </row>
    <row r="96" spans="1:6" s="901" customFormat="1" ht="48">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24">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5" t="s">
        <v>665</v>
      </c>
      <c r="C105" s="905" t="s">
        <v>666</v>
      </c>
      <c r="D105" s="819" t="s">
        <v>667</v>
      </c>
      <c r="E105" s="918">
        <v>0.2</v>
      </c>
      <c r="F105" s="905">
        <v>30</v>
      </c>
    </row>
    <row r="106" spans="1:6" s="901" customFormat="1" ht="36">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36">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5" t="s">
        <v>681</v>
      </c>
      <c r="C111" s="905" t="s">
        <v>682</v>
      </c>
      <c r="D111" s="819" t="s">
        <v>683</v>
      </c>
      <c r="E111" s="918">
        <v>0.2</v>
      </c>
      <c r="F111" s="905">
        <v>30</v>
      </c>
    </row>
    <row r="112" spans="1:6" s="901" customFormat="1" ht="24">
      <c r="A112" s="905">
        <v>52</v>
      </c>
      <c r="B112" s="3095"/>
      <c r="C112" s="905" t="s">
        <v>684</v>
      </c>
      <c r="D112" s="819" t="s">
        <v>685</v>
      </c>
      <c r="E112" s="918">
        <v>0.2</v>
      </c>
      <c r="F112" s="905">
        <v>30</v>
      </c>
    </row>
    <row r="113" spans="1:6" s="901" customFormat="1" ht="24">
      <c r="A113" s="905">
        <v>53</v>
      </c>
      <c r="B113" s="30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1" t="s">
        <v>1033</v>
      </c>
      <c r="C1" s="3101"/>
      <c r="D1" s="3101"/>
      <c r="E1" s="3101"/>
      <c r="F1" s="3101"/>
      <c r="G1" s="3097" t="s">
        <v>1034</v>
      </c>
      <c r="H1" s="3097"/>
      <c r="I1" s="3097"/>
      <c r="J1" s="3097"/>
      <c r="K1" s="3097"/>
      <c r="L1" s="3097"/>
      <c r="N1" s="3097" t="s">
        <v>1035</v>
      </c>
      <c r="O1" s="3097"/>
      <c r="P1" s="3097"/>
      <c r="Q1" s="3097"/>
      <c r="R1" s="1544"/>
      <c r="S1" s="3097" t="s">
        <v>1036</v>
      </c>
      <c r="T1" s="3097"/>
      <c r="U1" s="3097"/>
      <c r="V1" s="3097"/>
      <c r="X1" s="3096" t="s">
        <v>1037</v>
      </c>
      <c r="Y1" s="3097"/>
      <c r="Z1" s="3097"/>
      <c r="AA1" s="3097"/>
      <c r="AB1" s="3097"/>
      <c r="AD1" s="3096" t="s">
        <v>1038</v>
      </c>
      <c r="AE1" s="3097"/>
      <c r="AF1" s="3097"/>
      <c r="AG1" s="3097"/>
      <c r="AH1" s="3097"/>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2801</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2805</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2800</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2806</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2802</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2797</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2">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9"/>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9"/>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100"/>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8">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9"/>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9"/>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100"/>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8">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9"/>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9"/>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100"/>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3">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4"/>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4"/>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5"/>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8">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9"/>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9"/>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100"/>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8">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9">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9">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100">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8">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9">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9">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100">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8">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9">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9">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100">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8">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9">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9">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100">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8">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9">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9">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100">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8">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9">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9">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100">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8">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9">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9">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100">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8">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9">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9">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100">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8">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9">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9">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100">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8">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9">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9">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100">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26"/>
      <c r="B3" s="1926"/>
      <c r="C3" s="1926"/>
      <c r="D3" s="1926"/>
      <c r="E3" s="1926"/>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3"/>
      <c r="B5" s="1927" t="s">
        <v>742</v>
      </c>
      <c r="C5" s="2769" t="s">
        <v>783</v>
      </c>
      <c r="D5" s="2770"/>
      <c r="E5" s="1923"/>
    </row>
    <row r="6" spans="1:5" ht="14.25">
      <c r="A6" s="1923"/>
      <c r="B6" s="1928" t="str">
        <f>项目基本情况!I1</f>
        <v>北京市房地产</v>
      </c>
      <c r="C6" s="2771">
        <f>项目基本情况!C12</f>
        <v>111.29</v>
      </c>
      <c r="D6" s="2771"/>
      <c r="E6" s="1923"/>
    </row>
    <row r="7" spans="1:5" ht="14.25">
      <c r="A7" s="1923"/>
      <c r="B7" s="2765" t="s">
        <v>784</v>
      </c>
      <c r="C7" s="1929" t="str">
        <f>IF('数据-取费表'!B3="万元","总价（万元）","总价（元）")</f>
        <v>总价（元）</v>
      </c>
      <c r="D7" s="1930">
        <f ca="1">IF('数据-取费表'!E3="否",结果表!I102,'结果表 (1修多)'!I103)</f>
        <v>2761730</v>
      </c>
      <c r="E7" s="1923"/>
    </row>
    <row r="8" spans="1:5" ht="28.5">
      <c r="A8" s="1923"/>
      <c r="B8" s="2765"/>
      <c r="C8" s="1931" t="s">
        <v>1175</v>
      </c>
      <c r="D8" s="1932" t="str">
        <f ca="1">IF('数据-取费表'!B3="万元",NUMBERSTRING(INT(D7*10000),2)&amp;"元整",NUMBERSTRING(INT(D7),2)&amp;"元整")</f>
        <v>贰佰柒拾陆万壹仟柒佰叁拾元整</v>
      </c>
      <c r="E8" s="1923"/>
    </row>
    <row r="9" spans="1:5" ht="14.25">
      <c r="A9" s="1923"/>
      <c r="B9" s="2765"/>
      <c r="C9" s="1933" t="s">
        <v>1273</v>
      </c>
      <c r="D9" s="1930">
        <f ca="1">IF('数据-取费表'!E3="否",结果表!I103,'结果表 (1修多)'!I104)</f>
        <v>24816</v>
      </c>
      <c r="E9" s="1923"/>
    </row>
    <row r="10" spans="1:5" ht="14.25">
      <c r="A10" s="1923"/>
      <c r="B10" s="2772"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72"/>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72" t="str">
        <f>IF('数据-取费表'!E3="否",结果表!F110,'结果表 (1修多)'!F111)</f>
        <v>3.房地产抵押价值</v>
      </c>
      <c r="C15" s="1924" t="str">
        <f>C7</f>
        <v>总价（元）</v>
      </c>
      <c r="D15" s="1930">
        <f ca="1">IF('数据-取费表'!E3="否",结果表!I110,'结果表 (1修多)'!I111)</f>
        <v>2761730</v>
      </c>
      <c r="E15" s="1923"/>
    </row>
    <row r="16" spans="1:5" ht="28.5">
      <c r="A16" s="1923"/>
      <c r="B16" s="2772"/>
      <c r="C16" s="1931" t="s">
        <v>1175</v>
      </c>
      <c r="D16" s="1930" t="str">
        <f ca="1">IF('数据-取费表'!B3="万元",NUMBERSTRING(INT(D15*10000),2)&amp;"元整",NUMBERSTRING(INT(D15),2)&amp;"元整")</f>
        <v>贰佰柒拾陆万壹仟柒佰叁拾元整</v>
      </c>
      <c r="E16" s="1923"/>
    </row>
    <row r="17" spans="1:5" ht="14.25">
      <c r="A17" s="1923"/>
      <c r="B17" s="2772"/>
      <c r="C17" s="1933" t="s">
        <v>1273</v>
      </c>
      <c r="D17" s="1930">
        <f ca="1">IF('数据-取费表'!E3="否",结果表!I111,'结果表 (1修多)'!I112)</f>
        <v>24816</v>
      </c>
      <c r="E17" s="1923"/>
    </row>
    <row r="18" spans="1:5" ht="14.25">
      <c r="A18" s="1923"/>
      <c r="B18" s="2772" t="str">
        <f>IF('数据-取费表'!E3="否",结果表!F112,'结果表 (1修多)'!F113)</f>
        <v>——</v>
      </c>
      <c r="C18" s="1924" t="str">
        <f>C7</f>
        <v>总价（元）</v>
      </c>
      <c r="D18" s="1930" t="str">
        <f>IF('数据-取费表'!E3="否",结果表!I112,'结果表 (1修多)'!I113)</f>
        <v>——</v>
      </c>
      <c r="E18" s="1923"/>
    </row>
    <row r="19" spans="1:5" ht="14.25">
      <c r="A19" s="1923"/>
      <c r="B19" s="2772"/>
      <c r="C19" s="1931" t="s">
        <v>1175</v>
      </c>
      <c r="D19" s="1930" t="e">
        <f>IF('数据-取费表'!B3="万元",NUMBERSTRING(INT(D18*10000),2)&amp;"元整",NUMBERSTRING(INT(D18),2)&amp;"元整")</f>
        <v>#VALUE!</v>
      </c>
      <c r="E19" s="1923"/>
    </row>
    <row r="20" spans="1:5" ht="14.25">
      <c r="A20" s="1923"/>
      <c r="B20" s="2772"/>
      <c r="C20" s="1933" t="s">
        <v>1273</v>
      </c>
      <c r="D20" s="1930" t="str">
        <f>IF('数据-取费表'!E3="否",结果表!I113,'结果表 (1修多)'!I114)</f>
        <v>——</v>
      </c>
      <c r="E20" s="1923"/>
    </row>
    <row r="21" spans="1:5" ht="14.25">
      <c r="A21" s="1923"/>
      <c r="B21" s="2765" t="str">
        <f>IF('数据-取费表'!E3="否",结果表!F114,'结果表 (1修多)'!F115)</f>
        <v>——</v>
      </c>
      <c r="C21" s="1929" t="str">
        <f>C7</f>
        <v>总价（元）</v>
      </c>
      <c r="D21" s="1930" t="str">
        <f>IF('数据-取费表'!E3="否",结果表!I114,'结果表 (1修多)'!I115)</f>
        <v>——</v>
      </c>
      <c r="E21" s="1923"/>
    </row>
    <row r="22" spans="1:5" ht="14.25">
      <c r="A22" s="1923"/>
      <c r="B22" s="2765"/>
      <c r="C22" s="1931" t="s">
        <v>1175</v>
      </c>
      <c r="D22" s="1932" t="e">
        <f>IF('数据-取费表'!B3="万元",NUMBERSTRING(INT(D21*10000),2)&amp;"元整",NUMBERSTRING(INT(D21),2)&amp;"元整")</f>
        <v>#VALUE!</v>
      </c>
      <c r="E22" s="1923"/>
    </row>
    <row r="23" spans="1:5" ht="15" thickBot="1">
      <c r="A23" s="1923"/>
      <c r="B23" s="2766"/>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7" t="s">
        <v>1274</v>
      </c>
      <c r="C25" s="2757"/>
      <c r="D25" s="2757"/>
      <c r="E25" s="1923"/>
    </row>
    <row r="26" spans="1:5" ht="18.75" customHeight="1" thickTop="1">
      <c r="A26" s="1923"/>
      <c r="B26" s="2760" t="s">
        <v>1174</v>
      </c>
      <c r="C26" s="2761"/>
      <c r="D26" s="2758" t="s">
        <v>1173</v>
      </c>
      <c r="E26" s="1923"/>
    </row>
    <row r="27" spans="1:5" ht="18.75" customHeight="1">
      <c r="A27" s="1923"/>
      <c r="B27" s="2762"/>
      <c r="C27" s="2763"/>
      <c r="D27" s="2759"/>
      <c r="E27" s="1923"/>
    </row>
    <row r="28" spans="1:5" ht="14.25">
      <c r="A28" s="1923"/>
      <c r="B28" s="2750" t="s">
        <v>784</v>
      </c>
      <c r="C28" s="1940" t="s">
        <v>1176</v>
      </c>
      <c r="D28" s="1941">
        <f ca="1">IF('数据-取费表'!E3="否",结果表!I102,'结果表 (1修多)'!I103)</f>
        <v>2761730</v>
      </c>
      <c r="E28" s="1923"/>
    </row>
    <row r="29" spans="1:5" ht="28.5">
      <c r="A29" s="1923"/>
      <c r="B29" s="2751"/>
      <c r="C29" s="1942" t="s">
        <v>1175</v>
      </c>
      <c r="D29" s="1943" t="str">
        <f ca="1">IF('数据-取费表'!B3="万元",NUMBERSTRING(INT(D28*10000),2)&amp;"元整",NUMBERSTRING(INT(D28),2)&amp;"元整")</f>
        <v>贰佰柒拾陆万壹仟柒佰叁拾元整</v>
      </c>
      <c r="E29" s="1923"/>
    </row>
    <row r="30" spans="1:5" ht="14.25">
      <c r="A30" s="1923"/>
      <c r="B30" s="2752"/>
      <c r="C30" s="1933" t="s">
        <v>1178</v>
      </c>
      <c r="D30" s="1944">
        <f ca="1">IF('数据-取费表'!E3="否",结果表!I103,'结果表 (1修多)'!I104)</f>
        <v>24816</v>
      </c>
      <c r="E30" s="1923"/>
    </row>
    <row r="31" spans="1:5" ht="14.25">
      <c r="A31" s="1923"/>
      <c r="B31" s="2755" t="str">
        <f>B10</f>
        <v>2.估价师所知悉的法定优先受偿款</v>
      </c>
      <c r="C31" s="1945" t="s">
        <v>1177</v>
      </c>
      <c r="D31" s="1946">
        <f>IF('数据-取费表'!E3="否",结果表!I105,'结果表 (1修多)'!I106)</f>
        <v>0</v>
      </c>
      <c r="E31" s="1923"/>
    </row>
    <row r="32" spans="1:5" ht="14.25">
      <c r="A32" s="1923"/>
      <c r="B32" s="2764"/>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53" t="str">
        <f>B15</f>
        <v>3.房地产抵押价值</v>
      </c>
      <c r="C36" s="1945" t="str">
        <f>C28</f>
        <v>总价</v>
      </c>
      <c r="D36" s="1946">
        <f ca="1">IF('数据-取费表'!E3="否",结果表!I110,'结果表 (1修多)'!I111)</f>
        <v>2761730</v>
      </c>
      <c r="E36" s="1923"/>
    </row>
    <row r="37" spans="1:5" ht="28.5">
      <c r="A37" s="1923"/>
      <c r="B37" s="2753"/>
      <c r="C37" s="1942" t="s">
        <v>1175</v>
      </c>
      <c r="D37" s="1947" t="str">
        <f ca="1">IF('数据-取费表'!B3="万元",NUMBERSTRING(INT(D36*10000),2)&amp;"元整",NUMBERSTRING(INT(D36),2)&amp;"元整")</f>
        <v>贰佰柒拾陆万壹仟柒佰叁拾元整</v>
      </c>
      <c r="E37" s="1923"/>
    </row>
    <row r="38" spans="1:5" ht="14.25">
      <c r="A38" s="1923"/>
      <c r="B38" s="2753"/>
      <c r="C38" s="1933" t="s">
        <v>1179</v>
      </c>
      <c r="D38" s="1944">
        <f ca="1">IF('数据-取费表'!E3="否",结果表!D113,'结果表 (1修多)'!D116)</f>
        <v>24816</v>
      </c>
      <c r="E38" s="1923"/>
    </row>
    <row r="39" spans="1:5" ht="14.25">
      <c r="A39" s="1923"/>
      <c r="B39" s="2754" t="str">
        <f>B18</f>
        <v>——</v>
      </c>
      <c r="C39" s="1945" t="str">
        <f>C28</f>
        <v>总价</v>
      </c>
      <c r="D39" s="1946" t="str">
        <f>IF('数据-取费表'!E3="否",结果表!I112,'结果表 (1修多)'!I113)</f>
        <v>——</v>
      </c>
      <c r="E39" s="1923"/>
    </row>
    <row r="40" spans="1:5" ht="14.25">
      <c r="A40" s="1923"/>
      <c r="B40" s="2754"/>
      <c r="C40" s="1942" t="s">
        <v>1175</v>
      </c>
      <c r="D40" s="1947" t="e">
        <f>IF('数据-取费表'!B3="万元",NUMBERSTRING(INT(D39*10000),2)&amp;"元整",NUMBERSTRING(INT(D39),2)&amp;"元整")</f>
        <v>#VALUE!</v>
      </c>
      <c r="E40" s="1923"/>
    </row>
    <row r="41" spans="1:5" ht="14.25">
      <c r="A41" s="1923"/>
      <c r="B41" s="2754"/>
      <c r="C41" s="1933" t="s">
        <v>1179</v>
      </c>
      <c r="D41" s="1944" t="str">
        <f>IF('数据-取费表'!E3="否",结果表!D115,'结果表 (1修多)'!D118)</f>
        <v>——</v>
      </c>
      <c r="E41" s="1923"/>
    </row>
    <row r="42" spans="1:5" ht="14.25">
      <c r="A42" s="1923"/>
      <c r="B42" s="2753" t="str">
        <f>B21</f>
        <v>——</v>
      </c>
      <c r="C42" s="1945" t="str">
        <f>C28</f>
        <v>总价</v>
      </c>
      <c r="D42" s="1946" t="str">
        <f>IF('数据-取费表'!E3="否",结果表!I114,'结果表 (1修多)'!I115)</f>
        <v>——</v>
      </c>
      <c r="E42" s="1923"/>
    </row>
    <row r="43" spans="1:5" ht="14.25">
      <c r="A43" s="1923"/>
      <c r="B43" s="2755"/>
      <c r="C43" s="1942" t="s">
        <v>1175</v>
      </c>
      <c r="D43" s="1948" t="e">
        <f>IF('数据-取费表'!B3="万元",NUMBERSTRING(INT(D42*10000),2)&amp;"元整",NUMBERSTRING(INT(D42),2)&amp;"元整")</f>
        <v>#VALUE!</v>
      </c>
      <c r="E43" s="1923"/>
    </row>
    <row r="44" spans="1:5" ht="15" thickBot="1">
      <c r="A44" s="1923"/>
      <c r="B44" s="2756"/>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1275</v>
      </c>
      <c r="B2" s="2780" t="s">
        <v>1276</v>
      </c>
      <c r="C2" s="2780" t="s">
        <v>1277</v>
      </c>
      <c r="D2" s="2780" t="str">
        <f>IF('数据-取费表'!E3="否",结果表!D119,'结果表 (1修多)'!D122)</f>
        <v>出让国有建设用地使用权价值</v>
      </c>
      <c r="E2" s="2780"/>
      <c r="F2" s="2780" t="s">
        <v>1278</v>
      </c>
      <c r="G2" s="2780"/>
      <c r="H2" s="2780" t="s">
        <v>1279</v>
      </c>
      <c r="I2" s="2780"/>
    </row>
    <row r="3" spans="1:9" ht="15">
      <c r="A3" s="2773"/>
      <c r="B3" s="2773"/>
      <c r="C3" s="2773"/>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2596026</v>
      </c>
      <c r="E4" s="1046">
        <f ca="1">IF('数据-取费表'!E3="否",结果表!E121,'结果表 (1修多)'!E124)</f>
        <v>23327</v>
      </c>
      <c r="F4" s="1046">
        <f ca="1">IF('数据-取费表'!E3="否",结果表!F121,'结果表 (1修多)'!F124)</f>
        <v>165704</v>
      </c>
      <c r="G4" s="1046">
        <f ca="1">IF('数据-取费表'!E3="否",结果表!G121,'结果表 (1修多)'!G124)</f>
        <v>1489</v>
      </c>
      <c r="H4" s="1046">
        <f ca="1">IF('数据-取费表'!E3="否",结果表!H121,'结果表 (1修多)'!H124)</f>
        <v>2761730</v>
      </c>
      <c r="I4" s="1046">
        <f ca="1">IF('数据-取费表'!E3="否",结果表!I121,'结果表 (1修多)'!I124)</f>
        <v>24816</v>
      </c>
    </row>
    <row r="5" spans="1:9" ht="15">
      <c r="A5" s="2773" t="s">
        <v>1283</v>
      </c>
      <c r="B5" s="2773"/>
      <c r="C5" s="2773"/>
      <c r="D5" s="2774" t="str">
        <f ca="1">IF('数据-取费表'!E3="否",结果表!D122,'结果表 (1修多)'!D125)</f>
        <v>贰佰伍拾玖万陆仟零贰拾陆元整</v>
      </c>
      <c r="E5" s="2774"/>
      <c r="F5" s="2774" t="str">
        <f ca="1">IF('数据-取费表'!E3="否",结果表!F122,'结果表 (1修多)'!F125)</f>
        <v>壹拾陆万伍仟柒佰零肆元整</v>
      </c>
      <c r="G5" s="2774"/>
      <c r="H5" s="2774" t="str">
        <f ca="1">IF('数据-取费表'!E3="否",结果表!H122,'结果表 (1修多)'!H125)</f>
        <v>贰佰柒拾陆万壹仟柒佰叁拾元整</v>
      </c>
      <c r="I5" s="2774"/>
    </row>
    <row r="6" spans="1:9" ht="15.75">
      <c r="A6" s="2775" t="str">
        <f>IF('数据-取费表'!E3="否",结果表!A123,'结果表 (1修多)'!A126)</f>
        <v>——</v>
      </c>
      <c r="B6" s="2775"/>
      <c r="C6" s="2775"/>
      <c r="D6" s="2775">
        <f>IF('数据-取费表'!E3="否",结果表!D123,'结果表 (1修多)'!D126)</f>
        <v>0</v>
      </c>
      <c r="E6" s="2775"/>
      <c r="F6" s="2775"/>
      <c r="G6" s="2775"/>
      <c r="H6" s="2775"/>
      <c r="I6" s="2775"/>
    </row>
    <row r="7" spans="1:9" ht="15">
      <c r="A7" s="2773" t="s">
        <v>1283</v>
      </c>
      <c r="B7" s="2773"/>
      <c r="C7" s="2773"/>
      <c r="D7" s="2781">
        <f>IF('数据-取费表'!E3="否",结果表!D124,'结果表 (1修多)'!D127)</f>
        <v>0</v>
      </c>
      <c r="E7" s="2782"/>
      <c r="F7" s="2782"/>
      <c r="G7" s="2782"/>
      <c r="H7" s="2782"/>
      <c r="I7" s="2783"/>
    </row>
    <row r="8" spans="1:9" ht="15.75">
      <c r="A8" s="2775" t="str">
        <f>IF('数据-取费表'!E3="否",结果表!A125,'结果表 (1修多)'!A128)</f>
        <v>——</v>
      </c>
      <c r="B8" s="2775"/>
      <c r="C8" s="2775"/>
      <c r="D8" s="2775">
        <f ca="1">IF('数据-取费表'!E3="否",结果表!D125,'结果表 (1修多)'!D128)</f>
        <v>2761730</v>
      </c>
      <c r="E8" s="2775"/>
      <c r="F8" s="2775"/>
      <c r="G8" s="2775"/>
      <c r="H8" s="2775"/>
      <c r="I8" s="2775"/>
    </row>
    <row r="9" spans="1:9" ht="15">
      <c r="A9" s="2773" t="s">
        <v>1283</v>
      </c>
      <c r="B9" s="2773"/>
      <c r="C9" s="2773"/>
      <c r="D9" s="2774">
        <f ca="1">IF('数据-取费表'!E3="否",结果表!D126,'结果表 (1修多)'!D129)</f>
        <v>24816</v>
      </c>
      <c r="E9" s="2774"/>
      <c r="F9" s="2774"/>
      <c r="G9" s="2774"/>
      <c r="H9" s="2774"/>
      <c r="I9" s="2774"/>
    </row>
    <row r="10" spans="1:9" ht="15.75">
      <c r="A10" s="2775" t="str">
        <f>IF('数据-取费表'!E3="否",结果表!A127,'结果表 (1修多)'!A130)</f>
        <v>——</v>
      </c>
      <c r="B10" s="2775"/>
      <c r="C10" s="2775"/>
      <c r="D10" s="2775" t="str">
        <f>IF('数据-取费表'!E3="否",结果表!D127,'结果表 (1修多)'!D129)</f>
        <v>——</v>
      </c>
      <c r="E10" s="2775"/>
      <c r="F10" s="2775"/>
      <c r="G10" s="2775"/>
      <c r="H10" s="2775"/>
      <c r="I10" s="2775"/>
    </row>
    <row r="11" spans="1:9" ht="15">
      <c r="A11" s="2773" t="s">
        <v>1283</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v>
      </c>
      <c r="B12" s="2775"/>
      <c r="C12" s="2775"/>
      <c r="D12" s="2775" t="str">
        <f>IF('数据-取费表'!E3="否",结果表!D129,'结果表 (1修多)'!D132)</f>
        <v>——</v>
      </c>
      <c r="E12" s="2775"/>
      <c r="F12" s="2775"/>
      <c r="G12" s="2775"/>
      <c r="H12" s="2775"/>
      <c r="I12" s="2775"/>
    </row>
    <row r="13" spans="1:9" ht="15.75" thickBot="1">
      <c r="A13" s="2776" t="s">
        <v>1283</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单位：平方米、元、元/平方米（币种：人民币）</v>
      </c>
      <c r="B14" s="2778"/>
      <c r="C14" s="2778"/>
      <c r="D14" s="2778"/>
      <c r="E14" s="2778"/>
      <c r="F14" s="2778"/>
      <c r="G14" s="2778"/>
      <c r="H14" s="2778"/>
      <c r="I14" s="2778"/>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5" t="s">
        <v>1297</v>
      </c>
      <c r="B1" s="2785"/>
      <c r="C1" s="2785"/>
      <c r="D1" s="2785"/>
    </row>
    <row r="2" spans="1:4" ht="18">
      <c r="A2" s="2784" t="s">
        <v>1285</v>
      </c>
      <c r="B2" s="2784"/>
      <c r="C2" s="2784"/>
      <c r="D2" s="2784"/>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4" t="s">
        <v>1290</v>
      </c>
      <c r="B7" s="2784"/>
      <c r="C7" s="2784"/>
      <c r="D7" s="2784"/>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6" t="s">
        <v>1299</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6" t="str">
        <f>IF(项目基本情况!D4="抵押","3.抵押双方在办理抵押登记手续时，应使用本公司出具的正式《房地产评估报告》，特提醒报告使用者注意。","——")</f>
        <v>——</v>
      </c>
      <c r="B14" s="2787"/>
      <c r="C14" s="2787"/>
      <c r="D14" s="2787"/>
    </row>
    <row r="15" spans="1:4" ht="15.75" customHeight="1">
      <c r="A15" s="2786" t="str">
        <f>IF(项目基本情况!D4="抵押","4.本次评估估价师所知悉的法定优先受偿款情况说明如下：","——")</f>
        <v>——</v>
      </c>
      <c r="B15" s="2787"/>
      <c r="C15" s="2787"/>
      <c r="D15" s="2787"/>
    </row>
    <row r="16" spans="1:4" ht="75" customHeight="1">
      <c r="A16" s="2786" t="str">
        <f>IF(项目基本情况!D4="抵押",CONCATENATE(项目基本情况!J13,项目基本情况!J14,项目基本情况!J15),"——")</f>
        <v>——</v>
      </c>
      <c r="B16" s="2786"/>
      <c r="C16" s="2786"/>
      <c r="D16" s="2786"/>
    </row>
    <row r="17" spans="1:4" ht="63.75" customHeight="1">
      <c r="A17" s="2788" t="s">
        <v>1300</v>
      </c>
      <c r="B17" s="2788"/>
      <c r="C17" s="2788"/>
      <c r="D17" s="2788"/>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1293</v>
      </c>
      <c r="B20" s="2788"/>
      <c r="C20" s="2788"/>
      <c r="D20" s="2788"/>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4" t="s">
        <v>1379</v>
      </c>
      <c r="B15" s="2789" t="s">
        <v>1380</v>
      </c>
      <c r="C15" s="2790"/>
    </row>
    <row r="16" spans="1:7" ht="14.25">
      <c r="A16" s="2795"/>
      <c r="B16" s="2789" t="s">
        <v>1381</v>
      </c>
      <c r="C16" s="2790"/>
    </row>
    <row r="17" spans="1:3" ht="14.25">
      <c r="A17" s="2795"/>
      <c r="B17" s="2789" t="s">
        <v>1382</v>
      </c>
      <c r="C17" s="2790"/>
    </row>
    <row r="18" spans="1:3" ht="14.25">
      <c r="A18" s="2796"/>
      <c r="B18" s="2791" t="s">
        <v>1383</v>
      </c>
      <c r="C18" s="2790"/>
    </row>
    <row r="19" spans="1:3" ht="14.25">
      <c r="A19" s="1976" t="s">
        <v>1384</v>
      </c>
      <c r="B19" s="1977"/>
      <c r="C19" s="1978"/>
    </row>
    <row r="20" spans="1:3" ht="14.25">
      <c r="A20" s="2792" t="s">
        <v>1385</v>
      </c>
      <c r="B20" s="2791" t="s">
        <v>1386</v>
      </c>
      <c r="C20" s="2790"/>
    </row>
    <row r="21" spans="1:3" ht="14.25">
      <c r="A21" s="2792"/>
      <c r="B21" s="2791" t="s">
        <v>1387</v>
      </c>
      <c r="C21" s="2790"/>
    </row>
    <row r="22" spans="1:3" ht="14.25">
      <c r="A22" s="2792"/>
      <c r="B22" s="2791" t="s">
        <v>1388</v>
      </c>
      <c r="C22" s="2790"/>
    </row>
    <row r="23" spans="1:3" ht="14.25">
      <c r="A23" s="2792"/>
      <c r="B23" s="2793" t="s">
        <v>1389</v>
      </c>
      <c r="C23" s="1979" t="s">
        <v>1390</v>
      </c>
    </row>
    <row r="24" spans="1:3" ht="14.25">
      <c r="A24" s="2792"/>
      <c r="B24" s="2793"/>
      <c r="C24" s="1979" t="s">
        <v>1391</v>
      </c>
    </row>
    <row r="25" spans="1:3" ht="14.25">
      <c r="A25" s="2792"/>
      <c r="B25" s="2793"/>
      <c r="C25" s="1979" t="s">
        <v>1392</v>
      </c>
    </row>
    <row r="26" spans="1:3" ht="14.25">
      <c r="A26" s="2792"/>
      <c r="B26" s="2793"/>
      <c r="C26" s="1979" t="s">
        <v>1393</v>
      </c>
    </row>
    <row r="27" spans="1:3" ht="14.25">
      <c r="A27" s="2792"/>
      <c r="B27" s="2793"/>
      <c r="C27" s="1979" t="s">
        <v>1394</v>
      </c>
    </row>
    <row r="28" spans="1:3" ht="14.25">
      <c r="A28" s="2792"/>
      <c r="B28" s="2793"/>
      <c r="C28" s="1979" t="s">
        <v>1395</v>
      </c>
    </row>
    <row r="29" spans="1:3" ht="14.25">
      <c r="A29" s="2792"/>
      <c r="B29" s="2793"/>
      <c r="C29" s="1979" t="s">
        <v>1396</v>
      </c>
    </row>
    <row r="30" spans="1:3" ht="14.25">
      <c r="A30" s="2792"/>
      <c r="B30" s="2793"/>
      <c r="C30" s="1979" t="s">
        <v>1397</v>
      </c>
    </row>
    <row r="31" spans="1:3" ht="14.25">
      <c r="A31" s="2792"/>
      <c r="B31" s="2793"/>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43264</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2807</v>
      </c>
      <c r="B12" s="1028">
        <v>1120110054</v>
      </c>
      <c r="C12" s="1807">
        <v>43937</v>
      </c>
      <c r="D12" s="1808" t="str">
        <f t="shared" si="0"/>
        <v>白景生（注册号：1120110054）</v>
      </c>
      <c r="E12" s="1806" t="s">
        <v>2807</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7" t="s">
        <v>768</v>
      </c>
      <c r="B25" s="2797"/>
      <c r="C25" s="2797"/>
      <c r="D25" s="2797"/>
      <c r="E25" s="2797"/>
      <c r="F25" s="2797"/>
      <c r="G25" s="2797"/>
      <c r="H25" s="2797"/>
    </row>
    <row r="26" spans="1:8" s="1031" customFormat="1" ht="24" customHeight="1">
      <c r="A26" s="2798" t="s">
        <v>769</v>
      </c>
      <c r="B26" s="2798"/>
      <c r="C26" s="2798"/>
      <c r="D26" s="1059"/>
      <c r="E26" s="1059"/>
      <c r="F26" s="2798" t="s">
        <v>770</v>
      </c>
      <c r="G26" s="2798"/>
      <c r="H26" s="2798"/>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79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799"/>
      <c r="B54" s="9" t="s">
        <v>1535</v>
      </c>
      <c r="C54" s="9" t="s">
        <v>1536</v>
      </c>
    </row>
    <row r="55" spans="1:4">
      <c r="A55" s="2799"/>
      <c r="B55" s="9" t="s">
        <v>1537</v>
      </c>
      <c r="C55" s="9" t="s">
        <v>1538</v>
      </c>
    </row>
    <row r="56" spans="1:4">
      <c r="A56" s="2799"/>
      <c r="B56" s="9" t="s">
        <v>1539</v>
      </c>
      <c r="C56" s="9" t="s">
        <v>1540</v>
      </c>
    </row>
    <row r="57" spans="1:4">
      <c r="A57" s="2799"/>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2018-06-12T02:41:27Z</cp:lastPrinted>
  <dcterms:created xsi:type="dcterms:W3CDTF">2015-07-13T07:17:23Z</dcterms:created>
  <dcterms:modified xsi:type="dcterms:W3CDTF">2018-06-13T08:35:55Z</dcterms:modified>
</cp:coreProperties>
</file>