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kongmingzhi\Desktop\"/>
    </mc:Choice>
  </mc:AlternateContent>
  <xr:revisionPtr revIDLastSave="0" documentId="13_ncr:1_{E9C50670-9017-48A3-9451-55BC9C097BC4}" xr6:coauthVersionLast="46" xr6:coauthVersionMax="46" xr10:uidLastSave="{00000000-0000-0000-0000-000000000000}"/>
  <bookViews>
    <workbookView xWindow="-110" yWindow="-110" windowWidth="19420" windowHeight="1042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state="hidden" r:id="rId17"/>
    <sheet name="假设开发法" sheetId="12" state="hidden" r:id="rId18"/>
    <sheet name="酒店收入计算" sheetId="58" state="hidden" r:id="rId19"/>
    <sheet name="典型户型修正" sheetId="31" state="hidden" r:id="rId20"/>
    <sheet name="比较法-住宅" sheetId="21" r:id="rId21"/>
    <sheet name="比较法案例" sheetId="64"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租案例" sheetId="63" state="hidden" r:id="rId30"/>
    <sheet name="基准地价修正" sheetId="43" r:id="rId31"/>
    <sheet name="成本法" sheetId="11"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6">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63" l="1"/>
  <c r="S6" i="63"/>
  <c r="S7" i="63"/>
  <c r="S4" i="63"/>
  <c r="Q9" i="63" s="1"/>
  <c r="S9" i="63" s="1"/>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E1" i="61" s="1"/>
  <c r="J50" i="15"/>
  <c r="J51" i="15"/>
  <c r="B26" i="1"/>
  <c r="F34" i="11" s="1"/>
  <c r="AH16" i="59"/>
  <c r="AG16" i="59"/>
  <c r="AE16" i="59"/>
  <c r="AF16" i="59" s="1"/>
  <c r="AD16" i="59"/>
  <c r="AH17" i="59"/>
  <c r="AG17" i="59"/>
  <c r="AE17" i="59"/>
  <c r="AF17" i="59" s="1"/>
  <c r="AD17" i="59"/>
  <c r="Q17" i="59"/>
  <c r="F17" i="59" s="1"/>
  <c r="P17" i="59"/>
  <c r="O17" i="59"/>
  <c r="C17" i="59" s="1"/>
  <c r="N17" i="59"/>
  <c r="Q18" i="59"/>
  <c r="P18" i="59"/>
  <c r="O18" i="59"/>
  <c r="N18" i="59"/>
  <c r="D18" i="59"/>
  <c r="E17" i="59"/>
  <c r="A2" i="50"/>
  <c r="B16" i="60" s="1"/>
  <c r="K60" i="15"/>
  <c r="P59" i="15" s="1"/>
  <c r="A127" i="57"/>
  <c r="A123" i="9"/>
  <c r="A6" i="52" s="1"/>
  <c r="B64" i="60" s="1"/>
  <c r="A16" i="54"/>
  <c r="B14" i="60" s="1"/>
  <c r="A14" i="54"/>
  <c r="B12" i="60" s="1"/>
  <c r="A19" i="55"/>
  <c r="B49" i="60" s="1"/>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H32" i="59"/>
  <c r="AG32" i="59"/>
  <c r="AE32" i="59"/>
  <c r="AF32" i="59" s="1"/>
  <c r="AD32" i="59"/>
  <c r="AD33" i="59"/>
  <c r="AE33" i="59"/>
  <c r="AF33" i="59" s="1"/>
  <c r="AG33" i="59"/>
  <c r="AH33"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E12" i="43" s="1"/>
  <c r="AD9" i="43"/>
  <c r="AC9" i="43"/>
  <c r="AB9" i="43"/>
  <c r="AB12" i="43" s="1"/>
  <c r="AA9" i="43"/>
  <c r="AA12" i="43" s="1"/>
  <c r="Z9" i="43"/>
  <c r="AI10" i="43"/>
  <c r="AB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2" i="59"/>
  <c r="F81" i="59"/>
  <c r="F80" i="59" s="1"/>
  <c r="F79" i="59" s="1"/>
  <c r="E81" i="59"/>
  <c r="E80" i="59" s="1"/>
  <c r="E79" i="59" s="1"/>
  <c r="C81" i="59"/>
  <c r="D81" i="59" s="1"/>
  <c r="B81" i="59"/>
  <c r="B80" i="59" s="1"/>
  <c r="B79" i="59" s="1"/>
  <c r="D78" i="59"/>
  <c r="F77" i="59"/>
  <c r="F76" i="59" s="1"/>
  <c r="F75" i="59" s="1"/>
  <c r="E77" i="59"/>
  <c r="E76" i="59" s="1"/>
  <c r="E75" i="59" s="1"/>
  <c r="C77" i="59"/>
  <c r="D77" i="59" s="1"/>
  <c r="B77" i="59"/>
  <c r="B76" i="59" s="1"/>
  <c r="B75" i="59" s="1"/>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V65" i="59" s="1"/>
  <c r="E65" i="59"/>
  <c r="E64" i="59" s="1"/>
  <c r="E63" i="59" s="1"/>
  <c r="C65" i="59"/>
  <c r="C64" i="59" s="1"/>
  <c r="B65" i="59"/>
  <c r="S65" i="59" s="1"/>
  <c r="Q64" i="59"/>
  <c r="P64" i="59"/>
  <c r="O64" i="59"/>
  <c r="N64" i="59"/>
  <c r="Q63" i="59"/>
  <c r="P63" i="59"/>
  <c r="O63" i="59"/>
  <c r="N63" i="59"/>
  <c r="Q62" i="59"/>
  <c r="P62" i="59"/>
  <c r="O62" i="59"/>
  <c r="N62" i="59"/>
  <c r="D62" i="59"/>
  <c r="F61" i="59"/>
  <c r="V61" i="59" s="1"/>
  <c r="E61" i="59"/>
  <c r="U61" i="59" s="1"/>
  <c r="C61" i="59"/>
  <c r="O61" i="59" s="1"/>
  <c r="B61" i="59"/>
  <c r="S61" i="59" s="1"/>
  <c r="F60" i="59"/>
  <c r="F59" i="59" s="1"/>
  <c r="Q59"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D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D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s="1"/>
  <c r="E32" i="59" s="1"/>
  <c r="E33" i="59" s="1"/>
  <c r="U33" i="59" s="1"/>
  <c r="O30" i="59"/>
  <c r="N30" i="59"/>
  <c r="B31" i="59" s="1"/>
  <c r="D30" i="59"/>
  <c r="Q29" i="59"/>
  <c r="P29" i="59"/>
  <c r="O29" i="59"/>
  <c r="N29" i="59"/>
  <c r="Q28" i="59"/>
  <c r="P28" i="59"/>
  <c r="O28" i="59"/>
  <c r="N28" i="59"/>
  <c r="Q27" i="59"/>
  <c r="P27" i="59"/>
  <c r="O27" i="59"/>
  <c r="N27" i="59"/>
  <c r="Q26" i="59"/>
  <c r="P26" i="59"/>
  <c r="E27" i="59" s="1"/>
  <c r="E28" i="59" s="1"/>
  <c r="E29" i="59" s="1"/>
  <c r="U29" i="59" s="1"/>
  <c r="O26" i="59"/>
  <c r="N26" i="59"/>
  <c r="B27" i="59" s="1"/>
  <c r="D26" i="59"/>
  <c r="Q25" i="59"/>
  <c r="P25" i="59"/>
  <c r="O25" i="59"/>
  <c r="N25" i="59"/>
  <c r="Q24" i="59"/>
  <c r="P24" i="59"/>
  <c r="O24" i="59"/>
  <c r="N24" i="59"/>
  <c r="Q23" i="59"/>
  <c r="P23" i="59"/>
  <c r="O23" i="59"/>
  <c r="N23" i="59"/>
  <c r="Q22" i="59"/>
  <c r="P22" i="59"/>
  <c r="E23" i="59" s="1"/>
  <c r="E24" i="59" s="1"/>
  <c r="E25" i="59" s="1"/>
  <c r="U25" i="59" s="1"/>
  <c r="O22" i="59"/>
  <c r="N22" i="59"/>
  <c r="B23" i="59" s="1"/>
  <c r="D22" i="59"/>
  <c r="O21" i="59"/>
  <c r="C21" i="59" s="1"/>
  <c r="N21" i="59"/>
  <c r="B21" i="59"/>
  <c r="P21" i="59"/>
  <c r="E21" i="59" s="1"/>
  <c r="E49" i="59"/>
  <c r="U49" i="59" s="1"/>
  <c r="Q58" i="59"/>
  <c r="Q21" i="59"/>
  <c r="F21" i="59" s="1"/>
  <c r="C72" i="59"/>
  <c r="C71" i="59" s="1"/>
  <c r="D71" i="59" s="1"/>
  <c r="D73"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C21" i="21"/>
  <c r="G20" i="20"/>
  <c r="C25" i="40" s="1"/>
  <c r="C22" i="20"/>
  <c r="B75" i="43" s="1"/>
  <c r="S18" i="36"/>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G99" i="43"/>
  <c r="G108" i="43" s="1"/>
  <c r="F99" i="43"/>
  <c r="F108" i="43" s="1"/>
  <c r="E99" i="43"/>
  <c r="E108" i="43" s="1"/>
  <c r="D99" i="43"/>
  <c r="D108" i="43" s="1"/>
  <c r="C99" i="43"/>
  <c r="C108" i="43" s="1"/>
  <c r="B84" i="43"/>
  <c r="B83" i="43"/>
  <c r="B72" i="43"/>
  <c r="B61" i="43"/>
  <c r="B5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R77" i="31"/>
  <c r="T77" i="31" s="1"/>
  <c r="R78" i="31"/>
  <c r="R79" i="31"/>
  <c r="R80" i="3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T424" i="31" s="1"/>
  <c r="R425" i="31"/>
  <c r="T425" i="31" s="1"/>
  <c r="R426" i="3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R519" i="31"/>
  <c r="T519" i="31" s="1"/>
  <c r="R520" i="31"/>
  <c r="T520" i="31" s="1"/>
  <c r="R521" i="31"/>
  <c r="T521" i="31" s="1"/>
  <c r="R522" i="31"/>
  <c r="R523" i="31"/>
  <c r="T523" i="31" s="1"/>
  <c r="R524" i="31"/>
  <c r="T524" i="31" s="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6" i="31"/>
  <c r="S410" i="31"/>
  <c r="S408" i="31"/>
  <c r="S406" i="31"/>
  <c r="S400" i="31"/>
  <c r="S394" i="31"/>
  <c r="S392" i="31"/>
  <c r="S390" i="31"/>
  <c r="S384" i="31"/>
  <c r="S378" i="31"/>
  <c r="S376" i="31"/>
  <c r="S374" i="31"/>
  <c r="S368" i="31"/>
  <c r="S362" i="31"/>
  <c r="S360" i="31"/>
  <c r="S358" i="31"/>
  <c r="S352" i="31"/>
  <c r="S346" i="31"/>
  <c r="S344" i="31"/>
  <c r="S342" i="31"/>
  <c r="S336" i="31"/>
  <c r="S330" i="31"/>
  <c r="S328" i="31"/>
  <c r="S326" i="31"/>
  <c r="S320" i="31"/>
  <c r="S316" i="31"/>
  <c r="S312" i="31"/>
  <c r="S308" i="31"/>
  <c r="S306" i="31"/>
  <c r="S304" i="31"/>
  <c r="S300" i="31"/>
  <c r="S296" i="31"/>
  <c r="S292" i="31"/>
  <c r="S290" i="31"/>
  <c r="S288" i="31"/>
  <c r="S284" i="31"/>
  <c r="S280" i="31"/>
  <c r="S276" i="31"/>
  <c r="S274" i="31"/>
  <c r="S272" i="31"/>
  <c r="S268" i="31"/>
  <c r="S264" i="31"/>
  <c r="S260" i="31"/>
  <c r="S257" i="31"/>
  <c r="S256" i="31"/>
  <c r="S255" i="31"/>
  <c r="S253" i="31"/>
  <c r="S252" i="31"/>
  <c r="S251" i="31"/>
  <c r="S249" i="31"/>
  <c r="S248" i="31"/>
  <c r="S247" i="31"/>
  <c r="S245" i="31"/>
  <c r="S244" i="31"/>
  <c r="S243" i="31"/>
  <c r="S241" i="31"/>
  <c r="S240" i="31"/>
  <c r="S239" i="31"/>
  <c r="S237" i="31"/>
  <c r="S236" i="31"/>
  <c r="S235" i="31"/>
  <c r="S233" i="31"/>
  <c r="S232" i="31"/>
  <c r="S231" i="31"/>
  <c r="S229" i="31"/>
  <c r="S228" i="31"/>
  <c r="S227" i="31"/>
  <c r="S432" i="31"/>
  <c r="S428" i="31"/>
  <c r="S224" i="31"/>
  <c r="S220" i="31"/>
  <c r="S218" i="31"/>
  <c r="S216" i="31"/>
  <c r="S212" i="31"/>
  <c r="S210" i="31"/>
  <c r="S208" i="31"/>
  <c r="S204" i="31"/>
  <c r="S202" i="31"/>
  <c r="S200" i="31"/>
  <c r="S196" i="31"/>
  <c r="S194" i="31"/>
  <c r="S192" i="31"/>
  <c r="S188" i="31"/>
  <c r="S186" i="31"/>
  <c r="S184" i="31"/>
  <c r="S180" i="31"/>
  <c r="S178" i="31"/>
  <c r="S176" i="31"/>
  <c r="S172" i="31"/>
  <c r="S170" i="31"/>
  <c r="S168" i="31"/>
  <c r="S164" i="31"/>
  <c r="S162" i="31"/>
  <c r="S160" i="31"/>
  <c r="S156" i="31"/>
  <c r="S154" i="31"/>
  <c r="S152" i="31"/>
  <c r="S148" i="31"/>
  <c r="S146" i="31"/>
  <c r="S144" i="31"/>
  <c r="S140" i="31"/>
  <c r="S138" i="31"/>
  <c r="S136" i="31"/>
  <c r="S132" i="31"/>
  <c r="S130" i="31"/>
  <c r="S128" i="31"/>
  <c r="S499" i="31"/>
  <c r="S491" i="31"/>
  <c r="S483" i="31"/>
  <c r="S475" i="31"/>
  <c r="S444" i="31"/>
  <c r="S440" i="31"/>
  <c r="S436" i="31"/>
  <c r="S124" i="31"/>
  <c r="S120" i="31"/>
  <c r="S116" i="31"/>
  <c r="S503" i="31"/>
  <c r="S468" i="31"/>
  <c r="S464" i="31"/>
  <c r="S460" i="31"/>
  <c r="S456" i="31"/>
  <c r="S51" i="31"/>
  <c r="S43" i="31"/>
  <c r="S35" i="31"/>
  <c r="S72" i="31"/>
  <c r="S68" i="31"/>
  <c r="S64" i="31"/>
  <c r="S60" i="31"/>
  <c r="S100" i="31"/>
  <c r="S96" i="31"/>
  <c r="S92" i="31"/>
  <c r="S88" i="31"/>
  <c r="S84" i="31"/>
  <c r="S32" i="31"/>
  <c r="S102" i="31"/>
  <c r="S104" i="31"/>
  <c r="S108" i="31"/>
  <c r="S110" i="31"/>
  <c r="S112" i="31"/>
  <c r="S448" i="31"/>
  <c r="S450" i="31"/>
  <c r="S452"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6" i="39" s="1"/>
  <c r="AC36" i="39" s="1"/>
  <c r="J30" i="36"/>
  <c r="AC30" i="36" s="1"/>
  <c r="H30" i="36"/>
  <c r="F30" i="36"/>
  <c r="AA30" i="36" s="1"/>
  <c r="C79" i="35"/>
  <c r="J26" i="35" s="1"/>
  <c r="W26" i="35" s="1"/>
  <c r="J31" i="35"/>
  <c r="AC31" i="35" s="1"/>
  <c r="H31" i="35"/>
  <c r="F31" i="35"/>
  <c r="D87" i="35"/>
  <c r="E87" i="35" s="1"/>
  <c r="F87" i="35" s="1"/>
  <c r="G87" i="35" s="1"/>
  <c r="H87" i="35" s="1"/>
  <c r="I87" i="35" s="1"/>
  <c r="J87" i="35" s="1"/>
  <c r="K87" i="35" s="1"/>
  <c r="L87" i="35" s="1"/>
  <c r="M87" i="35" s="1"/>
  <c r="H29" i="35"/>
  <c r="H34" i="37"/>
  <c r="D101" i="37"/>
  <c r="F34" i="37"/>
  <c r="AA34" i="37" s="1"/>
  <c r="D99" i="37"/>
  <c r="E99" i="37" s="1"/>
  <c r="F99" i="37" s="1"/>
  <c r="G99" i="37" s="1"/>
  <c r="H99" i="37" s="1"/>
  <c r="I99" i="37" s="1"/>
  <c r="J99" i="37" s="1"/>
  <c r="K99" i="37" s="1"/>
  <c r="L99" i="37" s="1"/>
  <c r="M99" i="37" s="1"/>
  <c r="H42" i="34"/>
  <c r="J42" i="34"/>
  <c r="F42" i="34"/>
  <c r="S42" i="34" s="1"/>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9" i="31"/>
  <c r="S520" i="31"/>
  <c r="S521" i="31"/>
  <c r="S523" i="31"/>
  <c r="S524" i="31"/>
  <c r="S525" i="31"/>
  <c r="S527" i="31"/>
  <c r="F41" i="21"/>
  <c r="S41" i="21" s="1"/>
  <c r="J41" i="2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AC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H27" i="40" s="1"/>
  <c r="U27" i="40" s="1"/>
  <c r="D92" i="40"/>
  <c r="E92" i="40" s="1"/>
  <c r="F92" i="40" s="1"/>
  <c r="G92" i="40" s="1"/>
  <c r="D90" i="40"/>
  <c r="E90" i="40" s="1"/>
  <c r="D88" i="40"/>
  <c r="E88" i="40" s="1"/>
  <c r="F88" i="40" s="1"/>
  <c r="G88" i="40" s="1"/>
  <c r="D86" i="40"/>
  <c r="E86" i="40" s="1"/>
  <c r="D84" i="40"/>
  <c r="E84" i="40" s="1"/>
  <c r="F84" i="40" s="1"/>
  <c r="G84" i="40" s="1"/>
  <c r="B81" i="40"/>
  <c r="J14" i="40" s="1"/>
  <c r="W14" i="40" s="1"/>
  <c r="B79" i="40"/>
  <c r="B77" i="40"/>
  <c r="H12" i="40" s="1"/>
  <c r="M74" i="40"/>
  <c r="L74" i="40"/>
  <c r="K74" i="40"/>
  <c r="J74" i="40"/>
  <c r="I74" i="40"/>
  <c r="H74" i="40"/>
  <c r="G74" i="40"/>
  <c r="F74" i="40"/>
  <c r="E74" i="40"/>
  <c r="D74" i="40"/>
  <c r="C74" i="40"/>
  <c r="P43" i="40"/>
  <c r="P42" i="40"/>
  <c r="V41" i="40"/>
  <c r="T41" i="40"/>
  <c r="R41" i="40"/>
  <c r="P41" i="40"/>
  <c r="Q40" i="40"/>
  <c r="Z40" i="40" s="1"/>
  <c r="Q39" i="40"/>
  <c r="Z39" i="40"/>
  <c r="Q38" i="40"/>
  <c r="Z38" i="40" s="1"/>
  <c r="Q37" i="40"/>
  <c r="Z37" i="40"/>
  <c r="Q36" i="40"/>
  <c r="Z36" i="40" s="1"/>
  <c r="Q35" i="40"/>
  <c r="Z35" i="40" s="1"/>
  <c r="Q34" i="40"/>
  <c r="Z34" i="40" s="1"/>
  <c r="J34" i="40"/>
  <c r="W34" i="40" s="1"/>
  <c r="AC34" i="40"/>
  <c r="H34" i="40"/>
  <c r="F34" i="40"/>
  <c r="AA34" i="40"/>
  <c r="Q33" i="40"/>
  <c r="Z33" i="40" s="1"/>
  <c r="Q32" i="40"/>
  <c r="Z32" i="40"/>
  <c r="Q31" i="40"/>
  <c r="Z31" i="40" s="1"/>
  <c r="Q30" i="40"/>
  <c r="Z30" i="40" s="1"/>
  <c r="Q28" i="40"/>
  <c r="Z28" i="40" s="1"/>
  <c r="Q27" i="40"/>
  <c r="Z27" i="40"/>
  <c r="Q23" i="40"/>
  <c r="Z23" i="40" s="1"/>
  <c r="Q21" i="40"/>
  <c r="Z21" i="40"/>
  <c r="Q19" i="40"/>
  <c r="Z19" i="40" s="1"/>
  <c r="Q17" i="40"/>
  <c r="Z17" i="40"/>
  <c r="Q15" i="40"/>
  <c r="Z15" i="40" s="1"/>
  <c r="Q14" i="40"/>
  <c r="Z14" i="40" s="1"/>
  <c r="Q13" i="40"/>
  <c r="Z13" i="40" s="1"/>
  <c r="Q12" i="40"/>
  <c r="Z12" i="40"/>
  <c r="Q11" i="40"/>
  <c r="Z11" i="40" s="1"/>
  <c r="Q10" i="40"/>
  <c r="Z10" i="40"/>
  <c r="Q9" i="40"/>
  <c r="Z9" i="40" s="1"/>
  <c r="J9" i="40"/>
  <c r="W9" i="40"/>
  <c r="H9" i="40"/>
  <c r="F9" i="40"/>
  <c r="AA9" i="40" s="1"/>
  <c r="J8" i="40"/>
  <c r="H8" i="40"/>
  <c r="AB8" i="40" s="1"/>
  <c r="F8" i="40"/>
  <c r="AA8"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c r="F99" i="39" s="1"/>
  <c r="G99" i="39" s="1"/>
  <c r="Q39" i="39"/>
  <c r="Z39" i="39" s="1"/>
  <c r="Q40" i="39"/>
  <c r="Z40" i="39"/>
  <c r="Q41" i="39"/>
  <c r="Z41" i="39" s="1"/>
  <c r="Q42" i="39"/>
  <c r="Z42" i="39"/>
  <c r="Q43" i="39"/>
  <c r="Z43" i="39" s="1"/>
  <c r="Q44" i="39"/>
  <c r="Z44" i="39"/>
  <c r="Q45" i="39"/>
  <c r="Z45" i="39" s="1"/>
  <c r="Q38" i="39"/>
  <c r="Z38" i="39"/>
  <c r="Q36" i="39"/>
  <c r="Z36" i="39" s="1"/>
  <c r="Q37" i="39"/>
  <c r="Z37" i="39"/>
  <c r="M116" i="39"/>
  <c r="L116" i="39"/>
  <c r="K116" i="39"/>
  <c r="J116" i="39"/>
  <c r="I116" i="39"/>
  <c r="H116" i="39"/>
  <c r="G116" i="39"/>
  <c r="F116" i="39"/>
  <c r="E116" i="39"/>
  <c r="D116" i="39"/>
  <c r="C116" i="39"/>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B84" i="39"/>
  <c r="H13" i="39" s="1"/>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S9" i="39" s="1"/>
  <c r="J8" i="39"/>
  <c r="AC8" i="39" s="1"/>
  <c r="H8" i="39"/>
  <c r="F8" i="39"/>
  <c r="AA8" i="39" s="1"/>
  <c r="C20" i="36"/>
  <c r="C20" i="35"/>
  <c r="C16" i="36"/>
  <c r="C16" i="35"/>
  <c r="C14" i="36"/>
  <c r="C14" i="35"/>
  <c r="B80" i="37"/>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AC17" i="37" s="1"/>
  <c r="D71" i="37"/>
  <c r="E71" i="37" s="1"/>
  <c r="F71" i="37" s="1"/>
  <c r="G71" i="37" s="1"/>
  <c r="B68" i="37"/>
  <c r="B66" i="37"/>
  <c r="B64" i="37"/>
  <c r="D63" i="37"/>
  <c r="E63" i="37" s="1"/>
  <c r="F63" i="37" s="1"/>
  <c r="G63" i="37" s="1"/>
  <c r="H63" i="37" s="1"/>
  <c r="I63" i="37" s="1"/>
  <c r="J63" i="37" s="1"/>
  <c r="K63" i="37" s="1"/>
  <c r="L63" i="37" s="1"/>
  <c r="M63" i="37" s="1"/>
  <c r="H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B91" i="36"/>
  <c r="F32" i="36" s="1"/>
  <c r="AA32" i="36" s="1"/>
  <c r="B95" i="36"/>
  <c r="J34" i="36" s="1"/>
  <c r="D83" i="36"/>
  <c r="E83" i="36"/>
  <c r="D78" i="36"/>
  <c r="E78" i="36" s="1"/>
  <c r="F78" i="36" s="1"/>
  <c r="G78" i="36" s="1"/>
  <c r="H78" i="36" s="1"/>
  <c r="I78" i="36" s="1"/>
  <c r="J78" i="36" s="1"/>
  <c r="K78" i="36" s="1"/>
  <c r="L78" i="36" s="1"/>
  <c r="M78" i="36" s="1"/>
  <c r="B75" i="36"/>
  <c r="H25" i="36" s="1"/>
  <c r="B73" i="36"/>
  <c r="B71" i="36"/>
  <c r="D70" i="36"/>
  <c r="H22" i="36"/>
  <c r="AB22" i="36" s="1"/>
  <c r="D68" i="36"/>
  <c r="E68" i="36" s="1"/>
  <c r="F68" i="36" s="1"/>
  <c r="G68" i="36" s="1"/>
  <c r="D64" i="36"/>
  <c r="E64" i="36"/>
  <c r="F64" i="36" s="1"/>
  <c r="G64" i="36" s="1"/>
  <c r="J16" i="36"/>
  <c r="W16" i="36" s="1"/>
  <c r="D62" i="36"/>
  <c r="E62" i="36"/>
  <c r="F62" i="36" s="1"/>
  <c r="G62" i="36" s="1"/>
  <c r="H14" i="36"/>
  <c r="B59" i="36"/>
  <c r="J13" i="36" s="1"/>
  <c r="W13" i="36" s="1"/>
  <c r="B57" i="36"/>
  <c r="B55" i="36"/>
  <c r="J11" i="36" s="1"/>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B101" i="35"/>
  <c r="H36" i="35" s="1"/>
  <c r="AB36" i="35" s="1"/>
  <c r="B99" i="35"/>
  <c r="B97" i="35"/>
  <c r="J34" i="35" s="1"/>
  <c r="B77" i="35"/>
  <c r="F25" i="35" s="1"/>
  <c r="S25" i="35" s="1"/>
  <c r="B75" i="35"/>
  <c r="B73" i="35"/>
  <c r="B57" i="35"/>
  <c r="H11" i="35" s="1"/>
  <c r="B61" i="35"/>
  <c r="F13" i="35" s="1"/>
  <c r="B59" i="35"/>
  <c r="J12" i="35" s="1"/>
  <c r="B131" i="34"/>
  <c r="F47" i="34" s="1"/>
  <c r="B129" i="34"/>
  <c r="J46" i="34" s="1"/>
  <c r="B127" i="34"/>
  <c r="F45" i="34" s="1"/>
  <c r="B99" i="34"/>
  <c r="B97" i="34"/>
  <c r="H31" i="34" s="1"/>
  <c r="B95" i="34"/>
  <c r="B93" i="34"/>
  <c r="H29" i="34" s="1"/>
  <c r="U29" i="34" s="1"/>
  <c r="B75" i="34"/>
  <c r="B73" i="34"/>
  <c r="J13" i="34" s="1"/>
  <c r="W13" i="34" s="1"/>
  <c r="B71" i="34"/>
  <c r="B130" i="33"/>
  <c r="B128" i="33"/>
  <c r="F45" i="33" s="1"/>
  <c r="S45" i="33" s="1"/>
  <c r="B126" i="33"/>
  <c r="J44" i="33" s="1"/>
  <c r="AC44" i="33" s="1"/>
  <c r="B98" i="33"/>
  <c r="B96" i="33"/>
  <c r="B94" i="33"/>
  <c r="J29" i="33" s="1"/>
  <c r="AC29" i="33" s="1"/>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s="1"/>
  <c r="G64" i="35" s="1"/>
  <c r="J14" i="35"/>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Q30" i="35"/>
  <c r="Z30" i="35" s="1"/>
  <c r="Q29" i="35"/>
  <c r="Z29" i="35" s="1"/>
  <c r="Q28" i="35"/>
  <c r="Z28" i="35" s="1"/>
  <c r="J28" i="35"/>
  <c r="AC28" i="35" s="1"/>
  <c r="H28" i="35"/>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F26" i="33" s="1"/>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H40" i="33"/>
  <c r="AB40" i="33" s="1"/>
  <c r="Q39" i="33"/>
  <c r="Z39" i="33" s="1"/>
  <c r="Q38" i="33"/>
  <c r="Z38" i="33" s="1"/>
  <c r="J38" i="33"/>
  <c r="H38" i="33"/>
  <c r="AB38" i="33" s="1"/>
  <c r="F38" i="33"/>
  <c r="S38" i="33" s="1"/>
  <c r="Q37" i="33"/>
  <c r="Z37" i="33" s="1"/>
  <c r="Q36" i="33"/>
  <c r="Z36" i="33" s="1"/>
  <c r="Q35" i="33"/>
  <c r="Z35" i="33" s="1"/>
  <c r="H35" i="33"/>
  <c r="F35" i="33"/>
  <c r="Q34" i="33"/>
  <c r="Z34" i="33" s="1"/>
  <c r="H34" i="33"/>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Q11" i="33"/>
  <c r="Z11" i="33" s="1"/>
  <c r="Q10" i="33"/>
  <c r="Z10" i="33" s="1"/>
  <c r="F10" i="33"/>
  <c r="Q9" i="33"/>
  <c r="Z9" i="33" s="1"/>
  <c r="J8" i="33"/>
  <c r="AC8" i="33" s="1"/>
  <c r="H8" i="33"/>
  <c r="F8" i="33"/>
  <c r="AA8" i="33" s="1"/>
  <c r="M102" i="21"/>
  <c r="D102" i="21"/>
  <c r="E102" i="21"/>
  <c r="F102" i="21"/>
  <c r="G102" i="21"/>
  <c r="H102" i="21"/>
  <c r="I102" i="21"/>
  <c r="J102" i="21"/>
  <c r="K102" i="21"/>
  <c r="L102" i="21"/>
  <c r="C102" i="21"/>
  <c r="C63" i="21"/>
  <c r="G18" i="20"/>
  <c r="B88" i="43" s="1"/>
  <c r="G19" i="20"/>
  <c r="B41" i="47" s="1"/>
  <c r="G16" i="20"/>
  <c r="B82" i="43" s="1"/>
  <c r="G15" i="20"/>
  <c r="C24" i="20"/>
  <c r="B73" i="43" s="1"/>
  <c r="C21" i="20"/>
  <c r="C27" i="39" s="1"/>
  <c r="C20" i="20"/>
  <c r="C18" i="20"/>
  <c r="C17" i="20"/>
  <c r="B59" i="43" s="1"/>
  <c r="C16" i="20"/>
  <c r="B48" i="43" s="1"/>
  <c r="C15" i="20"/>
  <c r="B70" i="43" s="1"/>
  <c r="E54" i="21"/>
  <c r="F54" i="21" s="1"/>
  <c r="I54" i="21"/>
  <c r="J54" i="21" s="1"/>
  <c r="G54" i="21"/>
  <c r="H54" i="21" s="1"/>
  <c r="D125" i="21"/>
  <c r="E125" i="21" s="1"/>
  <c r="D123" i="21"/>
  <c r="D119" i="21"/>
  <c r="D117" i="21"/>
  <c r="D115" i="21"/>
  <c r="J38" i="21" s="1"/>
  <c r="W38"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D85" i="21"/>
  <c r="E85" i="21" s="1"/>
  <c r="F85" i="21" s="1"/>
  <c r="G85" i="21" s="1"/>
  <c r="D81" i="21"/>
  <c r="E81" i="21" s="1"/>
  <c r="F81" i="21" s="1"/>
  <c r="G81" i="21" s="1"/>
  <c r="D77" i="21"/>
  <c r="E77" i="21" s="1"/>
  <c r="F77" i="21" s="1"/>
  <c r="G77" i="21" s="1"/>
  <c r="H15" i="21"/>
  <c r="AB15" i="21" s="1"/>
  <c r="B130" i="21"/>
  <c r="B128" i="21"/>
  <c r="B126" i="21"/>
  <c r="B98" i="21"/>
  <c r="F31" i="21" s="1"/>
  <c r="AA31" i="21" s="1"/>
  <c r="B96" i="21"/>
  <c r="B94" i="21"/>
  <c r="F29" i="21" s="1"/>
  <c r="B92" i="21"/>
  <c r="B90" i="21"/>
  <c r="F27" i="21" s="1"/>
  <c r="AA27" i="21" s="1"/>
  <c r="B74" i="21"/>
  <c r="B72" i="21"/>
  <c r="J13" i="21" s="1"/>
  <c r="W13" i="21" s="1"/>
  <c r="B70" i="21"/>
  <c r="J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J39" i="2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36" i="21"/>
  <c r="S36" i="21" s="1"/>
  <c r="H35" i="21"/>
  <c r="AB35" i="21" s="1"/>
  <c r="J8" i="21"/>
  <c r="AC8" i="21" s="1"/>
  <c r="H8" i="21"/>
  <c r="H36" i="21"/>
  <c r="U36" i="21" s="1"/>
  <c r="F35" i="21"/>
  <c r="J33" i="21"/>
  <c r="W33" i="21" s="1"/>
  <c r="H33" i="21"/>
  <c r="AB33" i="21" s="1"/>
  <c r="F33" i="21"/>
  <c r="AA33" i="21" s="1"/>
  <c r="F19" i="21"/>
  <c r="AA19" i="21" s="1"/>
  <c r="H19" i="21"/>
  <c r="AB19" i="21" s="1"/>
  <c r="J19" i="21"/>
  <c r="W19" i="21" s="1"/>
  <c r="S8" i="39"/>
  <c r="H32" i="37"/>
  <c r="AB32" i="37" s="1"/>
  <c r="U8" i="37"/>
  <c r="F39" i="37"/>
  <c r="F29" i="36"/>
  <c r="AA29" i="36" s="1"/>
  <c r="F16" i="36"/>
  <c r="S16" i="36" s="1"/>
  <c r="U22" i="36"/>
  <c r="W22" i="36"/>
  <c r="AA31" i="36"/>
  <c r="J33" i="36"/>
  <c r="W33" i="36" s="1"/>
  <c r="H22" i="35"/>
  <c r="F36" i="34"/>
  <c r="AA36" i="34" s="1"/>
  <c r="H39" i="33"/>
  <c r="AB39" i="33" s="1"/>
  <c r="H39" i="37"/>
  <c r="AB39" i="37" s="1"/>
  <c r="F11" i="40"/>
  <c r="H11" i="40"/>
  <c r="S34" i="40"/>
  <c r="F42" i="39"/>
  <c r="F41" i="39"/>
  <c r="AA41" i="39" s="1"/>
  <c r="H40" i="39"/>
  <c r="AB40" i="39" s="1"/>
  <c r="H39" i="39"/>
  <c r="H34" i="39"/>
  <c r="AB34" i="39" s="1"/>
  <c r="H31" i="39"/>
  <c r="AB31" i="39" s="1"/>
  <c r="H19" i="39"/>
  <c r="AB19" i="39" s="1"/>
  <c r="F19" i="39"/>
  <c r="S19" i="39" s="1"/>
  <c r="H17" i="39"/>
  <c r="F17" i="39"/>
  <c r="AA17" i="39" s="1"/>
  <c r="J23" i="40"/>
  <c r="AC23" i="40" s="1"/>
  <c r="H42" i="39"/>
  <c r="AB42" i="39" s="1"/>
  <c r="J34" i="39"/>
  <c r="AC34" i="39" s="1"/>
  <c r="H29" i="39"/>
  <c r="J19" i="39"/>
  <c r="J17" i="39"/>
  <c r="J29" i="39"/>
  <c r="AC29" i="39" s="1"/>
  <c r="F29" i="39"/>
  <c r="AA29" i="39" s="1"/>
  <c r="H11" i="39"/>
  <c r="AB11" i="39" s="1"/>
  <c r="H36" i="40"/>
  <c r="U36" i="40" s="1"/>
  <c r="F35" i="40"/>
  <c r="J30" i="40"/>
  <c r="W30" i="40" s="1"/>
  <c r="F30" i="40"/>
  <c r="H23" i="40"/>
  <c r="AB23" i="40" s="1"/>
  <c r="J11" i="40"/>
  <c r="W11" i="40" s="1"/>
  <c r="F22" i="35"/>
  <c r="AA22" i="35"/>
  <c r="H10" i="35"/>
  <c r="F33" i="36"/>
  <c r="S33" i="36" s="1"/>
  <c r="E85" i="36"/>
  <c r="F85" i="36" s="1"/>
  <c r="G85" i="36" s="1"/>
  <c r="H85" i="36" s="1"/>
  <c r="I85" i="36" s="1"/>
  <c r="J85" i="36" s="1"/>
  <c r="K85" i="36" s="1"/>
  <c r="L85" i="36" s="1"/>
  <c r="M85" i="36" s="1"/>
  <c r="J29" i="36"/>
  <c r="F12" i="36"/>
  <c r="AA12" i="36" s="1"/>
  <c r="H20" i="36"/>
  <c r="AB20" i="36" s="1"/>
  <c r="J20" i="36"/>
  <c r="W20" i="36" s="1"/>
  <c r="F14" i="35"/>
  <c r="S14" i="35" s="1"/>
  <c r="J32" i="35"/>
  <c r="J16" i="35"/>
  <c r="W16" i="35" s="1"/>
  <c r="H14" i="35"/>
  <c r="AB14" i="35" s="1"/>
  <c r="H33" i="35"/>
  <c r="AB33" i="35" s="1"/>
  <c r="J20" i="35"/>
  <c r="W20" i="35" s="1"/>
  <c r="H20" i="35"/>
  <c r="F20" i="35"/>
  <c r="E101" i="37"/>
  <c r="F101" i="37" s="1"/>
  <c r="G101" i="37" s="1"/>
  <c r="H101" i="37" s="1"/>
  <c r="I101" i="37" s="1"/>
  <c r="J101" i="37" s="1"/>
  <c r="K101" i="37" s="1"/>
  <c r="L101" i="37" s="1"/>
  <c r="M101" i="37" s="1"/>
  <c r="J34" i="37"/>
  <c r="W34" i="37" s="1"/>
  <c r="J43" i="34"/>
  <c r="AC43" i="34" s="1"/>
  <c r="H43" i="34"/>
  <c r="H40" i="34"/>
  <c r="U40" i="34" s="1"/>
  <c r="E114" i="34"/>
  <c r="F114" i="34" s="1"/>
  <c r="G114" i="34" s="1"/>
  <c r="H114" i="34" s="1"/>
  <c r="I114" i="34" s="1"/>
  <c r="J114" i="34" s="1"/>
  <c r="K114" i="34" s="1"/>
  <c r="L114" i="34" s="1"/>
  <c r="M114" i="34" s="1"/>
  <c r="F38" i="34"/>
  <c r="AA38" i="34" s="1"/>
  <c r="J19" i="34"/>
  <c r="J15" i="34"/>
  <c r="AC15" i="34" s="1"/>
  <c r="H15" i="34"/>
  <c r="J10" i="34"/>
  <c r="W10" i="34" s="1"/>
  <c r="H10" i="34"/>
  <c r="AB10" i="34" s="1"/>
  <c r="F41" i="33"/>
  <c r="S41" i="33" s="1"/>
  <c r="J34" i="33"/>
  <c r="F36" i="33"/>
  <c r="S36" i="33" s="1"/>
  <c r="F25" i="33"/>
  <c r="J25" i="33"/>
  <c r="AC25" i="33" s="1"/>
  <c r="H25" i="33"/>
  <c r="AB25" i="33" s="1"/>
  <c r="J23" i="33"/>
  <c r="F23" i="33"/>
  <c r="AA23" i="33" s="1"/>
  <c r="H23" i="33"/>
  <c r="F19" i="33"/>
  <c r="J19" i="33"/>
  <c r="W19" i="33" s="1"/>
  <c r="J17" i="33"/>
  <c r="H17" i="33"/>
  <c r="J15" i="33"/>
  <c r="AC15" i="33" s="1"/>
  <c r="F11" i="33"/>
  <c r="H10" i="33"/>
  <c r="F37" i="40"/>
  <c r="AA37" i="40" s="1"/>
  <c r="F36" i="40"/>
  <c r="AA36" i="40" s="1"/>
  <c r="F23" i="40"/>
  <c r="AA23" i="40" s="1"/>
  <c r="F29" i="35"/>
  <c r="S29" i="35" s="1"/>
  <c r="H38" i="34"/>
  <c r="AB38" i="34" s="1"/>
  <c r="H37" i="33"/>
  <c r="AB37" i="33" s="1"/>
  <c r="AA37" i="33"/>
  <c r="H36" i="33"/>
  <c r="U36" i="33" s="1"/>
  <c r="F17" i="33"/>
  <c r="AA17" i="33" s="1"/>
  <c r="H15" i="33"/>
  <c r="AC42" i="34"/>
  <c r="W42" i="34"/>
  <c r="J37" i="33"/>
  <c r="AC37" i="33" s="1"/>
  <c r="J36" i="33"/>
  <c r="AC36" i="33" s="1"/>
  <c r="J11" i="33"/>
  <c r="AC11" i="33" s="1"/>
  <c r="H42" i="21"/>
  <c r="AB42" i="21" s="1"/>
  <c r="J10" i="35"/>
  <c r="AC10" i="35" s="1"/>
  <c r="E119" i="21"/>
  <c r="F119" i="21" s="1"/>
  <c r="G119" i="21" s="1"/>
  <c r="H119" i="21" s="1"/>
  <c r="I119" i="21" s="1"/>
  <c r="J119" i="21" s="1"/>
  <c r="K119" i="21" s="1"/>
  <c r="L119" i="21" s="1"/>
  <c r="M119" i="21" s="1"/>
  <c r="F33" i="35"/>
  <c r="S33" i="35" s="1"/>
  <c r="J33" i="35"/>
  <c r="AC33" i="35" s="1"/>
  <c r="F30" i="35"/>
  <c r="S30" i="35" s="1"/>
  <c r="H10" i="36"/>
  <c r="AB10" i="36" s="1"/>
  <c r="F83" i="36"/>
  <c r="G83" i="36" s="1"/>
  <c r="H83" i="36" s="1"/>
  <c r="I83" i="36" s="1"/>
  <c r="J83" i="36" s="1"/>
  <c r="K83" i="36" s="1"/>
  <c r="L83" i="36" s="1"/>
  <c r="M83" i="36" s="1"/>
  <c r="F28" i="36"/>
  <c r="AA28" i="36" s="1"/>
  <c r="J13" i="33"/>
  <c r="H29" i="33"/>
  <c r="U29" i="33" s="1"/>
  <c r="F29" i="33"/>
  <c r="S29" i="33" s="1"/>
  <c r="F31" i="33"/>
  <c r="H45" i="33"/>
  <c r="J45" i="33"/>
  <c r="W45" i="33" s="1"/>
  <c r="J14" i="34"/>
  <c r="F14" i="34"/>
  <c r="H14" i="34"/>
  <c r="U14" i="34" s="1"/>
  <c r="J30" i="34"/>
  <c r="W30" i="34" s="1"/>
  <c r="H32" i="34"/>
  <c r="F32" i="34"/>
  <c r="S32" i="34" s="1"/>
  <c r="J32" i="34"/>
  <c r="W32" i="34" s="1"/>
  <c r="H46" i="34"/>
  <c r="U46" i="34" s="1"/>
  <c r="F46" i="34"/>
  <c r="S46" i="34" s="1"/>
  <c r="J11" i="35"/>
  <c r="AC11" i="35" s="1"/>
  <c r="F11" i="35"/>
  <c r="J26" i="36"/>
  <c r="W26" i="36" s="1"/>
  <c r="H28" i="36"/>
  <c r="U28" i="36" s="1"/>
  <c r="J32" i="36"/>
  <c r="H11" i="36"/>
  <c r="H13" i="36"/>
  <c r="AB13" i="36" s="1"/>
  <c r="F13" i="36"/>
  <c r="S13" i="36" s="1"/>
  <c r="H36" i="37"/>
  <c r="AB36" i="37" s="1"/>
  <c r="H37" i="37"/>
  <c r="U37" i="37" s="1"/>
  <c r="F14" i="33"/>
  <c r="AA14" i="33" s="1"/>
  <c r="H46" i="33"/>
  <c r="AB46" i="33" s="1"/>
  <c r="J25" i="36"/>
  <c r="F28" i="37"/>
  <c r="AA28" i="37" s="1"/>
  <c r="J28" i="37"/>
  <c r="AC28" i="37" s="1"/>
  <c r="H28" i="37"/>
  <c r="U28" i="37" s="1"/>
  <c r="J14" i="39"/>
  <c r="H30" i="40"/>
  <c r="J35" i="40"/>
  <c r="AC35" i="40"/>
  <c r="J10" i="36"/>
  <c r="W29" i="33"/>
  <c r="J41" i="39"/>
  <c r="S508" i="31"/>
  <c r="S506" i="31"/>
  <c r="S504" i="31"/>
  <c r="O30" i="31"/>
  <c r="O31" i="31"/>
  <c r="O29" i="31"/>
  <c r="M30" i="31"/>
  <c r="M31" i="31"/>
  <c r="M29" i="31"/>
  <c r="I29" i="31"/>
  <c r="I28" i="31"/>
  <c r="Q29" i="31"/>
  <c r="K29" i="31"/>
  <c r="Q30" i="31"/>
  <c r="K30" i="31"/>
  <c r="I31" i="31"/>
  <c r="Q31" i="31"/>
  <c r="K31" i="31"/>
  <c r="H25" i="21"/>
  <c r="U25" i="21" s="1"/>
  <c r="F25" i="21"/>
  <c r="S25" i="21" s="1"/>
  <c r="J25" i="21"/>
  <c r="AC25" i="21" s="1"/>
  <c r="H17" i="37"/>
  <c r="U17" i="37" s="1"/>
  <c r="F23" i="37"/>
  <c r="F32" i="37"/>
  <c r="S32" i="37" s="1"/>
  <c r="F39" i="33"/>
  <c r="AA39" i="33" s="1"/>
  <c r="F42" i="33"/>
  <c r="F14" i="36"/>
  <c r="F22" i="36"/>
  <c r="F26" i="36"/>
  <c r="AA26" i="36" s="1"/>
  <c r="H27" i="34"/>
  <c r="U27" i="34" s="1"/>
  <c r="H35" i="34"/>
  <c r="F41" i="34"/>
  <c r="S41" i="34" s="1"/>
  <c r="H41" i="34"/>
  <c r="U41" i="34" s="1"/>
  <c r="J41" i="34"/>
  <c r="AC41" i="34" s="1"/>
  <c r="F10" i="35"/>
  <c r="H23" i="37"/>
  <c r="J32" i="37"/>
  <c r="AC32" i="37" s="1"/>
  <c r="F36" i="37"/>
  <c r="AA36" i="37" s="1"/>
  <c r="F37" i="37"/>
  <c r="H32" i="40"/>
  <c r="J36" i="40"/>
  <c r="W36" i="40" s="1"/>
  <c r="H42" i="33"/>
  <c r="U42" i="33" s="1"/>
  <c r="J23" i="37"/>
  <c r="W23" i="37" s="1"/>
  <c r="S30" i="31"/>
  <c r="AC33" i="21"/>
  <c r="H37" i="21"/>
  <c r="J37" i="21"/>
  <c r="W37" i="21" s="1"/>
  <c r="H19" i="34"/>
  <c r="F36" i="35"/>
  <c r="AA36" i="35" s="1"/>
  <c r="F9" i="37"/>
  <c r="AA9" i="37" s="1"/>
  <c r="F11" i="37"/>
  <c r="S11" i="37" s="1"/>
  <c r="J42" i="39"/>
  <c r="AC42" i="39" s="1"/>
  <c r="C12" i="43"/>
  <c r="D15" i="47"/>
  <c r="D19" i="47"/>
  <c r="D21" i="47"/>
  <c r="D23" i="47"/>
  <c r="D33" i="47"/>
  <c r="D37" i="47"/>
  <c r="D39" i="47"/>
  <c r="D41" i="47"/>
  <c r="D43" i="47"/>
  <c r="D16" i="47"/>
  <c r="D18" i="47"/>
  <c r="D20" i="47"/>
  <c r="D22" i="47"/>
  <c r="D26" i="47"/>
  <c r="D28" i="47"/>
  <c r="D30" i="47"/>
  <c r="D32" i="47"/>
  <c r="D34" i="47"/>
  <c r="D38" i="47"/>
  <c r="D40" i="47"/>
  <c r="D42" i="47"/>
  <c r="D44" i="47"/>
  <c r="D9" i="47"/>
  <c r="D8" i="47"/>
  <c r="D6" i="47"/>
  <c r="H19" i="40"/>
  <c r="F19" i="40"/>
  <c r="S19" i="40" s="1"/>
  <c r="H25" i="39"/>
  <c r="U25" i="39" s="1"/>
  <c r="J25" i="39"/>
  <c r="W25" i="39" s="1"/>
  <c r="F25" i="39"/>
  <c r="S25" i="39" s="1"/>
  <c r="F15" i="39"/>
  <c r="S15" i="39" s="1"/>
  <c r="H15" i="39"/>
  <c r="U15" i="39" s="1"/>
  <c r="J15" i="39"/>
  <c r="W15" i="39" s="1"/>
  <c r="H41" i="39"/>
  <c r="F11" i="39"/>
  <c r="AA11" i="39" s="1"/>
  <c r="H21" i="39"/>
  <c r="U21" i="39" s="1"/>
  <c r="F32" i="39"/>
  <c r="S32" i="39" s="1"/>
  <c r="W29" i="39"/>
  <c r="W39" i="39"/>
  <c r="W8" i="39"/>
  <c r="W21" i="39"/>
  <c r="J11" i="39"/>
  <c r="W11" i="39" s="1"/>
  <c r="J32" i="39"/>
  <c r="W32" i="39" s="1"/>
  <c r="E66" i="39"/>
  <c r="E61" i="40"/>
  <c r="F34" i="43"/>
  <c r="H55" i="39"/>
  <c r="G60" i="40"/>
  <c r="C60" i="40" s="1"/>
  <c r="H16" i="44"/>
  <c r="D17" i="43"/>
  <c r="I17" i="43"/>
  <c r="D108" i="9"/>
  <c r="F22" i="43"/>
  <c r="G22" i="43"/>
  <c r="H14" i="44"/>
  <c r="W40" i="39"/>
  <c r="AC10" i="34"/>
  <c r="H23" i="34"/>
  <c r="AB23" i="34" s="1"/>
  <c r="F33" i="34"/>
  <c r="S33" i="34" s="1"/>
  <c r="H36" i="34"/>
  <c r="AB36" i="34" s="1"/>
  <c r="F35" i="34"/>
  <c r="J35" i="34"/>
  <c r="AC35" i="34" s="1"/>
  <c r="F27" i="34"/>
  <c r="S27" i="34" s="1"/>
  <c r="W34" i="34"/>
  <c r="J33" i="34"/>
  <c r="W33" i="34" s="1"/>
  <c r="J37" i="34"/>
  <c r="W37" i="34" s="1"/>
  <c r="H26" i="35"/>
  <c r="K145" i="21"/>
  <c r="K144" i="21"/>
  <c r="K141" i="21"/>
  <c r="K143" i="21"/>
  <c r="B101" i="9"/>
  <c r="C112" i="9" s="1"/>
  <c r="H110" i="9" s="1"/>
  <c r="F23" i="21"/>
  <c r="AA23" i="21" s="1"/>
  <c r="J23" i="21"/>
  <c r="AC23" i="21" s="1"/>
  <c r="H23" i="21"/>
  <c r="U23" i="21" s="1"/>
  <c r="J17" i="21"/>
  <c r="AC17" i="21" s="1"/>
  <c r="H17" i="21"/>
  <c r="J15" i="21"/>
  <c r="W15" i="21" s="1"/>
  <c r="H103" i="57"/>
  <c r="A131" i="9"/>
  <c r="A135" i="57"/>
  <c r="B103" i="57"/>
  <c r="C112" i="57"/>
  <c r="H107" i="57" s="1"/>
  <c r="D128" i="57"/>
  <c r="T27" i="31"/>
  <c r="S27" i="31"/>
  <c r="B113" i="43"/>
  <c r="D116" i="43" s="1"/>
  <c r="E116" i="43" s="1"/>
  <c r="F116" i="43" s="1"/>
  <c r="G116" i="43" s="1"/>
  <c r="H116" i="43" s="1"/>
  <c r="M101" i="43"/>
  <c r="M109" i="43" s="1"/>
  <c r="K101" i="43"/>
  <c r="K107" i="43" s="1"/>
  <c r="I101" i="43"/>
  <c r="G101" i="43"/>
  <c r="G104" i="43" s="1"/>
  <c r="E101" i="43"/>
  <c r="E109" i="43" s="1"/>
  <c r="C101" i="43"/>
  <c r="C104" i="43" s="1"/>
  <c r="N101" i="43"/>
  <c r="L101" i="43"/>
  <c r="L109" i="43" s="1"/>
  <c r="J101" i="43"/>
  <c r="J102" i="43" s="1"/>
  <c r="H101" i="43"/>
  <c r="H102"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29" i="35"/>
  <c r="U29" i="35"/>
  <c r="AA35" i="39"/>
  <c r="AB21" i="39"/>
  <c r="AB46" i="34"/>
  <c r="U38" i="34"/>
  <c r="F40" i="34"/>
  <c r="AA16" i="36"/>
  <c r="J45" i="21"/>
  <c r="AC45" i="21" s="1"/>
  <c r="J9" i="34"/>
  <c r="F9" i="34"/>
  <c r="S9" i="34" s="1"/>
  <c r="S19" i="34"/>
  <c r="J12" i="36"/>
  <c r="H12" i="36"/>
  <c r="AB12" i="36" s="1"/>
  <c r="AA9" i="39"/>
  <c r="R29" i="31"/>
  <c r="T29" i="31" s="1"/>
  <c r="F15" i="21"/>
  <c r="S15" i="21" s="1"/>
  <c r="C106" i="9"/>
  <c r="H102" i="9" s="1"/>
  <c r="J36" i="34"/>
  <c r="W36" i="34" s="1"/>
  <c r="J19" i="40"/>
  <c r="AC19" i="40" s="1"/>
  <c r="H32" i="39"/>
  <c r="U32" i="39" s="1"/>
  <c r="F21" i="39"/>
  <c r="F31" i="37"/>
  <c r="AA31" i="37" s="1"/>
  <c r="F17" i="37"/>
  <c r="AA17" i="37" s="1"/>
  <c r="AB28" i="36"/>
  <c r="J14" i="36"/>
  <c r="J40" i="34"/>
  <c r="AC40" i="34" s="1"/>
  <c r="S37" i="40"/>
  <c r="H19" i="33"/>
  <c r="J23" i="34"/>
  <c r="AC30" i="40"/>
  <c r="S30" i="36"/>
  <c r="F34" i="21"/>
  <c r="S34" i="21" s="1"/>
  <c r="H34" i="21"/>
  <c r="U34" i="21" s="1"/>
  <c r="J34" i="21"/>
  <c r="AC34" i="21" s="1"/>
  <c r="F32" i="33"/>
  <c r="AA32" i="33" s="1"/>
  <c r="H9" i="34"/>
  <c r="AB9" i="34" s="1"/>
  <c r="W27" i="34"/>
  <c r="AC27" i="34"/>
  <c r="E116" i="34"/>
  <c r="F116" i="34" s="1"/>
  <c r="G116" i="34" s="1"/>
  <c r="H116" i="34" s="1"/>
  <c r="I116" i="34" s="1"/>
  <c r="J116" i="34" s="1"/>
  <c r="K116" i="34" s="1"/>
  <c r="L116" i="34" s="1"/>
  <c r="M116" i="34" s="1"/>
  <c r="J39" i="34"/>
  <c r="W39" i="34" s="1"/>
  <c r="J27" i="36"/>
  <c r="AC27" i="36" s="1"/>
  <c r="F37" i="34"/>
  <c r="H37" i="34"/>
  <c r="U37" i="34" s="1"/>
  <c r="AA32" i="34"/>
  <c r="U10" i="36"/>
  <c r="AA14" i="35"/>
  <c r="H27" i="21"/>
  <c r="AB27" i="21" s="1"/>
  <c r="J27" i="21"/>
  <c r="W27" i="21" s="1"/>
  <c r="H31" i="21"/>
  <c r="U31" i="21" s="1"/>
  <c r="J39" i="33"/>
  <c r="AC39" i="33" s="1"/>
  <c r="H43" i="33"/>
  <c r="E91" i="33"/>
  <c r="F91" i="33" s="1"/>
  <c r="G91" i="33" s="1"/>
  <c r="H91" i="33" s="1"/>
  <c r="I91" i="33" s="1"/>
  <c r="J91" i="33" s="1"/>
  <c r="K91" i="33" s="1"/>
  <c r="L91" i="33" s="1"/>
  <c r="M91" i="33" s="1"/>
  <c r="H41" i="33"/>
  <c r="U41" i="33" s="1"/>
  <c r="AA11" i="34"/>
  <c r="S11" i="34"/>
  <c r="H17" i="34"/>
  <c r="U17" i="34" s="1"/>
  <c r="H16" i="35"/>
  <c r="U16" i="35" s="1"/>
  <c r="J24" i="35"/>
  <c r="AC24" i="35" s="1"/>
  <c r="F24" i="35"/>
  <c r="AA24" i="35" s="1"/>
  <c r="H24" i="35"/>
  <c r="U24" i="35" s="1"/>
  <c r="H34" i="35"/>
  <c r="F34" i="35"/>
  <c r="AA34" i="35" s="1"/>
  <c r="F10" i="37"/>
  <c r="AA10" i="37" s="1"/>
  <c r="F12" i="37"/>
  <c r="J27" i="37"/>
  <c r="AC27" i="37" s="1"/>
  <c r="J29" i="37"/>
  <c r="W29" i="37" s="1"/>
  <c r="F29" i="37"/>
  <c r="S29" i="37" s="1"/>
  <c r="H31" i="37"/>
  <c r="J36" i="37"/>
  <c r="W36" i="37" s="1"/>
  <c r="J29" i="35"/>
  <c r="AC29" i="35" s="1"/>
  <c r="W30" i="36"/>
  <c r="J35" i="39"/>
  <c r="H16" i="36"/>
  <c r="U16" i="36" s="1"/>
  <c r="U32" i="37"/>
  <c r="E101" i="21"/>
  <c r="F101" i="21" s="1"/>
  <c r="G101" i="21" s="1"/>
  <c r="H101" i="21" s="1"/>
  <c r="I101" i="21" s="1"/>
  <c r="J101" i="21" s="1"/>
  <c r="K101" i="21" s="1"/>
  <c r="L101" i="21" s="1"/>
  <c r="M101" i="21" s="1"/>
  <c r="F32" i="21"/>
  <c r="S32" i="21" s="1"/>
  <c r="J32" i="21"/>
  <c r="W32" i="21" s="1"/>
  <c r="H32" i="21"/>
  <c r="F40" i="21"/>
  <c r="AA40" i="21" s="1"/>
  <c r="H40" i="21"/>
  <c r="J40" i="21"/>
  <c r="AC40" i="21" s="1"/>
  <c r="B44" i="47"/>
  <c r="C21" i="40"/>
  <c r="S34" i="33"/>
  <c r="AA38" i="33"/>
  <c r="J9" i="33"/>
  <c r="AC9" i="33" s="1"/>
  <c r="F9" i="33"/>
  <c r="AA9" i="33" s="1"/>
  <c r="S10" i="34"/>
  <c r="F25" i="34"/>
  <c r="S25" i="34" s="1"/>
  <c r="E126" i="34"/>
  <c r="F126" i="34" s="1"/>
  <c r="G126" i="34" s="1"/>
  <c r="H44" i="34"/>
  <c r="U44" i="34" s="1"/>
  <c r="AB26" i="36"/>
  <c r="U26" i="36"/>
  <c r="U9" i="36"/>
  <c r="F20" i="36"/>
  <c r="J24" i="36"/>
  <c r="H24" i="36"/>
  <c r="U24" i="36" s="1"/>
  <c r="F24" i="36"/>
  <c r="AA24" i="36" s="1"/>
  <c r="S32" i="36"/>
  <c r="F26" i="37"/>
  <c r="AA26" i="37" s="1"/>
  <c r="J23" i="39"/>
  <c r="H15" i="37"/>
  <c r="F15" i="37"/>
  <c r="AA15" i="37" s="1"/>
  <c r="F38" i="40"/>
  <c r="J38" i="40"/>
  <c r="H38" i="40"/>
  <c r="H40" i="40"/>
  <c r="AB40" i="40" s="1"/>
  <c r="F40" i="40"/>
  <c r="N6" i="43"/>
  <c r="M1" i="43"/>
  <c r="F101" i="9"/>
  <c r="F33" i="9"/>
  <c r="C25" i="57"/>
  <c r="F59" i="43"/>
  <c r="H61" i="43" s="1"/>
  <c r="G15" i="47"/>
  <c r="W40" i="40"/>
  <c r="H25" i="34"/>
  <c r="J17" i="34"/>
  <c r="AC17" i="34" s="1"/>
  <c r="F17" i="34"/>
  <c r="AA17" i="34" s="1"/>
  <c r="F43" i="33"/>
  <c r="S43" i="33" s="1"/>
  <c r="J43" i="33"/>
  <c r="H27" i="36"/>
  <c r="F27" i="36"/>
  <c r="AA27" i="36" s="1"/>
  <c r="J28" i="34"/>
  <c r="H11" i="34"/>
  <c r="U11" i="34" s="1"/>
  <c r="J11" i="37"/>
  <c r="AC11" i="37" s="1"/>
  <c r="F23" i="39"/>
  <c r="AA23" i="39" s="1"/>
  <c r="F44" i="34"/>
  <c r="AA44" i="34" s="1"/>
  <c r="J44" i="34"/>
  <c r="AC44" i="34" s="1"/>
  <c r="H10" i="37"/>
  <c r="U10" i="37" s="1"/>
  <c r="W27" i="36"/>
  <c r="J32" i="33"/>
  <c r="H32" i="33"/>
  <c r="J10" i="37"/>
  <c r="AC10" i="37" s="1"/>
  <c r="H23" i="39"/>
  <c r="AB23" i="39" s="1"/>
  <c r="J11" i="34"/>
  <c r="W11" i="34" s="1"/>
  <c r="J27" i="33"/>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2" i="40"/>
  <c r="AC9" i="40"/>
  <c r="S9" i="40"/>
  <c r="W35" i="40"/>
  <c r="J37" i="40"/>
  <c r="AC37" i="40" s="1"/>
  <c r="H35" i="40"/>
  <c r="AB35" i="40" s="1"/>
  <c r="H37" i="40"/>
  <c r="H28" i="40"/>
  <c r="U28" i="40" s="1"/>
  <c r="F28" i="40"/>
  <c r="S28" i="40" s="1"/>
  <c r="J28" i="40"/>
  <c r="AC28" i="40" s="1"/>
  <c r="F21" i="40"/>
  <c r="AA21" i="40" s="1"/>
  <c r="H21" i="40"/>
  <c r="U21" i="40" s="1"/>
  <c r="F90" i="40"/>
  <c r="G90" i="40" s="1"/>
  <c r="J21" i="40"/>
  <c r="W21" i="40" s="1"/>
  <c r="F86" i="40"/>
  <c r="G86" i="40" s="1"/>
  <c r="H17" i="40"/>
  <c r="J17" i="40"/>
  <c r="AC17" i="40" s="1"/>
  <c r="F17" i="40"/>
  <c r="S17" i="40" s="1"/>
  <c r="F15" i="40"/>
  <c r="AA15" i="40" s="1"/>
  <c r="J15" i="40"/>
  <c r="W15" i="40" s="1"/>
  <c r="H15" i="40"/>
  <c r="AB15" i="40" s="1"/>
  <c r="AC25" i="40"/>
  <c r="W25" i="40"/>
  <c r="U8" i="40"/>
  <c r="S36" i="40"/>
  <c r="AC38" i="39"/>
  <c r="W27" i="39"/>
  <c r="AC27" i="39"/>
  <c r="AB15" i="39"/>
  <c r="U42" i="39"/>
  <c r="U19" i="39"/>
  <c r="AB27" i="39"/>
  <c r="U27" i="39"/>
  <c r="AA27" i="39"/>
  <c r="S27" i="39"/>
  <c r="AC11" i="39"/>
  <c r="S26" i="36"/>
  <c r="AC26" i="36"/>
  <c r="S10" i="36"/>
  <c r="W18" i="36"/>
  <c r="AC18" i="36"/>
  <c r="AC20" i="36"/>
  <c r="W28" i="36"/>
  <c r="W8" i="36"/>
  <c r="U13" i="36"/>
  <c r="AB18" i="36"/>
  <c r="U18" i="36"/>
  <c r="S29" i="36"/>
  <c r="W11" i="35"/>
  <c r="W10" i="35"/>
  <c r="AC26" i="35"/>
  <c r="W28" i="35"/>
  <c r="AC27" i="35"/>
  <c r="U14" i="35"/>
  <c r="AB12" i="35"/>
  <c r="W32" i="37"/>
  <c r="AB28" i="37"/>
  <c r="J33" i="37"/>
  <c r="AC33" i="37" s="1"/>
  <c r="F33" i="37"/>
  <c r="AA33" i="37" s="1"/>
  <c r="H33" i="37"/>
  <c r="AC35" i="37"/>
  <c r="W35" i="37"/>
  <c r="H35" i="37"/>
  <c r="F35" i="37"/>
  <c r="S35" i="37" s="1"/>
  <c r="AC23" i="37"/>
  <c r="J19" i="37"/>
  <c r="W19" i="37" s="1"/>
  <c r="F19" i="37"/>
  <c r="AA19" i="37" s="1"/>
  <c r="G75" i="37"/>
  <c r="H19" i="37"/>
  <c r="U19" i="37" s="1"/>
  <c r="W17" i="37"/>
  <c r="AB17" i="37"/>
  <c r="J15" i="37"/>
  <c r="W15" i="37" s="1"/>
  <c r="S10" i="37"/>
  <c r="AC21" i="37"/>
  <c r="W21" i="37"/>
  <c r="W39" i="37"/>
  <c r="AC39" i="34"/>
  <c r="AB11" i="34"/>
  <c r="AB41" i="34"/>
  <c r="S38" i="34"/>
  <c r="S43" i="34"/>
  <c r="U23" i="34"/>
  <c r="U21" i="34"/>
  <c r="AB21" i="34"/>
  <c r="W42" i="33"/>
  <c r="U25" i="33"/>
  <c r="W11" i="33"/>
  <c r="W25" i="33"/>
  <c r="W37" i="33"/>
  <c r="AA45" i="33"/>
  <c r="U46" i="33"/>
  <c r="S17" i="33"/>
  <c r="U9" i="33"/>
  <c r="AC19" i="33"/>
  <c r="W21" i="33"/>
  <c r="AC21" i="33"/>
  <c r="AB41" i="33"/>
  <c r="U39" i="33"/>
  <c r="AB21" i="21"/>
  <c r="U2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C18" i="9"/>
  <c r="D18" i="9" s="1"/>
  <c r="A14" i="52"/>
  <c r="B61" i="60" s="1"/>
  <c r="V25" i="31"/>
  <c r="D3" i="21"/>
  <c r="M6" i="43"/>
  <c r="M5" i="43"/>
  <c r="F81" i="43"/>
  <c r="H85" i="43" s="1"/>
  <c r="H13" i="44"/>
  <c r="G59" i="40"/>
  <c r="C59" i="40" s="1"/>
  <c r="H11" i="44"/>
  <c r="C51" i="10"/>
  <c r="A8" i="54"/>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D124" i="9"/>
  <c r="D7" i="52" s="1"/>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L104" i="43"/>
  <c r="G37" i="47"/>
  <c r="F36" i="43"/>
  <c r="C17" i="43"/>
  <c r="F35" i="43"/>
  <c r="F37" i="43"/>
  <c r="F39" i="43"/>
  <c r="K17" i="43"/>
  <c r="C7" i="34"/>
  <c r="C59" i="34" s="1"/>
  <c r="F38" i="43"/>
  <c r="K86" i="43"/>
  <c r="J86" i="43" s="1"/>
  <c r="D86" i="43"/>
  <c r="M87" i="43"/>
  <c r="N87" i="43" s="1"/>
  <c r="K82" i="43"/>
  <c r="J82" i="43" s="1"/>
  <c r="D82" i="43"/>
  <c r="M83" i="43"/>
  <c r="N83" i="43" s="1"/>
  <c r="F106" i="43"/>
  <c r="M12" i="43"/>
  <c r="M8" i="43"/>
  <c r="N7" i="43"/>
  <c r="M3" i="43"/>
  <c r="M11" i="43"/>
  <c r="N8" i="43"/>
  <c r="H8" i="44"/>
  <c r="H12" i="44"/>
  <c r="C63" i="39"/>
  <c r="G64" i="39"/>
  <c r="C64" i="39" s="1"/>
  <c r="M85" i="43"/>
  <c r="N85" i="43" s="1"/>
  <c r="K85" i="43"/>
  <c r="J85" i="43" s="1"/>
  <c r="D85" i="43"/>
  <c r="M82" i="43"/>
  <c r="N82" i="43" s="1"/>
  <c r="K83" i="43"/>
  <c r="J83" i="43" s="1"/>
  <c r="D83" i="43"/>
  <c r="E102" i="43"/>
  <c r="D118" i="43"/>
  <c r="E118" i="43" s="1"/>
  <c r="F118" i="43" s="1"/>
  <c r="M7" i="15"/>
  <c r="J6" i="15" s="1"/>
  <c r="F35" i="15"/>
  <c r="F64" i="15" s="1"/>
  <c r="E18" i="1"/>
  <c r="C34" i="11" s="1"/>
  <c r="C36" i="11" s="1"/>
  <c r="C17" i="15"/>
  <c r="A2" i="9"/>
  <c r="W23" i="40"/>
  <c r="S23" i="40"/>
  <c r="U23" i="40"/>
  <c r="U40" i="40"/>
  <c r="AB32" i="39"/>
  <c r="W42" i="39"/>
  <c r="AA32" i="39"/>
  <c r="S29" i="39"/>
  <c r="S34" i="39"/>
  <c r="S39" i="39"/>
  <c r="U9" i="39"/>
  <c r="AA13" i="36"/>
  <c r="AA33" i="36"/>
  <c r="S8" i="36"/>
  <c r="U33" i="35"/>
  <c r="W33" i="35"/>
  <c r="S36" i="35"/>
  <c r="AA33" i="35"/>
  <c r="AA29" i="35"/>
  <c r="S22" i="35"/>
  <c r="AB27" i="35"/>
  <c r="U36" i="35"/>
  <c r="AA25" i="35"/>
  <c r="S28" i="35"/>
  <c r="U29" i="37"/>
  <c r="AC29" i="37"/>
  <c r="G84" i="34"/>
  <c r="J21" i="34"/>
  <c r="AC21" i="34" s="1"/>
  <c r="AB40" i="34"/>
  <c r="AB37" i="34"/>
  <c r="AA27" i="34"/>
  <c r="AB27" i="34"/>
  <c r="W43" i="34"/>
  <c r="U34" i="34"/>
  <c r="AC25" i="34"/>
  <c r="W44" i="34"/>
  <c r="AC33" i="34"/>
  <c r="U10" i="34"/>
  <c r="U37" i="33"/>
  <c r="S32" i="33"/>
  <c r="U33" i="33"/>
  <c r="S39" i="33"/>
  <c r="AA36" i="33"/>
  <c r="S33" i="33"/>
  <c r="AB29" i="33"/>
  <c r="AB36" i="33"/>
  <c r="W15" i="33"/>
  <c r="W8" i="33"/>
  <c r="G83" i="21"/>
  <c r="J21" i="21"/>
  <c r="AC21" i="21" s="1"/>
  <c r="C17" i="39"/>
  <c r="C19" i="39"/>
  <c r="C17" i="40"/>
  <c r="B54" i="43"/>
  <c r="B65" i="43"/>
  <c r="B52" i="43"/>
  <c r="B56" i="43"/>
  <c r="B63" i="43"/>
  <c r="AA28" i="40"/>
  <c r="AB28" i="40"/>
  <c r="S21" i="40"/>
  <c r="W17" i="40"/>
  <c r="S15" i="40"/>
  <c r="AC15" i="40"/>
  <c r="W33" i="37"/>
  <c r="S19" i="37"/>
  <c r="AC15" i="37"/>
  <c r="M86" i="43"/>
  <c r="N86" i="43" s="1"/>
  <c r="E19" i="1"/>
  <c r="D18" i="1"/>
  <c r="F19" i="1"/>
  <c r="D19" i="1"/>
  <c r="K87" i="43"/>
  <c r="J87" i="43" s="1"/>
  <c r="D87" i="43"/>
  <c r="A18" i="55"/>
  <c r="B48" i="60" s="1"/>
  <c r="J22" i="43"/>
  <c r="M84" i="43"/>
  <c r="N84" i="43" s="1"/>
  <c r="K84" i="43"/>
  <c r="J84" i="43" s="1"/>
  <c r="D84" i="43"/>
  <c r="M81" i="43"/>
  <c r="N81" i="43" s="1"/>
  <c r="K81" i="43"/>
  <c r="J81" i="43" s="1"/>
  <c r="D81" i="43"/>
  <c r="M88" i="43"/>
  <c r="N88" i="43"/>
  <c r="K88" i="43"/>
  <c r="J88" i="43" s="1"/>
  <c r="D88" i="43"/>
  <c r="I114" i="57"/>
  <c r="N51" i="57" s="1"/>
  <c r="B41" i="1"/>
  <c r="M27" i="15" s="1"/>
  <c r="D118" i="57"/>
  <c r="D119" i="57"/>
  <c r="I115" i="57" s="1"/>
  <c r="D132" i="57" s="1"/>
  <c r="D134" i="57"/>
  <c r="D130" i="9"/>
  <c r="D13" i="52" s="1"/>
  <c r="N46" i="9"/>
  <c r="H67" i="43"/>
  <c r="H9" i="44"/>
  <c r="H7" i="44"/>
  <c r="H10" i="44"/>
  <c r="N12" i="43"/>
  <c r="N4" i="43"/>
  <c r="M7" i="43"/>
  <c r="N1" i="43"/>
  <c r="M10" i="43"/>
  <c r="M2" i="43"/>
  <c r="H15" i="44"/>
  <c r="H5" i="44"/>
  <c r="N10" i="43"/>
  <c r="N2" i="43"/>
  <c r="N11" i="43"/>
  <c r="N9" i="43"/>
  <c r="M4" i="43"/>
  <c r="N5" i="43"/>
  <c r="N3" i="43"/>
  <c r="M9" i="43"/>
  <c r="E17" i="43"/>
  <c r="N17" i="43"/>
  <c r="L17" i="43"/>
  <c r="O17" i="43"/>
  <c r="M17" i="43"/>
  <c r="J1" i="61"/>
  <c r="B17" i="59"/>
  <c r="B16" i="59" s="1"/>
  <c r="B15" i="59" s="1"/>
  <c r="B14" i="59" s="1"/>
  <c r="B13" i="59" s="1"/>
  <c r="AB17" i="59"/>
  <c r="U17" i="59"/>
  <c r="AA16" i="59"/>
  <c r="X16" i="59"/>
  <c r="AB16" i="59"/>
  <c r="AA15" i="59"/>
  <c r="Y15" i="59"/>
  <c r="Z15" i="59" s="1"/>
  <c r="Y13" i="59"/>
  <c r="Z13" i="59" s="1"/>
  <c r="AB13" i="59"/>
  <c r="AB11" i="59"/>
  <c r="X13" i="59"/>
  <c r="X11" i="59"/>
  <c r="AA13" i="59"/>
  <c r="AA11" i="59"/>
  <c r="AB12" i="59"/>
  <c r="X12"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2" i="52" s="1"/>
  <c r="I112" i="9"/>
  <c r="D39" i="50" s="1"/>
  <c r="D40" i="50" s="1"/>
  <c r="D116" i="9"/>
  <c r="D114" i="9"/>
  <c r="D115" i="9"/>
  <c r="I113" i="9" s="1"/>
  <c r="N49" i="9"/>
  <c r="M67" i="9" s="1"/>
  <c r="N67" i="9" s="1"/>
  <c r="D42" i="50"/>
  <c r="D43" i="50" s="1"/>
  <c r="D4" i="61"/>
  <c r="E2" i="37"/>
  <c r="F3" i="61"/>
  <c r="C19" i="57"/>
  <c r="D3" i="61"/>
  <c r="F4" i="61"/>
  <c r="D7" i="61"/>
  <c r="H23" i="31"/>
  <c r="F5" i="61"/>
  <c r="F6" i="61"/>
  <c r="E2" i="36"/>
  <c r="F7" i="61"/>
  <c r="E2" i="33"/>
  <c r="D19" i="57"/>
  <c r="D6" i="61"/>
  <c r="D20" i="57"/>
  <c r="E2" i="21"/>
  <c r="E2" i="11"/>
  <c r="D5" i="61"/>
  <c r="E2" i="35"/>
  <c r="E2" i="34"/>
  <c r="C20" i="57"/>
  <c r="U12" i="40" l="1"/>
  <c r="AB12" i="40"/>
  <c r="AC19" i="37"/>
  <c r="AC25" i="39"/>
  <c r="AC43" i="33"/>
  <c r="W43" i="33"/>
  <c r="U34" i="35"/>
  <c r="AB34" i="35"/>
  <c r="I102" i="43"/>
  <c r="I103" i="43"/>
  <c r="F26" i="35"/>
  <c r="AC32" i="39"/>
  <c r="AB19" i="40"/>
  <c r="U19" i="40"/>
  <c r="J13" i="39"/>
  <c r="W13" i="39" s="1"/>
  <c r="AA42" i="39"/>
  <c r="S42" i="39"/>
  <c r="S35" i="33"/>
  <c r="AA35" i="33"/>
  <c r="AB32" i="35"/>
  <c r="U32" i="35"/>
  <c r="S16" i="35"/>
  <c r="AA16" i="35"/>
  <c r="H40" i="37"/>
  <c r="J40" i="37"/>
  <c r="F40" i="37"/>
  <c r="S28" i="36"/>
  <c r="AB31" i="37"/>
  <c r="U31" i="37"/>
  <c r="S12" i="37"/>
  <c r="AA12" i="37"/>
  <c r="W37" i="37"/>
  <c r="AC37" i="37"/>
  <c r="H37" i="39"/>
  <c r="U37" i="39" s="1"/>
  <c r="F31" i="40"/>
  <c r="AA31" i="40" s="1"/>
  <c r="AA22" i="36"/>
  <c r="S22" i="36"/>
  <c r="F13" i="39"/>
  <c r="S19" i="33"/>
  <c r="AA19" i="33"/>
  <c r="W34" i="33"/>
  <c r="AC34" i="33"/>
  <c r="AB15" i="34"/>
  <c r="U15" i="34"/>
  <c r="W17" i="39"/>
  <c r="AC17" i="39"/>
  <c r="U33" i="34"/>
  <c r="AB33" i="34"/>
  <c r="AB28" i="35"/>
  <c r="U28" i="35"/>
  <c r="H13" i="33"/>
  <c r="F13" i="33"/>
  <c r="AA13" i="33" s="1"/>
  <c r="J31" i="33"/>
  <c r="H31" i="33"/>
  <c r="AB31" i="33" s="1"/>
  <c r="J12" i="34"/>
  <c r="F12" i="34"/>
  <c r="H30" i="34"/>
  <c r="U30" i="34" s="1"/>
  <c r="F30" i="34"/>
  <c r="W46" i="34"/>
  <c r="AC46" i="34"/>
  <c r="U11" i="35"/>
  <c r="AB11" i="35"/>
  <c r="H12" i="37"/>
  <c r="J12" i="37"/>
  <c r="W12" i="37" s="1"/>
  <c r="J26" i="37"/>
  <c r="AC26" i="37" s="1"/>
  <c r="H26" i="37"/>
  <c r="AB26" i="37" s="1"/>
  <c r="W17" i="34"/>
  <c r="AA20" i="36"/>
  <c r="S20" i="36"/>
  <c r="AA35" i="34"/>
  <c r="S35" i="34"/>
  <c r="AA14" i="36"/>
  <c r="S14" i="36"/>
  <c r="F25" i="36"/>
  <c r="AB11" i="36"/>
  <c r="U11" i="36"/>
  <c r="AB17" i="33"/>
  <c r="U17" i="33"/>
  <c r="W8" i="35"/>
  <c r="F37" i="39"/>
  <c r="S37" i="39" s="1"/>
  <c r="AC19" i="39"/>
  <c r="W19" i="39"/>
  <c r="AA34" i="34"/>
  <c r="S34" i="34"/>
  <c r="AA39" i="34"/>
  <c r="S39" i="34"/>
  <c r="AA15" i="34"/>
  <c r="S15" i="34"/>
  <c r="AB30" i="37"/>
  <c r="U30" i="37"/>
  <c r="J9" i="37"/>
  <c r="W9" i="37" s="1"/>
  <c r="H9" i="37"/>
  <c r="AB9" i="40"/>
  <c r="U9" i="40"/>
  <c r="AB32" i="33"/>
  <c r="U32" i="33"/>
  <c r="I118" i="43"/>
  <c r="J118" i="43" s="1"/>
  <c r="K118" i="43" s="1"/>
  <c r="L118" i="43" s="1"/>
  <c r="M118" i="43" s="1"/>
  <c r="D115" i="43"/>
  <c r="E115" i="43" s="1"/>
  <c r="F115" i="43" s="1"/>
  <c r="B116" i="43"/>
  <c r="C116" i="43" s="1"/>
  <c r="U26" i="35"/>
  <c r="AB26" i="35"/>
  <c r="AC25" i="36"/>
  <c r="W25" i="36"/>
  <c r="AA11" i="40"/>
  <c r="S11" i="40"/>
  <c r="AB22" i="35"/>
  <c r="U22" i="35"/>
  <c r="H29" i="21"/>
  <c r="J29" i="21"/>
  <c r="AC29" i="21" s="1"/>
  <c r="B85" i="43"/>
  <c r="C23" i="40"/>
  <c r="AC33" i="33"/>
  <c r="W33" i="33"/>
  <c r="AC38" i="33"/>
  <c r="W38" i="33"/>
  <c r="F27" i="33"/>
  <c r="S27" i="33" s="1"/>
  <c r="H27" i="33"/>
  <c r="AC8" i="34"/>
  <c r="W8" i="34"/>
  <c r="AB31" i="36"/>
  <c r="U31" i="36"/>
  <c r="F25" i="37"/>
  <c r="H25" i="37"/>
  <c r="J25" i="37"/>
  <c r="F31" i="39"/>
  <c r="J31" i="39"/>
  <c r="W31" i="39" s="1"/>
  <c r="H44" i="39"/>
  <c r="J44" i="39"/>
  <c r="AC44" i="39" s="1"/>
  <c r="W37" i="39"/>
  <c r="AC37" i="39"/>
  <c r="AB38" i="39"/>
  <c r="U38" i="39"/>
  <c r="J12" i="40"/>
  <c r="F12" i="40"/>
  <c r="J27" i="40"/>
  <c r="W27" i="40" s="1"/>
  <c r="F27" i="40"/>
  <c r="S27" i="40" s="1"/>
  <c r="AC31" i="40"/>
  <c r="W31" i="40"/>
  <c r="AA40" i="33"/>
  <c r="S40" i="33"/>
  <c r="F36" i="39"/>
  <c r="H36" i="39"/>
  <c r="U21" i="37"/>
  <c r="AB3" i="59"/>
  <c r="W38" i="34"/>
  <c r="AC36" i="34"/>
  <c r="W31" i="35"/>
  <c r="AB22" i="59"/>
  <c r="AB23" i="59"/>
  <c r="AB24" i="59"/>
  <c r="AB25" i="59"/>
  <c r="AA18" i="59"/>
  <c r="E16" i="59"/>
  <c r="E15" i="59" s="1"/>
  <c r="E14" i="59" s="1"/>
  <c r="E13" i="59" s="1"/>
  <c r="AC12" i="21"/>
  <c r="W12" i="21"/>
  <c r="AB41" i="39"/>
  <c r="U41" i="39"/>
  <c r="U32" i="34"/>
  <c r="AB32" i="34"/>
  <c r="U45" i="33"/>
  <c r="AB45" i="33"/>
  <c r="AC13" i="33"/>
  <c r="W13" i="33"/>
  <c r="AA31" i="39"/>
  <c r="S31" i="39"/>
  <c r="F66" i="21"/>
  <c r="G66" i="21" s="1"/>
  <c r="H66" i="21" s="1"/>
  <c r="I66" i="21" s="1"/>
  <c r="H10" i="21"/>
  <c r="AB10" i="21" s="1"/>
  <c r="F125" i="21"/>
  <c r="G125" i="21" s="1"/>
  <c r="F43" i="21"/>
  <c r="S43" i="21" s="1"/>
  <c r="AB34" i="33"/>
  <c r="U34" i="33"/>
  <c r="J33" i="40"/>
  <c r="H33" i="40"/>
  <c r="U33" i="40" s="1"/>
  <c r="AB31" i="35"/>
  <c r="U31" i="35"/>
  <c r="AB19" i="33"/>
  <c r="U19" i="33"/>
  <c r="AB34" i="40"/>
  <c r="U34" i="40"/>
  <c r="U35" i="40"/>
  <c r="AA43" i="33"/>
  <c r="W36" i="39"/>
  <c r="K106" i="43"/>
  <c r="AA46" i="34"/>
  <c r="AB17" i="34"/>
  <c r="AC16" i="36"/>
  <c r="AA40" i="40"/>
  <c r="S40" i="40"/>
  <c r="W23" i="39"/>
  <c r="AC23" i="39"/>
  <c r="S23" i="34"/>
  <c r="AC20" i="35"/>
  <c r="U19" i="34"/>
  <c r="AB19" i="34"/>
  <c r="AA37" i="37"/>
  <c r="S37" i="37"/>
  <c r="AA10" i="35"/>
  <c r="S10" i="35"/>
  <c r="U35" i="34"/>
  <c r="AB35" i="34"/>
  <c r="W41" i="39"/>
  <c r="AC41" i="39"/>
  <c r="F14" i="40"/>
  <c r="F33" i="40"/>
  <c r="AC17" i="33"/>
  <c r="W17" i="33"/>
  <c r="AA25" i="33"/>
  <c r="S25" i="33"/>
  <c r="W19" i="34"/>
  <c r="AC19" i="34"/>
  <c r="U10" i="35"/>
  <c r="AB10" i="35"/>
  <c r="AA30" i="40"/>
  <c r="S30" i="40"/>
  <c r="S8" i="40"/>
  <c r="H43" i="21"/>
  <c r="AB43" i="21" s="1"/>
  <c r="AC31" i="36"/>
  <c r="W31" i="36"/>
  <c r="U11" i="37"/>
  <c r="AB11" i="37"/>
  <c r="F13" i="37"/>
  <c r="J13" i="37"/>
  <c r="F27" i="37"/>
  <c r="AA27" i="37" s="1"/>
  <c r="H27" i="37"/>
  <c r="J38" i="37"/>
  <c r="H38" i="37"/>
  <c r="F38" i="37"/>
  <c r="AB8" i="39"/>
  <c r="U8" i="39"/>
  <c r="D18" i="50"/>
  <c r="B31" i="60" s="1"/>
  <c r="W28" i="40"/>
  <c r="C15" i="39"/>
  <c r="U40" i="39"/>
  <c r="U8" i="35"/>
  <c r="AA37" i="39"/>
  <c r="N107" i="43"/>
  <c r="N102" i="43"/>
  <c r="N109" i="43"/>
  <c r="B107" i="57"/>
  <c r="C120" i="57"/>
  <c r="H116" i="57" s="1"/>
  <c r="F37" i="47"/>
  <c r="B35" i="47" s="1"/>
  <c r="AC31" i="39"/>
  <c r="AA42" i="33"/>
  <c r="S42" i="33"/>
  <c r="H14" i="40"/>
  <c r="J10" i="21"/>
  <c r="AC10" i="21" s="1"/>
  <c r="F10" i="21"/>
  <c r="AA10" i="21" s="1"/>
  <c r="E79" i="21"/>
  <c r="F79" i="21" s="1"/>
  <c r="G79" i="21" s="1"/>
  <c r="F17" i="21"/>
  <c r="AA17" i="21" s="1"/>
  <c r="E123" i="21"/>
  <c r="F123" i="21" s="1"/>
  <c r="G123" i="21" s="1"/>
  <c r="H123" i="21" s="1"/>
  <c r="I123" i="21" s="1"/>
  <c r="J123" i="21" s="1"/>
  <c r="K123" i="21" s="1"/>
  <c r="L123" i="21" s="1"/>
  <c r="M123" i="21" s="1"/>
  <c r="F42" i="21"/>
  <c r="AA42" i="21" s="1"/>
  <c r="J42" i="21"/>
  <c r="AC42" i="21" s="1"/>
  <c r="B60" i="43"/>
  <c r="B49" i="43"/>
  <c r="AA10" i="33"/>
  <c r="S10" i="33"/>
  <c r="AB35" i="33"/>
  <c r="U35" i="33"/>
  <c r="F28" i="33"/>
  <c r="H28" i="33"/>
  <c r="AC14" i="35"/>
  <c r="W14" i="35"/>
  <c r="F35" i="35"/>
  <c r="J35" i="35"/>
  <c r="AC35" i="35" s="1"/>
  <c r="J23" i="36"/>
  <c r="AC23" i="36" s="1"/>
  <c r="H23" i="36"/>
  <c r="F23" i="36"/>
  <c r="AA23" i="36" s="1"/>
  <c r="AC8" i="40"/>
  <c r="W8" i="40"/>
  <c r="S29" i="21"/>
  <c r="AA29" i="21"/>
  <c r="W32" i="36"/>
  <c r="AC32" i="36"/>
  <c r="E115" i="21"/>
  <c r="F115" i="21" s="1"/>
  <c r="G115" i="21" s="1"/>
  <c r="H115" i="21" s="1"/>
  <c r="I115" i="21" s="1"/>
  <c r="J115" i="21" s="1"/>
  <c r="K115" i="21" s="1"/>
  <c r="L115" i="21" s="1"/>
  <c r="M115" i="21" s="1"/>
  <c r="H38" i="21"/>
  <c r="U38" i="21" s="1"/>
  <c r="B77" i="43"/>
  <c r="C25" i="39"/>
  <c r="B67" i="43"/>
  <c r="AB30" i="36"/>
  <c r="U30" i="36"/>
  <c r="AA35" i="37"/>
  <c r="AB14" i="34"/>
  <c r="AC16" i="35"/>
  <c r="AC14" i="40"/>
  <c r="AB35" i="37"/>
  <c r="U35" i="37"/>
  <c r="W27" i="33"/>
  <c r="AC27" i="33"/>
  <c r="U12" i="36"/>
  <c r="W40" i="37"/>
  <c r="AC40" i="37"/>
  <c r="H28" i="34"/>
  <c r="AA29" i="33"/>
  <c r="AA40" i="34"/>
  <c r="S40" i="34"/>
  <c r="AA12" i="40"/>
  <c r="S12" i="40"/>
  <c r="S13" i="35"/>
  <c r="AA13" i="35"/>
  <c r="H32" i="36"/>
  <c r="AB32" i="36" s="1"/>
  <c r="S14" i="34"/>
  <c r="AA14" i="34"/>
  <c r="AA31" i="33"/>
  <c r="S31" i="33"/>
  <c r="AB15" i="33"/>
  <c r="U15" i="33"/>
  <c r="AB23" i="33"/>
  <c r="U23" i="33"/>
  <c r="AC32" i="35"/>
  <c r="W32" i="35"/>
  <c r="W34" i="36"/>
  <c r="AC34" i="36"/>
  <c r="U17" i="39"/>
  <c r="AB17" i="39"/>
  <c r="F38" i="21"/>
  <c r="S38" i="21" s="1"/>
  <c r="E117" i="21"/>
  <c r="F117" i="21" s="1"/>
  <c r="G117" i="21" s="1"/>
  <c r="H39" i="21"/>
  <c r="U39" i="21" s="1"/>
  <c r="F39" i="21"/>
  <c r="S39" i="21" s="1"/>
  <c r="AB14" i="36"/>
  <c r="U14" i="36"/>
  <c r="H12" i="39"/>
  <c r="J12" i="39"/>
  <c r="W12" i="39" s="1"/>
  <c r="H12" i="34"/>
  <c r="U21" i="33"/>
  <c r="AB25" i="40"/>
  <c r="D65" i="59"/>
  <c r="B20" i="59"/>
  <c r="B19" i="59" s="1"/>
  <c r="F70" i="43"/>
  <c r="C6" i="43"/>
  <c r="AC13" i="39"/>
  <c r="S27" i="35"/>
  <c r="F37" i="21"/>
  <c r="AA37" i="21" s="1"/>
  <c r="J36" i="35"/>
  <c r="F44" i="39"/>
  <c r="I105" i="9"/>
  <c r="C76" i="59"/>
  <c r="T65" i="59"/>
  <c r="Y19" i="59"/>
  <c r="Z19" i="59" s="1"/>
  <c r="AB26" i="59"/>
  <c r="AB27" i="59"/>
  <c r="AB28" i="59"/>
  <c r="AB29" i="59"/>
  <c r="G100" i="43"/>
  <c r="U18" i="35"/>
  <c r="C56" i="59"/>
  <c r="C57" i="59" s="1"/>
  <c r="C21" i="11"/>
  <c r="C29" i="11" s="1"/>
  <c r="D27" i="11" s="1"/>
  <c r="U33" i="21"/>
  <c r="W43" i="21"/>
  <c r="AA41" i="21"/>
  <c r="W40" i="21"/>
  <c r="AB39" i="21"/>
  <c r="C105" i="43"/>
  <c r="S37" i="21"/>
  <c r="AA36" i="21"/>
  <c r="AB36" i="21"/>
  <c r="AC35" i="21"/>
  <c r="U35" i="21"/>
  <c r="W34" i="21"/>
  <c r="S33" i="21"/>
  <c r="AC32" i="21"/>
  <c r="S27" i="21"/>
  <c r="U27" i="21"/>
  <c r="F26" i="21"/>
  <c r="S26" i="21" s="1"/>
  <c r="J26" i="21"/>
  <c r="H26" i="21"/>
  <c r="AB31" i="21"/>
  <c r="J31" i="21"/>
  <c r="AA25" i="21"/>
  <c r="AB23" i="21"/>
  <c r="W23" i="21"/>
  <c r="S23" i="21"/>
  <c r="AC19" i="21"/>
  <c r="U19" i="21"/>
  <c r="S19" i="21"/>
  <c r="S17" i="21"/>
  <c r="U15" i="21"/>
  <c r="AA15" i="21"/>
  <c r="AC15" i="21"/>
  <c r="J11" i="21"/>
  <c r="AC11" i="21" s="1"/>
  <c r="F11" i="21"/>
  <c r="S11" i="21" s="1"/>
  <c r="H11" i="21"/>
  <c r="W11" i="21"/>
  <c r="W10" i="21"/>
  <c r="U10" i="21"/>
  <c r="H62" i="43"/>
  <c r="H65" i="43"/>
  <c r="B115" i="43"/>
  <c r="C115" i="43" s="1"/>
  <c r="D117" i="43"/>
  <c r="E117" i="43" s="1"/>
  <c r="F117" i="43" s="1"/>
  <c r="G117" i="43" s="1"/>
  <c r="H117" i="43" s="1"/>
  <c r="D102" i="43"/>
  <c r="B117" i="43"/>
  <c r="C117" i="43" s="1"/>
  <c r="D105" i="43"/>
  <c r="G103" i="43"/>
  <c r="G105" i="43"/>
  <c r="C53" i="10"/>
  <c r="C7" i="40"/>
  <c r="C63" i="40" s="1"/>
  <c r="J52" i="15"/>
  <c r="C7" i="36"/>
  <c r="C46" i="36" s="1"/>
  <c r="G19" i="43"/>
  <c r="O19" i="43" s="1"/>
  <c r="C7" i="37"/>
  <c r="C52" i="37" s="1"/>
  <c r="D52" i="37" s="1"/>
  <c r="E52" i="37" s="1"/>
  <c r="F52" i="37" s="1"/>
  <c r="N49" i="57"/>
  <c r="C7" i="39"/>
  <c r="C68" i="39" s="1"/>
  <c r="C70" i="39" s="1"/>
  <c r="AC35" i="39"/>
  <c r="W35" i="39"/>
  <c r="U8" i="21"/>
  <c r="AB8" i="21"/>
  <c r="U33" i="37"/>
  <c r="AB33" i="37"/>
  <c r="AB15" i="37"/>
  <c r="U15" i="37"/>
  <c r="U26" i="37"/>
  <c r="K103" i="43"/>
  <c r="S15" i="37"/>
  <c r="S31" i="37"/>
  <c r="AB16" i="35"/>
  <c r="U17" i="40"/>
  <c r="AB17" i="40"/>
  <c r="AC13" i="21"/>
  <c r="W32" i="33"/>
  <c r="AC32" i="33"/>
  <c r="H63" i="43"/>
  <c r="H59" i="43"/>
  <c r="H64" i="43"/>
  <c r="AC38" i="40"/>
  <c r="W38" i="40"/>
  <c r="W24" i="36"/>
  <c r="AC24" i="36"/>
  <c r="U32" i="21"/>
  <c r="AB32" i="21"/>
  <c r="W23" i="34"/>
  <c r="AC23" i="34"/>
  <c r="W44" i="39"/>
  <c r="W44" i="33"/>
  <c r="U37" i="21"/>
  <c r="AB37" i="21"/>
  <c r="U32" i="40"/>
  <c r="AB32" i="40"/>
  <c r="AB30" i="40"/>
  <c r="U30" i="40"/>
  <c r="S8" i="33"/>
  <c r="AC29" i="36"/>
  <c r="W29" i="36"/>
  <c r="AA21" i="39"/>
  <c r="S21" i="39"/>
  <c r="W12" i="36"/>
  <c r="AC12" i="36"/>
  <c r="AA13" i="39"/>
  <c r="S13" i="39"/>
  <c r="W12" i="33"/>
  <c r="AC12" i="33"/>
  <c r="E81" i="43"/>
  <c r="B79" i="43" s="1"/>
  <c r="W45" i="21"/>
  <c r="S24" i="36"/>
  <c r="AC12" i="39"/>
  <c r="W28" i="34"/>
  <c r="AC28" i="34"/>
  <c r="U25" i="34"/>
  <c r="AB25" i="34"/>
  <c r="AA38" i="40"/>
  <c r="S38" i="40"/>
  <c r="U27" i="37"/>
  <c r="AB27" i="37"/>
  <c r="U43" i="33"/>
  <c r="AB43" i="33"/>
  <c r="S15" i="33"/>
  <c r="S14" i="33"/>
  <c r="AB33" i="40"/>
  <c r="W13" i="37"/>
  <c r="AC13" i="37"/>
  <c r="S35" i="40"/>
  <c r="AA35" i="40"/>
  <c r="U29" i="39"/>
  <c r="AB29" i="39"/>
  <c r="AC39" i="21"/>
  <c r="W39" i="21"/>
  <c r="F13" i="21"/>
  <c r="AA13" i="21" s="1"/>
  <c r="H13" i="21"/>
  <c r="F45" i="21"/>
  <c r="H45" i="21"/>
  <c r="AB45" i="21" s="1"/>
  <c r="AC36" i="35"/>
  <c r="W36" i="35"/>
  <c r="J9" i="35"/>
  <c r="F9" i="35"/>
  <c r="H12" i="33"/>
  <c r="F12" i="33"/>
  <c r="S12" i="33" s="1"/>
  <c r="F30" i="33"/>
  <c r="S30" i="33" s="1"/>
  <c r="J30" i="33"/>
  <c r="AC30" i="33" s="1"/>
  <c r="H30" i="33"/>
  <c r="F46" i="33"/>
  <c r="AA46" i="33" s="1"/>
  <c r="J46" i="33"/>
  <c r="F29" i="34"/>
  <c r="J29" i="34"/>
  <c r="J45" i="34"/>
  <c r="H45" i="34"/>
  <c r="J13" i="35"/>
  <c r="AC13" i="35" s="1"/>
  <c r="H13" i="35"/>
  <c r="U13" i="35" s="1"/>
  <c r="AC22" i="35"/>
  <c r="W22" i="35"/>
  <c r="U25" i="37"/>
  <c r="AB25" i="37"/>
  <c r="AA44" i="39"/>
  <c r="S44" i="39"/>
  <c r="F14" i="39"/>
  <c r="H14" i="39"/>
  <c r="H45" i="39"/>
  <c r="J45" i="39"/>
  <c r="W45" i="39" s="1"/>
  <c r="F45" i="39"/>
  <c r="AC41" i="21"/>
  <c r="W41" i="21"/>
  <c r="AB40" i="21"/>
  <c r="U40" i="21"/>
  <c r="AB25" i="36"/>
  <c r="U25" i="36"/>
  <c r="AC40" i="33"/>
  <c r="W40" i="33"/>
  <c r="AB37" i="40"/>
  <c r="U37" i="40"/>
  <c r="AA37" i="34"/>
  <c r="S37" i="34"/>
  <c r="S27" i="36"/>
  <c r="AB27" i="36"/>
  <c r="U27" i="36"/>
  <c r="AB38" i="40"/>
  <c r="U38" i="40"/>
  <c r="AC14" i="36"/>
  <c r="W14" i="36"/>
  <c r="AC9" i="34"/>
  <c r="W9" i="34"/>
  <c r="H107" i="43"/>
  <c r="H104" i="43"/>
  <c r="AB17" i="21"/>
  <c r="U17" i="21"/>
  <c r="AB13" i="39"/>
  <c r="U13" i="39"/>
  <c r="W14" i="39"/>
  <c r="AC14" i="39"/>
  <c r="S45" i="34"/>
  <c r="AA45" i="34"/>
  <c r="AA11" i="33"/>
  <c r="S11" i="33"/>
  <c r="AC23" i="33"/>
  <c r="W23" i="33"/>
  <c r="AB43" i="34"/>
  <c r="U43" i="34"/>
  <c r="AA20" i="35"/>
  <c r="S20" i="35"/>
  <c r="AA35" i="21"/>
  <c r="S35" i="21"/>
  <c r="W36" i="21"/>
  <c r="AC36" i="21"/>
  <c r="B81" i="43"/>
  <c r="C15" i="40"/>
  <c r="F9" i="21"/>
  <c r="AA9" i="21" s="1"/>
  <c r="J9" i="21"/>
  <c r="H9" i="21"/>
  <c r="AB31" i="34"/>
  <c r="U31" i="34"/>
  <c r="AC38" i="37"/>
  <c r="W38" i="37"/>
  <c r="H23" i="35"/>
  <c r="J23" i="35"/>
  <c r="U8" i="36"/>
  <c r="AB8" i="36"/>
  <c r="J43" i="39"/>
  <c r="F43" i="39"/>
  <c r="E20" i="59"/>
  <c r="E19" i="59" s="1"/>
  <c r="U21" i="59"/>
  <c r="T21" i="59"/>
  <c r="D21" i="59"/>
  <c r="C63" i="59"/>
  <c r="D63" i="59" s="1"/>
  <c r="D64" i="59"/>
  <c r="AC30" i="37"/>
  <c r="W30" i="37"/>
  <c r="AC45" i="33"/>
  <c r="AC13" i="34"/>
  <c r="AA25" i="39"/>
  <c r="W34" i="39"/>
  <c r="M104" i="43"/>
  <c r="J107" i="43"/>
  <c r="U38" i="33"/>
  <c r="W15" i="34"/>
  <c r="W11" i="37"/>
  <c r="W24" i="35"/>
  <c r="S40" i="39"/>
  <c r="S44" i="34"/>
  <c r="S34" i="35"/>
  <c r="F12" i="39"/>
  <c r="U20" i="36"/>
  <c r="U36" i="37"/>
  <c r="U39" i="37"/>
  <c r="AC10" i="36"/>
  <c r="W10" i="36"/>
  <c r="S11" i="35"/>
  <c r="AA11" i="35"/>
  <c r="AB36" i="39"/>
  <c r="U36" i="39"/>
  <c r="W11" i="36"/>
  <c r="AC11" i="36"/>
  <c r="AB33" i="36"/>
  <c r="U33" i="36"/>
  <c r="U42" i="34"/>
  <c r="AB42" i="34"/>
  <c r="T526" i="31"/>
  <c r="S526" i="31"/>
  <c r="T522" i="31"/>
  <c r="S522" i="31"/>
  <c r="T518" i="31"/>
  <c r="S518" i="31"/>
  <c r="T502" i="31"/>
  <c r="S502" i="31"/>
  <c r="T426" i="31"/>
  <c r="S426" i="31"/>
  <c r="T418" i="31"/>
  <c r="S418" i="31"/>
  <c r="T414" i="31"/>
  <c r="S414" i="31"/>
  <c r="T402" i="31"/>
  <c r="S402" i="31"/>
  <c r="T398" i="31"/>
  <c r="S398" i="31"/>
  <c r="T386" i="31"/>
  <c r="S386" i="31"/>
  <c r="T382" i="31"/>
  <c r="S382" i="31"/>
  <c r="T370" i="31"/>
  <c r="S370" i="31"/>
  <c r="T366" i="31"/>
  <c r="S366" i="31"/>
  <c r="T354" i="31"/>
  <c r="S354" i="31"/>
  <c r="T350" i="31"/>
  <c r="S350" i="31"/>
  <c r="T338" i="31"/>
  <c r="S338" i="31"/>
  <c r="T334" i="31"/>
  <c r="S334" i="31"/>
  <c r="T314" i="31"/>
  <c r="S314" i="31"/>
  <c r="T298" i="31"/>
  <c r="S298" i="31"/>
  <c r="T282" i="31"/>
  <c r="S282" i="31"/>
  <c r="T266" i="31"/>
  <c r="S266" i="31"/>
  <c r="T122" i="31"/>
  <c r="S122" i="31"/>
  <c r="T118" i="31"/>
  <c r="S118" i="31"/>
  <c r="T98" i="31"/>
  <c r="S98" i="31"/>
  <c r="T94" i="31"/>
  <c r="S94" i="31"/>
  <c r="T90" i="31"/>
  <c r="S90" i="31"/>
  <c r="T86" i="31"/>
  <c r="S86" i="31"/>
  <c r="T82" i="31"/>
  <c r="S82" i="31"/>
  <c r="T74" i="31"/>
  <c r="S74" i="31"/>
  <c r="T70" i="31"/>
  <c r="S70" i="31"/>
  <c r="T66" i="31"/>
  <c r="S66" i="31"/>
  <c r="T62" i="31"/>
  <c r="S62" i="31"/>
  <c r="T58" i="31"/>
  <c r="S58" i="31"/>
  <c r="H108" i="43"/>
  <c r="H109" i="43" s="1"/>
  <c r="H100" i="43"/>
  <c r="AA21" i="21"/>
  <c r="S21" i="21"/>
  <c r="I17" i="47"/>
  <c r="D17" i="47"/>
  <c r="I27" i="47"/>
  <c r="D27" i="47"/>
  <c r="F26" i="47" s="1"/>
  <c r="B24" i="47" s="1"/>
  <c r="W9" i="39"/>
  <c r="AB8" i="34"/>
  <c r="F32" i="40"/>
  <c r="H43" i="39"/>
  <c r="H13" i="37"/>
  <c r="H35" i="35"/>
  <c r="F11" i="36"/>
  <c r="S13" i="33"/>
  <c r="U28" i="33"/>
  <c r="AB28" i="33"/>
  <c r="U40" i="33"/>
  <c r="F23" i="35"/>
  <c r="AA23" i="35" s="1"/>
  <c r="AB29" i="36"/>
  <c r="S38" i="39"/>
  <c r="S32" i="35"/>
  <c r="W23" i="36"/>
  <c r="H34" i="36"/>
  <c r="F34" i="36"/>
  <c r="S510" i="31"/>
  <c r="S114" i="31"/>
  <c r="S106" i="31"/>
  <c r="S34" i="31"/>
  <c r="S126" i="31"/>
  <c r="S134" i="31"/>
  <c r="S142" i="31"/>
  <c r="S150" i="31"/>
  <c r="S158" i="31"/>
  <c r="S166" i="31"/>
  <c r="S174" i="31"/>
  <c r="S182" i="31"/>
  <c r="S190" i="31"/>
  <c r="S198" i="31"/>
  <c r="S206" i="31"/>
  <c r="S214" i="31"/>
  <c r="S222" i="31"/>
  <c r="S226" i="31"/>
  <c r="S230" i="31"/>
  <c r="S234" i="31"/>
  <c r="S238" i="31"/>
  <c r="S242" i="31"/>
  <c r="S246" i="31"/>
  <c r="S250" i="31"/>
  <c r="S254" i="31"/>
  <c r="S258" i="31"/>
  <c r="S322" i="31"/>
  <c r="S8" i="35"/>
  <c r="X27" i="31"/>
  <c r="X25" i="31" s="1"/>
  <c r="C37" i="57" s="1"/>
  <c r="F125" i="57" s="1"/>
  <c r="G125" i="57" s="1"/>
  <c r="E59" i="43"/>
  <c r="B57" i="43" s="1"/>
  <c r="I20" i="58"/>
  <c r="S21" i="37"/>
  <c r="S25" i="40"/>
  <c r="AA19" i="59"/>
  <c r="C68" i="59"/>
  <c r="D68" i="59" s="1"/>
  <c r="D61" i="59"/>
  <c r="B52" i="59"/>
  <c r="B53" i="59" s="1"/>
  <c r="S53" i="59" s="1"/>
  <c r="E52" i="59"/>
  <c r="E53" i="59" s="1"/>
  <c r="U53" i="59" s="1"/>
  <c r="B60" i="59"/>
  <c r="AE10" i="43"/>
  <c r="D56" i="59"/>
  <c r="T61" i="59"/>
  <c r="C44" i="59"/>
  <c r="D44" i="59" s="1"/>
  <c r="Y20" i="59"/>
  <c r="Z20" i="59" s="1"/>
  <c r="AA10" i="43"/>
  <c r="I107" i="57"/>
  <c r="D127" i="57" s="1"/>
  <c r="D72" i="59"/>
  <c r="AB21" i="59"/>
  <c r="B40" i="59"/>
  <c r="B41" i="59" s="1"/>
  <c r="S41" i="59" s="1"/>
  <c r="B72" i="59"/>
  <c r="B71" i="59" s="1"/>
  <c r="X20" i="59"/>
  <c r="S9" i="21"/>
  <c r="W12" i="35"/>
  <c r="AC12" i="35"/>
  <c r="AC34" i="35"/>
  <c r="W34" i="35"/>
  <c r="AB30" i="35"/>
  <c r="AB19" i="37"/>
  <c r="S33" i="37"/>
  <c r="AA17" i="40"/>
  <c r="AB21" i="40"/>
  <c r="W37" i="40"/>
  <c r="U15" i="40"/>
  <c r="C7" i="43"/>
  <c r="W9" i="33"/>
  <c r="AA25" i="34"/>
  <c r="S17" i="34"/>
  <c r="E48" i="43"/>
  <c r="B46" i="43" s="1"/>
  <c r="W40" i="34"/>
  <c r="S24" i="35"/>
  <c r="S26" i="37"/>
  <c r="W29" i="21"/>
  <c r="AB24" i="35"/>
  <c r="C114" i="57"/>
  <c r="H109" i="57" s="1"/>
  <c r="W17" i="21"/>
  <c r="AC37" i="34"/>
  <c r="W36" i="33"/>
  <c r="U42" i="21"/>
  <c r="AB37" i="37"/>
  <c r="W8" i="21"/>
  <c r="B74" i="43"/>
  <c r="H9" i="35"/>
  <c r="F12" i="35"/>
  <c r="V21" i="59"/>
  <c r="F20" i="59"/>
  <c r="F19" i="59" s="1"/>
  <c r="D73" i="43"/>
  <c r="K100" i="43"/>
  <c r="C100" i="43"/>
  <c r="I10" i="58"/>
  <c r="S21" i="33"/>
  <c r="S18" i="35"/>
  <c r="W18" i="35"/>
  <c r="C67" i="59"/>
  <c r="D67" i="59" s="1"/>
  <c r="AA21" i="59"/>
  <c r="AB19" i="59"/>
  <c r="E72" i="59"/>
  <c r="E71" i="59" s="1"/>
  <c r="D69" i="59"/>
  <c r="C48" i="59"/>
  <c r="C49" i="59" s="1"/>
  <c r="D49" i="59" s="1"/>
  <c r="U65" i="59"/>
  <c r="Y21" i="59"/>
  <c r="Z21" i="59" s="1"/>
  <c r="B24" i="59"/>
  <c r="B25" i="59" s="1"/>
  <c r="S25" i="59" s="1"/>
  <c r="Y23" i="59"/>
  <c r="Z23" i="59" s="1"/>
  <c r="Y24" i="59"/>
  <c r="Z24" i="59" s="1"/>
  <c r="Y25" i="59"/>
  <c r="Z25" i="59" s="1"/>
  <c r="B28" i="59"/>
  <c r="B29" i="59" s="1"/>
  <c r="S29" i="59" s="1"/>
  <c r="Y27" i="59"/>
  <c r="Z27" i="59" s="1"/>
  <c r="Y28" i="59"/>
  <c r="Z28" i="59" s="1"/>
  <c r="Y29" i="59"/>
  <c r="Z29" i="59" s="1"/>
  <c r="B32" i="59"/>
  <c r="B33" i="59" s="1"/>
  <c r="S33" i="59" s="1"/>
  <c r="B64" i="59"/>
  <c r="B63" i="59" s="1"/>
  <c r="F72" i="59"/>
  <c r="F71" i="59" s="1"/>
  <c r="B20" i="60"/>
  <c r="AJ10" i="43"/>
  <c r="AB20" i="59"/>
  <c r="X19" i="59"/>
  <c r="Y18" i="59"/>
  <c r="Z18" i="59" s="1"/>
  <c r="AB18" i="59"/>
  <c r="AA3" i="59"/>
  <c r="H66" i="43"/>
  <c r="H60" i="43"/>
  <c r="AA26" i="33"/>
  <c r="S26" i="33"/>
  <c r="S36" i="39"/>
  <c r="AA36" i="39"/>
  <c r="AC45" i="39"/>
  <c r="U11" i="33"/>
  <c r="AB11" i="33"/>
  <c r="J26" i="33"/>
  <c r="H26" i="33"/>
  <c r="H13" i="40"/>
  <c r="J13" i="40"/>
  <c r="F13" i="40"/>
  <c r="J39" i="40"/>
  <c r="H39" i="40"/>
  <c r="F39" i="40"/>
  <c r="I14" i="62"/>
  <c r="B8" i="62" s="1"/>
  <c r="C8" i="62" s="1"/>
  <c r="S17" i="59"/>
  <c r="H87" i="43"/>
  <c r="H84" i="43"/>
  <c r="W21" i="21"/>
  <c r="AC21" i="40"/>
  <c r="AB25" i="21"/>
  <c r="AA32" i="21"/>
  <c r="W35" i="33"/>
  <c r="AB29" i="34"/>
  <c r="AA33" i="34"/>
  <c r="AB44" i="34"/>
  <c r="W41" i="34"/>
  <c r="S9" i="37"/>
  <c r="AC34" i="37"/>
  <c r="W29" i="35"/>
  <c r="U11" i="39"/>
  <c r="S11" i="39"/>
  <c r="AB37" i="39"/>
  <c r="S31" i="40"/>
  <c r="M107" i="43"/>
  <c r="E106" i="43"/>
  <c r="N105" i="43"/>
  <c r="J104" i="43"/>
  <c r="F103" i="43"/>
  <c r="H88" i="43"/>
  <c r="E105" i="43"/>
  <c r="N106" i="43"/>
  <c r="C9" i="11"/>
  <c r="C114" i="9"/>
  <c r="H112" i="9" s="1"/>
  <c r="S8" i="21"/>
  <c r="S13" i="21"/>
  <c r="AC37" i="21"/>
  <c r="AA34" i="21"/>
  <c r="S9" i="33"/>
  <c r="AB42" i="33"/>
  <c r="W39" i="33"/>
  <c r="S23" i="33"/>
  <c r="AC41" i="33"/>
  <c r="AA41" i="34"/>
  <c r="U36" i="34"/>
  <c r="AA9" i="34"/>
  <c r="S36" i="34"/>
  <c r="W35" i="34"/>
  <c r="AB10" i="37"/>
  <c r="AA11" i="37"/>
  <c r="W10" i="37"/>
  <c r="AC12" i="37"/>
  <c r="W26" i="37"/>
  <c r="S34" i="37"/>
  <c r="AB13" i="35"/>
  <c r="W35" i="35"/>
  <c r="AB16" i="36"/>
  <c r="S12" i="36"/>
  <c r="AC15" i="39"/>
  <c r="S23" i="39"/>
  <c r="AA19" i="40"/>
  <c r="W19" i="40"/>
  <c r="AC11" i="34"/>
  <c r="U9" i="34"/>
  <c r="S31" i="21"/>
  <c r="AA27" i="33"/>
  <c r="W27" i="37"/>
  <c r="S40" i="21"/>
  <c r="S17" i="37"/>
  <c r="AB34" i="21"/>
  <c r="AC27" i="21"/>
  <c r="AB24" i="36"/>
  <c r="AA19" i="39"/>
  <c r="H35" i="39"/>
  <c r="AA32" i="37"/>
  <c r="AA41" i="33"/>
  <c r="AC36" i="40"/>
  <c r="S8" i="34"/>
  <c r="W25" i="21"/>
  <c r="S28" i="34"/>
  <c r="AC30" i="34"/>
  <c r="AB30" i="34"/>
  <c r="S41" i="39"/>
  <c r="U34" i="39"/>
  <c r="S17" i="39"/>
  <c r="F15" i="47"/>
  <c r="B13" i="47" s="1"/>
  <c r="U31" i="39"/>
  <c r="AB27" i="40"/>
  <c r="AC9" i="37"/>
  <c r="AB38" i="21"/>
  <c r="AC33" i="36"/>
  <c r="H31" i="40"/>
  <c r="S23" i="37"/>
  <c r="AA23" i="37"/>
  <c r="W14" i="34"/>
  <c r="AC14" i="34"/>
  <c r="J28" i="33"/>
  <c r="AA42" i="34"/>
  <c r="AC11" i="40"/>
  <c r="U20" i="35"/>
  <c r="AB20" i="35"/>
  <c r="AB11" i="40"/>
  <c r="U11" i="40"/>
  <c r="AC38" i="21"/>
  <c r="S39" i="37"/>
  <c r="AA39" i="37"/>
  <c r="AB41" i="21"/>
  <c r="AC10" i="33"/>
  <c r="W10" i="33"/>
  <c r="AB39" i="34"/>
  <c r="U39" i="34"/>
  <c r="U12" i="33"/>
  <c r="AB12" i="33"/>
  <c r="H14" i="33"/>
  <c r="U14" i="33" s="1"/>
  <c r="J14" i="33"/>
  <c r="H44" i="33"/>
  <c r="F44" i="33"/>
  <c r="H13" i="34"/>
  <c r="F13" i="34"/>
  <c r="J31" i="34"/>
  <c r="F31" i="34"/>
  <c r="H47" i="34"/>
  <c r="J47" i="34"/>
  <c r="J25" i="35"/>
  <c r="H25" i="35"/>
  <c r="H14" i="37"/>
  <c r="F14" i="37"/>
  <c r="J14" i="37"/>
  <c r="C110" i="57"/>
  <c r="H104" i="57" s="1"/>
  <c r="AB23" i="37"/>
  <c r="U23" i="37"/>
  <c r="AA47" i="34"/>
  <c r="S47" i="34"/>
  <c r="U10" i="33"/>
  <c r="AB10" i="33"/>
  <c r="U39" i="39"/>
  <c r="AB39" i="39"/>
  <c r="F12" i="21"/>
  <c r="H12" i="21"/>
  <c r="J14" i="21"/>
  <c r="F14" i="21"/>
  <c r="H14" i="21"/>
  <c r="H28" i="21"/>
  <c r="F28" i="21"/>
  <c r="J28" i="21"/>
  <c r="H30" i="21"/>
  <c r="F30" i="21"/>
  <c r="J30" i="21"/>
  <c r="J44" i="21"/>
  <c r="H44" i="21"/>
  <c r="F44" i="21"/>
  <c r="H46" i="21"/>
  <c r="J46" i="21"/>
  <c r="F46" i="21"/>
  <c r="B71" i="43"/>
  <c r="C21" i="39"/>
  <c r="AB8" i="33"/>
  <c r="U8" i="33"/>
  <c r="AB34" i="37"/>
  <c r="U34" i="37"/>
  <c r="AA31" i="35"/>
  <c r="S31" i="35"/>
  <c r="C16" i="59"/>
  <c r="T17" i="59"/>
  <c r="D17" i="59"/>
  <c r="C45" i="59"/>
  <c r="C20" i="59"/>
  <c r="AA20" i="59"/>
  <c r="C80" i="59"/>
  <c r="E68" i="59"/>
  <c r="E67" i="59" s="1"/>
  <c r="Q61" i="59"/>
  <c r="C60" i="59"/>
  <c r="Q60" i="59"/>
  <c r="C52" i="59"/>
  <c r="Y22" i="59"/>
  <c r="Z22" i="59" s="1"/>
  <c r="AA22" i="59"/>
  <c r="X23" i="59"/>
  <c r="AA23" i="59"/>
  <c r="X24" i="59"/>
  <c r="AA24" i="59"/>
  <c r="AA25" i="59"/>
  <c r="Y26" i="59"/>
  <c r="Z26" i="59" s="1"/>
  <c r="AA26" i="59"/>
  <c r="X27" i="59"/>
  <c r="AA27" i="59"/>
  <c r="X28" i="59"/>
  <c r="AA28" i="59"/>
  <c r="AA29" i="59"/>
  <c r="Y30" i="59"/>
  <c r="Z30" i="59" s="1"/>
  <c r="AA30" i="59"/>
  <c r="X31" i="59"/>
  <c r="AA31" i="59"/>
  <c r="E60" i="59"/>
  <c r="F64" i="59"/>
  <c r="F63" i="59" s="1"/>
  <c r="AF10" i="43"/>
  <c r="L100" i="43"/>
  <c r="D100" i="43"/>
  <c r="I15" i="58"/>
  <c r="S21" i="34"/>
  <c r="AB15" i="59"/>
  <c r="M19" i="43"/>
  <c r="P72" i="15"/>
  <c r="M60" i="15"/>
  <c r="C14" i="15"/>
  <c r="F18" i="1"/>
  <c r="C11" i="12" s="1"/>
  <c r="C12" i="12" s="1"/>
  <c r="F50" i="11"/>
  <c r="D20" i="1"/>
  <c r="D22" i="15"/>
  <c r="H70" i="43"/>
  <c r="G70" i="43" s="1"/>
  <c r="H75" i="43"/>
  <c r="G75" i="43" s="1"/>
  <c r="H73" i="43"/>
  <c r="G73" i="43" s="1"/>
  <c r="H76" i="43"/>
  <c r="G76" i="43" s="1"/>
  <c r="H78" i="43"/>
  <c r="G78" i="43" s="1"/>
  <c r="G26" i="47"/>
  <c r="C18" i="50"/>
  <c r="H51" i="43"/>
  <c r="H86" i="43"/>
  <c r="H81" i="43"/>
  <c r="B12" i="59"/>
  <c r="B11" i="59" s="1"/>
  <c r="B10" i="59" s="1"/>
  <c r="B9" i="59" s="1"/>
  <c r="S13" i="59"/>
  <c r="W21" i="34"/>
  <c r="H54" i="43"/>
  <c r="AC30" i="35"/>
  <c r="D131" i="57"/>
  <c r="H83" i="43"/>
  <c r="H82" i="43"/>
  <c r="U23" i="39"/>
  <c r="AA15" i="39"/>
  <c r="AB25" i="39"/>
  <c r="AA30" i="33"/>
  <c r="S28" i="37"/>
  <c r="U31" i="33"/>
  <c r="U32" i="36"/>
  <c r="AC13" i="36"/>
  <c r="AC32" i="34"/>
  <c r="W30" i="33"/>
  <c r="W28" i="37"/>
  <c r="AB14" i="33"/>
  <c r="W13" i="35"/>
  <c r="AC27" i="40"/>
  <c r="I21" i="58"/>
  <c r="F9" i="36"/>
  <c r="J9" i="36"/>
  <c r="D4" i="47"/>
  <c r="F4" i="47" s="1"/>
  <c r="B2" i="47" s="1"/>
  <c r="D57" i="59"/>
  <c r="T57"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F68" i="39" s="1"/>
  <c r="C21" i="50"/>
  <c r="M17" i="15"/>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T28" i="31"/>
  <c r="T25" i="31" s="1"/>
  <c r="C116" i="57"/>
  <c r="H112" i="57" s="1"/>
  <c r="C17" i="12"/>
  <c r="B36" i="50"/>
  <c r="B56" i="60"/>
  <c r="M65" i="9"/>
  <c r="N65" i="9" s="1"/>
  <c r="H53" i="43"/>
  <c r="N60" i="15"/>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C32" i="15"/>
  <c r="J18" i="15"/>
  <c r="F31" i="15"/>
  <c r="H48" i="43"/>
  <c r="H49" i="43"/>
  <c r="H55" i="43"/>
  <c r="J7" i="33"/>
  <c r="W7" i="33" s="1"/>
  <c r="B13" i="1"/>
  <c r="I48" i="35"/>
  <c r="J48" i="35" s="1"/>
  <c r="K48" i="35" s="1"/>
  <c r="L48" i="35" s="1"/>
  <c r="M48" i="35" s="1"/>
  <c r="N48" i="35" s="1"/>
  <c r="O48" i="35" s="1"/>
  <c r="F7" i="35"/>
  <c r="D59" i="34"/>
  <c r="D46" i="36"/>
  <c r="G115" i="43"/>
  <c r="H115" i="43" s="1"/>
  <c r="E58" i="21"/>
  <c r="H72" i="43"/>
  <c r="G72" i="43" s="1"/>
  <c r="H74" i="43"/>
  <c r="G74" i="43" s="1"/>
  <c r="H77" i="43"/>
  <c r="G77" i="43" s="1"/>
  <c r="F102" i="43"/>
  <c r="F107" i="43"/>
  <c r="J103" i="43"/>
  <c r="J109" i="43"/>
  <c r="M103" i="43"/>
  <c r="M105" i="43"/>
  <c r="E22" i="43"/>
  <c r="H22" i="43"/>
  <c r="B39" i="50"/>
  <c r="B57" i="60"/>
  <c r="H7" i="33"/>
  <c r="H7" i="35"/>
  <c r="F7" i="33"/>
  <c r="C15" i="15"/>
  <c r="J105" i="43"/>
  <c r="I107" i="43"/>
  <c r="H71" i="43"/>
  <c r="G71" i="43" s="1"/>
  <c r="I104" i="43"/>
  <c r="E103" i="43"/>
  <c r="D107" i="43"/>
  <c r="D109" i="43"/>
  <c r="D104" i="43"/>
  <c r="D106"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14" i="50"/>
  <c r="B5" i="48"/>
  <c r="F7" i="48"/>
  <c r="H7" i="48" s="1"/>
  <c r="F11" i="48"/>
  <c r="H11" i="48" s="1"/>
  <c r="B12" i="48"/>
  <c r="D12" i="48" s="1"/>
  <c r="X9" i="59"/>
  <c r="Y9" i="59"/>
  <c r="Z9"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M77" i="43" l="1"/>
  <c r="N77" i="43" s="1"/>
  <c r="K77" i="43"/>
  <c r="J77" i="43" s="1"/>
  <c r="D77" i="43" s="1"/>
  <c r="M73" i="43"/>
  <c r="N73" i="43" s="1"/>
  <c r="K73" i="43"/>
  <c r="J73" i="43" s="1"/>
  <c r="AC25" i="37"/>
  <c r="W25" i="37"/>
  <c r="U29" i="21"/>
  <c r="AB29" i="21"/>
  <c r="AB9" i="37"/>
  <c r="U9" i="37"/>
  <c r="S12" i="34"/>
  <c r="AA12" i="34"/>
  <c r="U40" i="37"/>
  <c r="AB40" i="37"/>
  <c r="M74" i="43"/>
  <c r="N74" i="43" s="1"/>
  <c r="K74" i="43"/>
  <c r="J74" i="43" s="1"/>
  <c r="D74" i="43" s="1"/>
  <c r="M75" i="43"/>
  <c r="N75" i="43" s="1"/>
  <c r="K75" i="43"/>
  <c r="J75" i="43" s="1"/>
  <c r="D75" i="43" s="1"/>
  <c r="D48" i="59"/>
  <c r="AB44" i="39"/>
  <c r="U44" i="39"/>
  <c r="U12" i="37"/>
  <c r="AB12" i="37"/>
  <c r="W12" i="34"/>
  <c r="AC12" i="34"/>
  <c r="AB13" i="33"/>
  <c r="U13" i="33"/>
  <c r="AA26" i="35"/>
  <c r="S26" i="35"/>
  <c r="M72" i="43"/>
  <c r="N72" i="43" s="1"/>
  <c r="K72" i="43"/>
  <c r="J72" i="43" s="1"/>
  <c r="D72" i="43" s="1"/>
  <c r="M78" i="43"/>
  <c r="N78" i="43" s="1"/>
  <c r="K78" i="43"/>
  <c r="M70" i="43"/>
  <c r="N70" i="43" s="1"/>
  <c r="K70" i="43"/>
  <c r="J70" i="43" s="1"/>
  <c r="D70" i="43" s="1"/>
  <c r="C8" i="11"/>
  <c r="E13" i="1"/>
  <c r="C18" i="12" s="1"/>
  <c r="AA39" i="21"/>
  <c r="AA27" i="40"/>
  <c r="AA25" i="37"/>
  <c r="S25" i="37"/>
  <c r="S25" i="36"/>
  <c r="AA25" i="36"/>
  <c r="S30" i="34"/>
  <c r="AA30" i="34"/>
  <c r="AA40" i="37"/>
  <c r="S40" i="37"/>
  <c r="M71" i="43"/>
  <c r="N71" i="43" s="1"/>
  <c r="K71" i="43"/>
  <c r="J71" i="43" s="1"/>
  <c r="D71" i="43" s="1"/>
  <c r="M76" i="43"/>
  <c r="N76" i="43" s="1"/>
  <c r="K76" i="43"/>
  <c r="E12" i="59"/>
  <c r="E11" i="59" s="1"/>
  <c r="E10" i="59" s="1"/>
  <c r="E9" i="59" s="1"/>
  <c r="U13" i="59"/>
  <c r="AC12" i="40"/>
  <c r="W12" i="40"/>
  <c r="AB27" i="33"/>
  <c r="U27" i="33"/>
  <c r="W31" i="33"/>
  <c r="AC31" i="33"/>
  <c r="W42" i="21"/>
  <c r="S42" i="21"/>
  <c r="U43" i="21"/>
  <c r="AA35" i="35"/>
  <c r="S35" i="35"/>
  <c r="S25" i="31"/>
  <c r="S27" i="37"/>
  <c r="U23" i="36"/>
  <c r="AB23" i="36"/>
  <c r="AB38" i="37"/>
  <c r="U38" i="37"/>
  <c r="AA33" i="40"/>
  <c r="S33" i="40"/>
  <c r="AC33" i="40"/>
  <c r="W33" i="40"/>
  <c r="D123" i="9"/>
  <c r="D31" i="50"/>
  <c r="D32" i="50" s="1"/>
  <c r="D10" i="50"/>
  <c r="U12" i="34"/>
  <c r="AB12" i="34"/>
  <c r="S28" i="33"/>
  <c r="AA28" i="33"/>
  <c r="T49" i="59"/>
  <c r="S23" i="36"/>
  <c r="S10" i="21"/>
  <c r="AA11" i="21"/>
  <c r="AA38" i="21"/>
  <c r="AA43" i="21"/>
  <c r="U12" i="39"/>
  <c r="AB12" i="39"/>
  <c r="AB14" i="40"/>
  <c r="U14" i="40"/>
  <c r="S13" i="37"/>
  <c r="AA13" i="37"/>
  <c r="S14" i="40"/>
  <c r="AA14" i="40"/>
  <c r="S38" i="37"/>
  <c r="AA38" i="37"/>
  <c r="P25" i="43"/>
  <c r="AA26" i="21"/>
  <c r="D76" i="59"/>
  <c r="C75" i="59"/>
  <c r="D75" i="59" s="1"/>
  <c r="U28" i="34"/>
  <c r="AB28" i="34"/>
  <c r="U45" i="21"/>
  <c r="AB26" i="21"/>
  <c r="U26" i="21"/>
  <c r="W26" i="21"/>
  <c r="AC26" i="21"/>
  <c r="AC31" i="21"/>
  <c r="W31" i="21"/>
  <c r="U11" i="21"/>
  <c r="AB11" i="21"/>
  <c r="J7" i="37"/>
  <c r="Q59" i="15"/>
  <c r="G68" i="39"/>
  <c r="F70" i="39"/>
  <c r="U43" i="39"/>
  <c r="AB43" i="39"/>
  <c r="F7" i="37"/>
  <c r="S7" i="37" s="1"/>
  <c r="C48" i="11"/>
  <c r="S46" i="33"/>
  <c r="AA11" i="36"/>
  <c r="S11" i="36"/>
  <c r="S32" i="40"/>
  <c r="AA32" i="40"/>
  <c r="S12" i="39"/>
  <c r="AA12" i="39"/>
  <c r="AB9" i="21"/>
  <c r="U9" i="21"/>
  <c r="AB14" i="39"/>
  <c r="U14" i="39"/>
  <c r="AC29" i="34"/>
  <c r="W29" i="34"/>
  <c r="AB30" i="33"/>
  <c r="U30" i="33"/>
  <c r="U23" i="35"/>
  <c r="AB23" i="35"/>
  <c r="U45" i="39"/>
  <c r="AB45" i="39"/>
  <c r="W45" i="34"/>
  <c r="AC45" i="34"/>
  <c r="F126" i="57"/>
  <c r="N60" i="59"/>
  <c r="B59" i="59"/>
  <c r="AA34" i="36"/>
  <c r="S34" i="36"/>
  <c r="AB35" i="35"/>
  <c r="U35" i="35"/>
  <c r="W9" i="21"/>
  <c r="AC9" i="21"/>
  <c r="S45" i="39"/>
  <c r="AA45" i="39"/>
  <c r="AA14" i="39"/>
  <c r="S14" i="39"/>
  <c r="S29" i="34"/>
  <c r="AA29" i="34"/>
  <c r="AA9" i="35"/>
  <c r="S9" i="35"/>
  <c r="AC43" i="39"/>
  <c r="W43" i="39"/>
  <c r="U13" i="21"/>
  <c r="AB13" i="21"/>
  <c r="AA12" i="33"/>
  <c r="S23" i="35"/>
  <c r="U34" i="36"/>
  <c r="AB34" i="36"/>
  <c r="U13" i="37"/>
  <c r="AB13" i="37"/>
  <c r="AA43" i="39"/>
  <c r="S43" i="39"/>
  <c r="AC23" i="35"/>
  <c r="W23" i="35"/>
  <c r="U45" i="34"/>
  <c r="AB45" i="34"/>
  <c r="W46" i="33"/>
  <c r="AC46" i="33"/>
  <c r="AC9" i="35"/>
  <c r="W9" i="35"/>
  <c r="AA45" i="21"/>
  <c r="S45" i="21"/>
  <c r="AB9" i="35"/>
  <c r="U9" i="35"/>
  <c r="J7" i="35"/>
  <c r="AC7" i="35" s="1"/>
  <c r="V38" i="35" s="1"/>
  <c r="I38" i="35" s="1"/>
  <c r="H7" i="37"/>
  <c r="AB7" i="37" s="1"/>
  <c r="T42" i="37" s="1"/>
  <c r="G42" i="37" s="1"/>
  <c r="G46" i="37" s="1"/>
  <c r="H46" i="37" s="1"/>
  <c r="S12" i="35"/>
  <c r="AA12" i="35"/>
  <c r="H14" i="62"/>
  <c r="B7" i="62" s="1"/>
  <c r="D1" i="58"/>
  <c r="E10" i="58" s="1"/>
  <c r="D52" i="59"/>
  <c r="C53" i="59"/>
  <c r="O60" i="59"/>
  <c r="C59" i="59"/>
  <c r="D60" i="59"/>
  <c r="T45" i="59"/>
  <c r="D45" i="59"/>
  <c r="C15" i="59"/>
  <c r="D16" i="59"/>
  <c r="W46" i="21"/>
  <c r="AC46" i="21"/>
  <c r="AA44" i="21"/>
  <c r="S44" i="21"/>
  <c r="AC44" i="21"/>
  <c r="W44" i="21"/>
  <c r="S30" i="21"/>
  <c r="AA30" i="21"/>
  <c r="W28" i="21"/>
  <c r="AC28" i="21"/>
  <c r="AB28" i="21"/>
  <c r="U28" i="21"/>
  <c r="S14" i="21"/>
  <c r="AA14" i="21"/>
  <c r="AB12" i="21"/>
  <c r="U12" i="21"/>
  <c r="S14" i="37"/>
  <c r="AA14" i="37"/>
  <c r="AB25" i="35"/>
  <c r="U25" i="35"/>
  <c r="AC47" i="34"/>
  <c r="W47" i="34"/>
  <c r="S31" i="34"/>
  <c r="AA31" i="34"/>
  <c r="AA13" i="34"/>
  <c r="S13" i="34"/>
  <c r="S44" i="33"/>
  <c r="AA44" i="33"/>
  <c r="AC14" i="33"/>
  <c r="W14" i="33"/>
  <c r="U31" i="40"/>
  <c r="AB31" i="40"/>
  <c r="U35" i="39"/>
  <c r="AB35" i="39"/>
  <c r="AA39" i="40"/>
  <c r="S39" i="40"/>
  <c r="AC39" i="40"/>
  <c r="W39" i="40"/>
  <c r="W13" i="40"/>
  <c r="AC13" i="40"/>
  <c r="U26" i="33"/>
  <c r="AB26" i="33"/>
  <c r="P60" i="59"/>
  <c r="E59" i="59"/>
  <c r="D80" i="59"/>
  <c r="C79" i="59"/>
  <c r="D79" i="59" s="1"/>
  <c r="D20" i="59"/>
  <c r="C19" i="59"/>
  <c r="D19" i="59" s="1"/>
  <c r="S46" i="21"/>
  <c r="AA46" i="21"/>
  <c r="AB46" i="21"/>
  <c r="U46" i="21"/>
  <c r="U44" i="21"/>
  <c r="AB44" i="21"/>
  <c r="W30" i="21"/>
  <c r="AC30" i="21"/>
  <c r="AB30" i="21"/>
  <c r="U30" i="21"/>
  <c r="AA28" i="21"/>
  <c r="S28" i="21"/>
  <c r="U14" i="21"/>
  <c r="AB14" i="21"/>
  <c r="W14" i="21"/>
  <c r="AC14" i="21"/>
  <c r="AA12" i="21"/>
  <c r="S12" i="21"/>
  <c r="AC14" i="37"/>
  <c r="W14" i="37"/>
  <c r="AB14" i="37"/>
  <c r="U14" i="37"/>
  <c r="W25" i="35"/>
  <c r="AC25" i="35"/>
  <c r="U47" i="34"/>
  <c r="AB47" i="34"/>
  <c r="AC31" i="34"/>
  <c r="W31" i="34"/>
  <c r="U13" i="34"/>
  <c r="AB13" i="34"/>
  <c r="AB44" i="33"/>
  <c r="U44" i="33"/>
  <c r="AC28" i="33"/>
  <c r="W28" i="33"/>
  <c r="U39" i="40"/>
  <c r="AB39" i="40"/>
  <c r="AA13" i="40"/>
  <c r="S13" i="40"/>
  <c r="U13" i="40"/>
  <c r="AB13" i="40"/>
  <c r="AC26" i="33"/>
  <c r="W26" i="33"/>
  <c r="C30" i="11"/>
  <c r="C33" i="11"/>
  <c r="C39" i="11" s="1"/>
  <c r="C46" i="11" s="1"/>
  <c r="C45" i="11" s="1"/>
  <c r="C18" i="15"/>
  <c r="C16" i="15"/>
  <c r="C15" i="12"/>
  <c r="C13" i="12"/>
  <c r="D5" i="43"/>
  <c r="C106" i="57"/>
  <c r="S7" i="43"/>
  <c r="D22" i="43"/>
  <c r="C21" i="43"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W7" i="35"/>
  <c r="D22" i="50"/>
  <c r="B35" i="60" s="1"/>
  <c r="B33" i="60"/>
  <c r="C19" i="43"/>
  <c r="P24" i="43"/>
  <c r="B66" i="40" s="1"/>
  <c r="P21" i="43"/>
  <c r="B71" i="39" s="1"/>
  <c r="P23" i="43"/>
  <c r="P22" i="43"/>
  <c r="E27" i="1"/>
  <c r="P28" i="43"/>
  <c r="N28" i="43"/>
  <c r="M28" i="43"/>
  <c r="O28" i="43"/>
  <c r="G20" i="43" s="1"/>
  <c r="E41" i="43" s="1"/>
  <c r="C41" i="43" s="1"/>
  <c r="F11" i="15"/>
  <c r="M11" i="15"/>
  <c r="J10" i="15" s="1"/>
  <c r="J5" i="15" s="1"/>
  <c r="E8" i="59" l="1"/>
  <c r="E7" i="59" s="1"/>
  <c r="E6" i="59" s="1"/>
  <c r="E5" i="59" s="1"/>
  <c r="U5" i="59" s="1"/>
  <c r="U9" i="59"/>
  <c r="J76" i="43"/>
  <c r="D76" i="43"/>
  <c r="E70" i="43" s="1"/>
  <c r="B68" i="43" s="1"/>
  <c r="C24" i="43" s="1"/>
  <c r="C38" i="43" s="1"/>
  <c r="J7" i="36"/>
  <c r="J78" i="43"/>
  <c r="D78" i="43"/>
  <c r="D11" i="50"/>
  <c r="B25" i="60" s="1"/>
  <c r="B23" i="60"/>
  <c r="D6" i="52"/>
  <c r="L106" i="9"/>
  <c r="E42" i="37"/>
  <c r="E47" i="37" s="1"/>
  <c r="F47" i="37" s="1"/>
  <c r="U7" i="37"/>
  <c r="N59" i="59"/>
  <c r="N58" i="59"/>
  <c r="G70" i="39"/>
  <c r="H68" i="39"/>
  <c r="P58" i="59"/>
  <c r="P59" i="59"/>
  <c r="D15" i="59"/>
  <c r="C14" i="59"/>
  <c r="D59" i="59"/>
  <c r="O58" i="59"/>
  <c r="O59" i="59"/>
  <c r="T53" i="59"/>
  <c r="D53" i="59"/>
  <c r="C19" i="15"/>
  <c r="C20" i="15" s="1"/>
  <c r="C26" i="15" s="1"/>
  <c r="C16" i="12"/>
  <c r="C21" i="12" s="1"/>
  <c r="C20" i="43"/>
  <c r="B4" i="55"/>
  <c r="B53" i="60" s="1"/>
  <c r="B18" i="49"/>
  <c r="B4" i="60" s="1"/>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G47" i="37"/>
  <c r="H47" i="37" s="1"/>
  <c r="C39" i="43"/>
  <c r="G39" i="43" s="1"/>
  <c r="I39" i="43" s="1"/>
  <c r="C10" i="15"/>
  <c r="C5" i="15" s="1"/>
  <c r="C54" i="15"/>
  <c r="C49" i="15" s="1"/>
  <c r="J24" i="15"/>
  <c r="J26" i="15"/>
  <c r="F22" i="11"/>
  <c r="F41" i="11" s="1"/>
  <c r="F24" i="15"/>
  <c r="F25" i="12"/>
  <c r="E46" i="37" l="1"/>
  <c r="F46" i="37" s="1"/>
  <c r="C29" i="43"/>
  <c r="C30" i="43" s="1"/>
  <c r="E30" i="43" s="1"/>
  <c r="I47" i="37"/>
  <c r="J47" i="37" s="1"/>
  <c r="T13" i="43"/>
  <c r="V13" i="43" s="1"/>
  <c r="I68" i="39"/>
  <c r="H70" i="39"/>
  <c r="T4" i="43"/>
  <c r="V4" i="43" s="1"/>
  <c r="C13" i="59"/>
  <c r="D14" i="59"/>
  <c r="C22" i="12"/>
  <c r="C30" i="12" s="1"/>
  <c r="C28" i="12" s="1"/>
  <c r="T14" i="43"/>
  <c r="V14" i="43" s="1"/>
  <c r="T9" i="43"/>
  <c r="V9" i="43" s="1"/>
  <c r="T3" i="43"/>
  <c r="V3" i="43" s="1"/>
  <c r="C37" i="43"/>
  <c r="E37" i="43" s="1"/>
  <c r="C35" i="43"/>
  <c r="E35" i="43" s="1"/>
  <c r="C36" i="43"/>
  <c r="E36" i="43" s="1"/>
  <c r="T6" i="43"/>
  <c r="V6" i="43" s="1"/>
  <c r="C33" i="43"/>
  <c r="G33" i="43" s="1"/>
  <c r="I33" i="43" s="1"/>
  <c r="T5" i="43"/>
  <c r="V5" i="43" s="1"/>
  <c r="T12" i="43"/>
  <c r="V12" i="43" s="1"/>
  <c r="T8" i="43"/>
  <c r="V8" i="43" s="1"/>
  <c r="T11" i="43"/>
  <c r="V11" i="43" s="1"/>
  <c r="T16" i="43"/>
  <c r="V16" i="43" s="1"/>
  <c r="T7" i="43"/>
  <c r="V7" i="43" s="1"/>
  <c r="C34" i="43"/>
  <c r="E34" i="43" s="1"/>
  <c r="T10" i="43"/>
  <c r="V10" i="43" s="1"/>
  <c r="T15" i="43"/>
  <c r="V15" i="43" s="1"/>
  <c r="T2" i="43"/>
  <c r="V2" i="43" s="1"/>
  <c r="E29" i="43"/>
  <c r="D33" i="59"/>
  <c r="T33" i="59"/>
  <c r="D29" i="59"/>
  <c r="T29" i="59"/>
  <c r="D25" i="59"/>
  <c r="T2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E33" i="43" l="1"/>
  <c r="C26" i="43" s="1"/>
  <c r="B2" i="43" s="1"/>
  <c r="G34" i="43"/>
  <c r="I34" i="43" s="1"/>
  <c r="G35" i="43"/>
  <c r="I35" i="43" s="1"/>
  <c r="G37" i="43"/>
  <c r="I37" i="43" s="1"/>
  <c r="I70" i="39"/>
  <c r="J68" i="39"/>
  <c r="T13" i="59"/>
  <c r="C12" i="59"/>
  <c r="D13" i="59"/>
  <c r="G36" i="43"/>
  <c r="I36" i="43" s="1"/>
  <c r="C27" i="12"/>
  <c r="C25" i="12" s="1"/>
  <c r="C32" i="12" s="1"/>
  <c r="I112" i="57"/>
  <c r="D129" i="57" s="1"/>
  <c r="D47" i="57"/>
  <c r="N50" i="57"/>
  <c r="D116" i="57"/>
  <c r="D117" i="57" s="1"/>
  <c r="I113" i="57" s="1"/>
  <c r="D130" i="57" s="1"/>
  <c r="D121" i="57"/>
  <c r="I117" i="57" s="1"/>
  <c r="G65" i="40"/>
  <c r="H63" i="40"/>
  <c r="J29" i="15"/>
  <c r="B3" i="35"/>
  <c r="B2" i="35"/>
  <c r="H59" i="34"/>
  <c r="R37" i="36"/>
  <c r="E36" i="36"/>
  <c r="I58" i="21"/>
  <c r="C41" i="11"/>
  <c r="C49" i="11" s="1"/>
  <c r="C51" i="11" s="1"/>
  <c r="C29" i="15"/>
  <c r="J14" i="15" s="1"/>
  <c r="C27" i="43" l="1"/>
  <c r="J70" i="39"/>
  <c r="K68" i="39"/>
  <c r="D12" i="59"/>
  <c r="C11" i="59"/>
  <c r="B3" i="43"/>
  <c r="C6" i="11"/>
  <c r="C7" i="11" s="1"/>
  <c r="C5" i="11" s="1"/>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36" i="15"/>
  <c r="J13" i="15"/>
  <c r="J23" i="15" s="1"/>
  <c r="J22" i="15"/>
  <c r="B2" i="12"/>
  <c r="B3" i="12"/>
  <c r="C97" i="57" l="1"/>
  <c r="H7" i="21"/>
  <c r="U7" i="21" s="1"/>
  <c r="F7" i="21"/>
  <c r="S7" i="21" s="1"/>
  <c r="K70" i="39"/>
  <c r="L68" i="39"/>
  <c r="C10" i="59"/>
  <c r="D11" i="59"/>
  <c r="C20" i="11"/>
  <c r="C23" i="11"/>
  <c r="C82" i="57"/>
  <c r="E82" i="57" s="1"/>
  <c r="E83" i="57" s="1"/>
  <c r="C83" i="57"/>
  <c r="C98" i="57"/>
  <c r="E98" i="57" s="1"/>
  <c r="E99" i="57" s="1"/>
  <c r="C99" i="57"/>
  <c r="D60" i="57" s="1"/>
  <c r="D58" i="57" s="1"/>
  <c r="N56" i="57" s="1"/>
  <c r="O59" i="57" s="1"/>
  <c r="J63" i="40"/>
  <c r="I65" i="40"/>
  <c r="AB7" i="21"/>
  <c r="T48" i="21" s="1"/>
  <c r="G48" i="21" s="1"/>
  <c r="AC7" i="21"/>
  <c r="V48" i="21" s="1"/>
  <c r="I48" i="21" s="1"/>
  <c r="W7" i="21"/>
  <c r="J59" i="34"/>
  <c r="AA7" i="21"/>
  <c r="R48" i="21" s="1"/>
  <c r="Q46" i="15"/>
  <c r="C62" i="15"/>
  <c r="C60" i="15" s="1"/>
  <c r="C57" i="15"/>
  <c r="C66" i="15" s="1"/>
  <c r="C37" i="15"/>
  <c r="C30" i="15" s="1"/>
  <c r="C39" i="15" s="1"/>
  <c r="Q68" i="15"/>
  <c r="J16" i="15"/>
  <c r="J25" i="15" s="1"/>
  <c r="L70" i="39" l="1"/>
  <c r="M68" i="39"/>
  <c r="C9" i="59"/>
  <c r="D10" i="59"/>
  <c r="C28" i="11"/>
  <c r="C27" i="11" s="1"/>
  <c r="C25" i="11"/>
  <c r="C22" i="11" s="1"/>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M70" i="39" l="1"/>
  <c r="N68" i="39"/>
  <c r="T9" i="59"/>
  <c r="C8" i="59"/>
  <c r="D9" i="59"/>
  <c r="C31" i="11"/>
  <c r="C52" i="11" s="1"/>
  <c r="B2" i="11" s="1"/>
  <c r="O63" i="57"/>
  <c r="O62" i="57"/>
  <c r="L63" i="40"/>
  <c r="K65" i="40"/>
  <c r="E52" i="21"/>
  <c r="F52" i="21" s="1"/>
  <c r="E53" i="21"/>
  <c r="F53" i="21" s="1"/>
  <c r="C48" i="21"/>
  <c r="C49" i="21"/>
  <c r="B2" i="21" s="1"/>
  <c r="B3" i="21" s="1"/>
  <c r="L59" i="34"/>
  <c r="C47" i="15"/>
  <c r="J41" i="15"/>
  <c r="J42" i="15" s="1"/>
  <c r="Q54" i="15"/>
  <c r="B3" i="15"/>
  <c r="B2" i="15"/>
  <c r="C43" i="15"/>
  <c r="Q65" i="15"/>
  <c r="Q45" i="15"/>
  <c r="Q51" i="15" s="1"/>
  <c r="Q63" i="15"/>
  <c r="D19" i="9"/>
  <c r="C20" i="9"/>
  <c r="C19" i="9"/>
  <c r="D35" i="9" l="1"/>
  <c r="D34" i="9" s="1"/>
  <c r="O68" i="39"/>
  <c r="O70" i="39" s="1"/>
  <c r="N70" i="39"/>
  <c r="C7" i="59"/>
  <c r="D8" i="59"/>
  <c r="D101" i="9"/>
  <c r="C102" i="9"/>
  <c r="D22" i="9"/>
  <c r="G19" i="9"/>
  <c r="C101" i="9"/>
  <c r="B3" i="11"/>
  <c r="C56" i="11"/>
  <c r="C57" i="11" s="1"/>
  <c r="L65" i="40"/>
  <c r="M63" i="40"/>
  <c r="M59" i="34"/>
  <c r="N59" i="34" s="1"/>
  <c r="O59" i="34" s="1"/>
  <c r="H7" i="34" s="1"/>
  <c r="F7" i="34"/>
  <c r="L58" i="15"/>
  <c r="L61" i="15" s="1"/>
  <c r="Q64" i="15" s="1"/>
  <c r="Q73" i="15" s="1"/>
  <c r="D20" i="9"/>
  <c r="F7" i="39" l="1"/>
  <c r="H7" i="39"/>
  <c r="J7" i="39"/>
  <c r="D7" i="59"/>
  <c r="C6" i="59"/>
  <c r="D102" i="9"/>
  <c r="G20" i="9"/>
  <c r="G23" i="9" s="1"/>
  <c r="J7" i="34"/>
  <c r="W7" i="34" s="1"/>
  <c r="M65" i="40"/>
  <c r="N63" i="40"/>
  <c r="AA7" i="34"/>
  <c r="R49" i="34" s="1"/>
  <c r="S7" i="34"/>
  <c r="AB7" i="34"/>
  <c r="T49" i="34" s="1"/>
  <c r="G49" i="34" s="1"/>
  <c r="U7" i="34"/>
  <c r="Q55" i="15"/>
  <c r="Q60" i="15" s="1"/>
  <c r="D55" i="9"/>
  <c r="N53" i="9" s="1"/>
  <c r="D56" i="9"/>
  <c r="N54" i="9" s="1"/>
  <c r="D59" i="9"/>
  <c r="N55" i="9" s="1"/>
  <c r="AC7" i="39" l="1"/>
  <c r="V47" i="39" s="1"/>
  <c r="I47" i="39" s="1"/>
  <c r="I51" i="39" s="1"/>
  <c r="J51" i="39" s="1"/>
  <c r="W7" i="39"/>
  <c r="U7" i="39"/>
  <c r="AB7" i="39"/>
  <c r="T47" i="39" s="1"/>
  <c r="G47" i="39" s="1"/>
  <c r="G51" i="39" s="1"/>
  <c r="H51" i="39" s="1"/>
  <c r="AA7" i="39"/>
  <c r="R47" i="39" s="1"/>
  <c r="S7" i="39"/>
  <c r="D6" i="59"/>
  <c r="C5" i="59"/>
  <c r="C32" i="9"/>
  <c r="C35" i="9" s="1"/>
  <c r="C34" i="9" s="1"/>
  <c r="AC7" i="34"/>
  <c r="V49" i="34" s="1"/>
  <c r="I49" i="34" s="1"/>
  <c r="G54" i="34" s="1"/>
  <c r="H54" i="34" s="1"/>
  <c r="E49" i="34"/>
  <c r="E53" i="34" s="1"/>
  <c r="F53" i="34" s="1"/>
  <c r="R50" i="34"/>
  <c r="O63" i="40"/>
  <c r="O65" i="40" s="1"/>
  <c r="N65" i="40"/>
  <c r="G53" i="34"/>
  <c r="H53" i="34" s="1"/>
  <c r="I53" i="34"/>
  <c r="J53" i="34" s="1"/>
  <c r="E54" i="34"/>
  <c r="F54" i="34" s="1"/>
  <c r="G52" i="39" l="1"/>
  <c r="H52" i="39" s="1"/>
  <c r="R48" i="39"/>
  <c r="E47" i="39"/>
  <c r="T5" i="59"/>
  <c r="D5" i="59"/>
  <c r="M20" i="43"/>
  <c r="I54" i="34"/>
  <c r="J54" i="34" s="1"/>
  <c r="C50" i="34"/>
  <c r="B2" i="34" s="1"/>
  <c r="B3" i="34" s="1"/>
  <c r="C49" i="34"/>
  <c r="H7" i="40"/>
  <c r="J7" i="40"/>
  <c r="F7" i="40"/>
  <c r="I52" i="39" l="1"/>
  <c r="J52" i="39" s="1"/>
  <c r="E51" i="39"/>
  <c r="F51" i="39" s="1"/>
  <c r="E52" i="39"/>
  <c r="F52" i="39" s="1"/>
  <c r="C47" i="39"/>
  <c r="C48" i="39"/>
  <c r="AC7" i="40"/>
  <c r="V42" i="40" s="1"/>
  <c r="I42" i="40" s="1"/>
  <c r="I46" i="40" s="1"/>
  <c r="J46" i="40" s="1"/>
  <c r="W7" i="40"/>
  <c r="S7" i="40"/>
  <c r="AA7" i="40"/>
  <c r="R42" i="40" s="1"/>
  <c r="R43" i="40" s="1"/>
  <c r="AB7" i="40"/>
  <c r="T42" i="40" s="1"/>
  <c r="G42" i="40" s="1"/>
  <c r="G46" i="40" s="1"/>
  <c r="H46" i="40" s="1"/>
  <c r="U7" i="40"/>
  <c r="B57" i="39" l="1"/>
  <c r="F57" i="39" s="1"/>
  <c r="B58" i="39"/>
  <c r="F58" i="39" s="1"/>
  <c r="B56" i="39"/>
  <c r="F56" i="39" s="1"/>
  <c r="F66" i="39" s="1"/>
  <c r="B2" i="39" s="1"/>
  <c r="B3" i="39" s="1"/>
  <c r="B63" i="39"/>
  <c r="F63" i="39" s="1"/>
  <c r="B65" i="39"/>
  <c r="F65" i="39" s="1"/>
  <c r="B64" i="39"/>
  <c r="F64" i="39" s="1"/>
  <c r="B60" i="39"/>
  <c r="F60" i="39" s="1"/>
  <c r="B62" i="39"/>
  <c r="F62" i="39" s="1"/>
  <c r="B61" i="39"/>
  <c r="F61" i="39" s="1"/>
  <c r="B59" i="39"/>
  <c r="F59"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I121" i="9"/>
  <c r="D107" i="9" s="1"/>
  <c r="H121" i="9" l="1"/>
  <c r="C103" i="9" s="1"/>
  <c r="F4" i="52"/>
  <c r="B40" i="60" s="1"/>
  <c r="F122" i="9"/>
  <c r="F5" i="52" s="1"/>
  <c r="B42" i="60" s="1"/>
  <c r="G4" i="52"/>
  <c r="B41" i="60" s="1"/>
  <c r="D121" i="9"/>
  <c r="I103" i="9"/>
  <c r="C104" i="9"/>
  <c r="I4" i="52"/>
  <c r="H4" i="52" l="1"/>
  <c r="H122" i="9"/>
  <c r="H5" i="52" s="1"/>
  <c r="D106" i="9"/>
  <c r="D112" i="9" s="1"/>
  <c r="D113" i="9" s="1"/>
  <c r="D14" i="62"/>
  <c r="B5" i="62" s="1"/>
  <c r="I102" i="9"/>
  <c r="D45" i="9" s="1"/>
  <c r="D30" i="50"/>
  <c r="D9" i="50"/>
  <c r="B21" i="60" s="1"/>
  <c r="D122" i="9"/>
  <c r="D5" i="52" s="1"/>
  <c r="B39" i="60" s="1"/>
  <c r="D4" i="52"/>
  <c r="B37" i="60" s="1"/>
  <c r="D7" i="50" l="1"/>
  <c r="B19" i="60" s="1"/>
  <c r="F14" i="62"/>
  <c r="D28" i="50"/>
  <c r="D29" i="50" s="1"/>
  <c r="D117" i="9"/>
  <c r="D44" i="50" s="1"/>
  <c r="N48" i="9"/>
  <c r="E14" i="62"/>
  <c r="I110" i="9"/>
  <c r="D36" i="50" s="1"/>
  <c r="D37" i="50" s="1"/>
  <c r="I111" i="9"/>
  <c r="D38" i="50"/>
  <c r="B62" i="60" s="1"/>
  <c r="D52" i="9"/>
  <c r="C93" i="9"/>
  <c r="C86" i="9" s="1"/>
  <c r="C78" i="9"/>
  <c r="C73" i="9" s="1"/>
  <c r="C64" i="9"/>
  <c r="C63" i="9" s="1"/>
  <c r="C67" i="9" s="1"/>
  <c r="C68" i="9" s="1"/>
  <c r="D54" i="9" s="1"/>
  <c r="D53" i="9"/>
  <c r="D48" i="9" s="1"/>
  <c r="N52" i="9" s="1"/>
  <c r="O57" i="9" s="1"/>
  <c r="C85" i="9"/>
  <c r="C72" i="9"/>
  <c r="C5" i="62"/>
  <c r="D5" i="62"/>
  <c r="C79" i="9" l="1"/>
  <c r="C80" i="9" s="1"/>
  <c r="E80" i="9" s="1"/>
  <c r="E81" i="9" s="1"/>
  <c r="D8" i="50"/>
  <c r="B22" i="60" s="1"/>
  <c r="C95" i="9"/>
  <c r="C96" i="9" s="1"/>
  <c r="E96" i="9" s="1"/>
  <c r="E97" i="9" s="1"/>
  <c r="I115" i="9"/>
  <c r="D23" i="50" s="1"/>
  <c r="B34" i="60" s="1"/>
  <c r="D15" i="50"/>
  <c r="B29" i="60" s="1"/>
  <c r="D125" i="9"/>
  <c r="D8" i="52" s="1"/>
  <c r="Q57" i="9"/>
  <c r="O58" i="9"/>
  <c r="O59" i="9"/>
  <c r="D17" i="50"/>
  <c r="D126" i="9"/>
  <c r="D9" i="52" s="1"/>
  <c r="C97" i="9" l="1"/>
  <c r="D58" i="9" s="1"/>
  <c r="C81" i="9"/>
  <c r="D16" i="50"/>
  <c r="B30" i="60" s="1"/>
  <c r="G14" i="62"/>
  <c r="B6" i="62" s="1"/>
  <c r="D6" i="62" s="1"/>
  <c r="O61" i="9"/>
  <c r="O60" i="9"/>
  <c r="C6"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0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0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0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0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0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0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<sst xmlns="http://schemas.openxmlformats.org/spreadsheetml/2006/main" count="6914" uniqueCount="2973">
  <si>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</si>
  <si>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</si>
  <si>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</si>
  <si>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</si>
  <si>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</si>
  <si>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</si>
  <si>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</si>
  <si>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</si>
  <si>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</si>
  <si>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</si>
  <si>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</si>
  <si>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</si>
  <si>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</si>
  <si>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</si>
  <si>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</si>
  <si>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</si>
  <si>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</si>
  <si>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</si>
  <si>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</si>
  <si>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</si>
  <si>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</si>
  <si>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</si>
  <si>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</si>
  <si>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</si>
  <si>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</si>
  <si>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</si>
  <si>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</si>
  <si>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</si>
  <si>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</si>
  <si>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</si>
  <si>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</si>
  <si>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</si>
  <si>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</si>
  <si>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</si>
  <si>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</si>
  <si>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</si>
  <si>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</si>
  <si>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</si>
  <si>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</si>
  <si>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</si>
  <si>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</si>
  <si>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</si>
  <si>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</si>
  <si>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</si>
  <si>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</si>
  <si>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</si>
  <si>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</si>
  <si>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</si>
  <si>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</si>
  <si>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</si>
  <si>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</si>
  <si>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</si>
  <si>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</si>
  <si>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</si>
  <si>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</si>
  <si>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</si>
  <si>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</si>
  <si>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</si>
  <si>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</si>
  <si>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</si>
  <si>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</si>
  <si>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</si>
  <si>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</si>
  <si>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</si>
  <si>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</si>
  <si>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</si>
  <si>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</si>
  <si>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</si>
  <si>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</si>
  <si>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</si>
  <si>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</si>
  <si>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</si>
  <si>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</si>
  <si>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</si>
  <si>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</si>
  <si>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</si>
  <si>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</si>
  <si>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</si>
  <si>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</si>
  <si>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</si>
  <si>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</si>
  <si>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</si>
  <si>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</si>
  <si>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</si>
  <si>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</si>
  <si>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</si>
  <si>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</si>
  <si>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</si>
  <si>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</si>
  <si>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</si>
  <si>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</si>
  <si>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</si>
  <si>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</si>
  <si>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</si>
  <si>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</si>
  <si>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</si>
  <si>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</si>
  <si>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</si>
  <si>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</si>
  <si>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</si>
  <si>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</si>
  <si>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</si>
  <si>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</si>
  <si>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</si>
  <si>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</si>
  <si>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</si>
  <si>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</si>
  <si>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</si>
  <si>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</si>
  <si>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</si>
  <si>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</si>
  <si>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</si>
  <si>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</si>
  <si>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</si>
  <si>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</si>
  <si>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</si>
  <si>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</si>
  <si>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</si>
  <si>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</si>
  <si>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</si>
  <si>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</si>
  <si>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</si>
  <si>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</si>
  <si>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</si>
  <si>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</si>
  <si>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</si>
  <si>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</si>
  <si>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</si>
  <si>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</si>
  <si>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</si>
  <si>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</si>
  <si>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</si>
  <si>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</si>
  <si>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</si>
  <si>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</si>
  <si>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</si>
  <si>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</si>
  <si>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</si>
  <si>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</si>
  <si>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</si>
  <si>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</si>
  <si>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</si>
  <si>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</si>
  <si>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</si>
  <si>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</si>
  <si>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</si>
  <si>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</si>
  <si>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</si>
  <si>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</si>
  <si>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</si>
  <si>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</si>
  <si>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</si>
  <si>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</si>
  <si>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</si>
  <si>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</si>
  <si>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</si>
  <si>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</si>
  <si>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</si>
  <si>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</si>
  <si>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</si>
  <si>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</si>
  <si>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</si>
  <si>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</si>
  <si>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</si>
  <si>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</si>
  <si>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</si>
  <si>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</si>
  <si>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</si>
  <si>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</si>
  <si>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</si>
  <si>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</si>
  <si>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</si>
  <si>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</si>
  <si>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</si>
  <si>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</si>
  <si>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</si>
  <si>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</si>
  <si>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</si>
  <si>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</si>
  <si>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</si>
  <si>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</si>
  <si>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</si>
  <si>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</si>
  <si>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</si>
  <si>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</si>
  <si>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</si>
  <si>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</si>
  <si>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</si>
  <si>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</si>
  <si>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</si>
  <si>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</si>
  <si>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</si>
  <si>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</si>
  <si>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</si>
  <si>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</si>
  <si>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</si>
  <si>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</si>
  <si>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</si>
  <si>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</si>
  <si>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</si>
  <si>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</si>
  <si>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</si>
  <si>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</si>
  <si>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</si>
  <si>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</si>
  <si>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</si>
  <si>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</si>
  <si>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</si>
  <si>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</si>
  <si>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</si>
  <si>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</si>
  <si>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</si>
  <si>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</si>
  <si>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</si>
  <si>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</si>
  <si>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</si>
  <si>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</si>
  <si>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</si>
  <si>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</si>
  <si>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</si>
  <si>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</si>
  <si>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</si>
  <si>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</si>
  <si>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</si>
  <si>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</si>
  <si>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</si>
  <si>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</si>
  <si>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</si>
  <si>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</si>
  <si>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</si>
  <si>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</si>
  <si>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</si>
  <si>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</si>
  <si>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</si>
  <si>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</si>
  <si>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</si>
  <si>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</si>
  <si>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</si>
  <si>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</si>
  <si>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</si>
  <si>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</si>
  <si>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</si>
  <si>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</si>
  <si>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</si>
  <si>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</si>
  <si>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</si>
  <si>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</si>
  <si>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</si>
  <si>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</si>
  <si>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</si>
  <si>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</si>
  <si>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</si>
  <si>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</si>
  <si>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</si>
  <si>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</si>
  <si>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</si>
  <si>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</si>
  <si>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</si>
  <si>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</si>
  <si>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</si>
  <si>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</si>
  <si>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</si>
  <si>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</si>
  <si>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</si>
  <si>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</si>
  <si>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</si>
  <si>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</si>
  <si>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</si>
  <si>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</si>
  <si>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</si>
  <si>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</si>
  <si>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</si>
  <si>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</si>
  <si>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</si>
  <si>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</si>
  <si>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</si>
  <si>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</si>
  <si>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</si>
  <si>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</si>
  <si>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</si>
  <si>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</si>
  <si>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</si>
  <si>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</si>
  <si>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</si>
  <si>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</si>
  <si>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</si>
  <si>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</si>
  <si>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</si>
  <si>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</si>
  <si>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</si>
  <si>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</si>
  <si>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</si>
  <si>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</si>
  <si>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</si>
  <si>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</si>
  <si>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</si>
  <si>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</si>
  <si>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</si>
  <si>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</si>
  <si>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</si>
  <si>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</si>
  <si>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</si>
  <si>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</si>
  <si>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</si>
  <si>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</si>
  <si>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</si>
  <si>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</si>
  <si>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</si>
  <si>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</si>
  <si>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</si>
  <si>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</si>
  <si>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</si>
  <si>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</si>
  <si>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</si>
  <si>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</si>
  <si>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</si>
  <si>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</si>
  <si>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</si>
  <si>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</si>
  <si>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</si>
  <si>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</si>
  <si>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</si>
  <si>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</si>
  <si>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</si>
  <si>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</si>
  <si>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</si>
  <si>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</si>
  <si>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</si>
  <si>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</si>
  <si>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</si>
  <si>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</si>
  <si>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</si>
  <si>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</si>
  <si>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</si>
  <si>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</si>
  <si>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</si>
  <si>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</si>
  <si>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</si>
  <si>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</si>
  <si>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</si>
  <si>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</si>
  <si>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</si>
  <si>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</si>
  <si>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</si>
  <si>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</si>
  <si>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</si>
  <si>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</si>
  <si>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</si>
  <si>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</si>
  <si>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</si>
  <si>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</si>
  <si>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</si>
  <si>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</si>
  <si>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</si>
  <si>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</si>
  <si>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</si>
  <si>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</si>
  <si>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</si>
  <si>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</si>
  <si>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</si>
  <si>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</si>
  <si>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</si>
  <si>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</si>
  <si>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</si>
  <si>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</si>
  <si>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</si>
  <si>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</si>
  <si>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</si>
  <si>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</si>
  <si>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</si>
  <si>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</si>
  <si>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</si>
  <si>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</si>
  <si>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</si>
  <si>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</si>
  <si>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</si>
  <si>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</si>
  <si>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</si>
  <si>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</si>
  <si>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</si>
  <si>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</si>
  <si>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</si>
  <si>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</si>
  <si>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</si>
  <si>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</si>
  <si>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</si>
  <si>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</si>
  <si>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</si>
  <si>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</si>
  <si>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</si>
  <si>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</si>
  <si>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</si>
  <si>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</si>
  <si>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</si>
  <si>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</si>
  <si>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</si>
  <si>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</si>
  <si>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</si>
  <si>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</si>
  <si>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</si>
  <si>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</si>
  <si>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</si>
  <si>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</si>
  <si>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</si>
  <si>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</si>
  <si>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</si>
  <si>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</si>
  <si>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</si>
  <si>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</si>
  <si>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</si>
  <si>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</si>
  <si>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</si>
  <si>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</si>
  <si>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</si>
  <si>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</si>
  <si>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</si>
  <si>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</si>
  <si>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</si>
  <si>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</si>
  <si>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</si>
  <si>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</si>
  <si>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</si>
  <si>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</si>
  <si>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</si>
  <si>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</si>
  <si>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</si>
  <si>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</si>
  <si>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</si>
  <si>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</si>
  <si>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</si>
  <si>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</si>
  <si>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</si>
  <si>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</si>
  <si>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</si>
  <si>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</si>
  <si>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</si>
  <si>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</si>
  <si>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</si>
  <si>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</si>
  <si>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</si>
  <si>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</si>
  <si>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</si>
  <si>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</si>
  <si>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</si>
  <si>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</si>
  <si>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</si>
  <si>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</si>
  <si>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</si>
  <si>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</si>
  <si>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</si>
  <si>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</si>
  <si>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</si>
  <si>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</si>
  <si>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</si>
  <si>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</si>
  <si>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</si>
  <si>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</si>
  <si>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</si>
  <si>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</si>
  <si>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</si>
  <si>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</si>
  <si>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</si>
  <si>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</si>
  <si>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</si>
  <si>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</si>
  <si>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</si>
  <si>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</si>
  <si>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</si>
  <si>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</si>
  <si>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</si>
  <si>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</si>
  <si>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</si>
  <si>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</si>
  <si>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</si>
  <si>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</si>
  <si>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</si>
  <si>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</si>
  <si>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</si>
  <si>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</si>
  <si>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</si>
  <si>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</si>
  <si>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</si>
  <si>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</si>
  <si>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</si>
  <si>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</si>
  <si>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</si>
  <si>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</si>
  <si>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</si>
  <si>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</si>
  <si>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</si>
  <si>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</si>
  <si>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</si>
  <si>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</si>
  <si>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</si>
  <si>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</si>
  <si>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</si>
  <si>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</si>
  <si>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</si>
  <si>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</si>
  <si>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</si>
  <si>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</si>
  <si>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</si>
  <si>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</si>
  <si>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</si>
  <si>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</si>
  <si>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</si>
  <si>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</si>
  <si>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</si>
  <si>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</si>
  <si>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</si>
  <si>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</si>
  <si>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</si>
  <si>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</si>
  <si>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</si>
  <si>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</si>
  <si>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</si>
  <si>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</si>
  <si>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</si>
  <si>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</si>
  <si>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</si>
  <si>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</si>
  <si>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</si>
  <si>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</si>
  <si>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</si>
  <si>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</si>
  <si>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</si>
  <si>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</si>
  <si>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</si>
  <si>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</si>
  <si>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</si>
  <si>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</si>
  <si>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</si>
  <si>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</si>
  <si>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</si>
  <si>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</si>
  <si>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</si>
  <si>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</si>
  <si>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</si>
  <si>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</si>
  <si>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</si>
  <si>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</si>
  <si>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</si>
  <si>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</si>
  <si>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</si>
  <si>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</si>
  <si>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</si>
  <si>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</si>
  <si>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</si>
  <si>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</si>
  <si>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</si>
  <si>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</si>
  <si>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</si>
  <si>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</si>
  <si>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</si>
  <si>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</si>
  <si>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</si>
  <si>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</si>
  <si>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</si>
  <si>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</si>
  <si>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</si>
  <si>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</si>
  <si>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</si>
  <si>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</si>
  <si>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</si>
  <si>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</si>
  <si>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</si>
  <si>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</si>
  <si>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</si>
  <si>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</si>
  <si>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</si>
  <si>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</si>
  <si>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</si>
  <si>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</si>
  <si>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</si>
  <si>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</si>
  <si>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</si>
  <si>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</si>
  <si>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</si>
  <si>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</si>
  <si>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</si>
  <si>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</si>
  <si>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</si>
  <si>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</si>
  <si>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</si>
  <si>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</si>
  <si>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</si>
  <si>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</si>
  <si>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</si>
  <si>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</si>
  <si>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</si>
  <si>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</si>
  <si>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</si>
  <si>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</si>
  <si>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</si>
  <si>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</si>
  <si>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</si>
  <si>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</si>
  <si>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</si>
  <si>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</si>
  <si>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</si>
  <si>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</si>
  <si>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</si>
  <si>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</si>
  <si>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</si>
  <si>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</si>
  <si>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</si>
  <si>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</si>
  <si>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</si>
  <si>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</si>
  <si>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</si>
  <si>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</si>
  <si>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</si>
  <si>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</si>
  <si>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</si>
  <si>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</si>
  <si>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</si>
  <si>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</si>
  <si>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</si>
  <si>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</si>
  <si>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</si>
  <si>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</si>
  <si>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</si>
  <si>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</si>
  <si>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</si>
  <si>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</si>
  <si>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</si>
  <si>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</si>
  <si>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</si>
  <si>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</si>
  <si>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</si>
  <si>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</si>
  <si>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</si>
  <si>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</si>
  <si>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</si>
  <si>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</si>
  <si>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</si>
  <si>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</si>
  <si>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</si>
  <si>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</si>
  <si>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</si>
  <si>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</si>
  <si>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</si>
  <si>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</si>
  <si>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</si>
  <si>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</si>
  <si>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</si>
  <si>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</si>
  <si>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</si>
  <si>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</si>
  <si>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</si>
  <si>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</si>
  <si>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</si>
  <si>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</si>
  <si>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</si>
  <si>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</si>
  <si>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</si>
  <si>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</si>
  <si>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</si>
  <si>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</si>
  <si>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</si>
  <si>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</si>
  <si>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</si>
  <si>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</si>
  <si>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</si>
  <si>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</si>
  <si>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</si>
  <si>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</si>
  <si>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</si>
  <si>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</si>
  <si>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</si>
  <si>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</si>
  <si>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</si>
  <si>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</si>
  <si>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</si>
  <si>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</si>
  <si>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</si>
  <si>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</si>
  <si>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</si>
  <si>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</si>
  <si>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</si>
  <si>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</si>
  <si>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</si>
  <si>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</si>
  <si>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</si>
  <si>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</si>
  <si>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</si>
  <si>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</si>
  <si>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</si>
  <si>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</si>
  <si>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</si>
  <si>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</si>
  <si>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</si>
  <si>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</si>
  <si>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</si>
  <si>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</si>
  <si>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</si>
  <si>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</si>
  <si>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</si>
  <si>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</si>
  <si>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</si>
  <si>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</si>
  <si>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</si>
  <si>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</si>
  <si>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</si>
  <si>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</si>
  <si>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</si>
  <si>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</si>
  <si>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</si>
  <si>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</si>
  <si>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</si>
  <si>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</si>
  <si>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</si>
  <si>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</si>
  <si>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</si>
  <si>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</si>
  <si>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</si>
  <si>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</si>
  <si>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</si>
  <si>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</si>
  <si>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</si>
  <si>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</si>
  <si>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</si>
  <si>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</si>
  <si>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</si>
  <si>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</si>
  <si>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</si>
  <si>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</si>
  <si>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</si>
  <si>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</si>
  <si>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</si>
  <si>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</si>
  <si>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</si>
  <si>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</si>
  <si>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</si>
  <si>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</si>
  <si>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</si>
  <si>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</si>
  <si>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</si>
  <si>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</si>
  <si>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</si>
  <si>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</si>
  <si>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</si>
  <si>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</si>
  <si>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</si>
  <si>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</si>
  <si>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</si>
  <si>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</si>
  <si>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</si>
  <si>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</si>
  <si>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</si>
  <si>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</si>
  <si>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</si>
  <si>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</si>
  <si>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</si>
  <si>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</si>
  <si>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</si>
  <si>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</si>
  <si>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</si>
  <si>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</si>
  <si>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</si>
  <si>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</si>
  <si>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</si>
  <si>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</si>
  <si>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</si>
  <si>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</si>
  <si>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</si>
  <si>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</si>
  <si>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</si>
  <si>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</si>
  <si>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</si>
  <si>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</si>
  <si>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</si>
  <si>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</si>
  <si>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</si>
  <si>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</si>
  <si>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</si>
  <si>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</si>
  <si>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</si>
  <si>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</si>
  <si>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</si>
  <si>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</si>
  <si>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</si>
  <si>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</si>
  <si>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</si>
  <si>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</si>
  <si>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</si>
  <si>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</si>
  <si>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</si>
  <si>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</si>
  <si>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</si>
  <si>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</si>
  <si>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</si>
  <si>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</si>
  <si>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</si>
  <si>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</si>
  <si>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</si>
  <si>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</si>
  <si>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</si>
  <si>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</si>
  <si>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</si>
  <si>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</si>
  <si>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</si>
  <si>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</si>
  <si>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</si>
  <si>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</si>
  <si>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</si>
  <si>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</si>
  <si>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</si>
  <si>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</si>
  <si>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</si>
  <si>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</si>
  <si>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</si>
  <si>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</si>
  <si>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</si>
  <si>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</si>
  <si>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</si>
  <si>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</si>
  <si>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</si>
  <si>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</si>
  <si>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</si>
  <si>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</si>
  <si>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</si>
  <si>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</si>
  <si>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</si>
  <si>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</si>
  <si>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</si>
  <si>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</si>
  <si>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</si>
  <si>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</si>
  <si>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</si>
  <si>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</si>
  <si>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</si>
  <si>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</si>
  <si>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</si>
  <si>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</si>
  <si>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</si>
  <si>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</si>
  <si>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</si>
  <si>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</si>
  <si>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</si>
  <si>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</si>
  <si>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</si>
  <si>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</si>
  <si>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</si>
  <si>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</si>
  <si>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</si>
  <si>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</si>
  <si>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</si>
  <si>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</si>
  <si>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</si>
  <si>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</si>
  <si>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</si>
  <si>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</si>
  <si>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</si>
  <si>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</si>
  <si>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</si>
  <si>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</si>
  <si>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</si>
  <si>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</si>
  <si>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</si>
  <si>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</si>
  <si>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</si>
  <si>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</si>
  <si>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</si>
  <si>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</si>
  <si>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</si>
  <si>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</si>
  <si>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</si>
  <si>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</si>
  <si>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</si>
  <si>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</si>
  <si>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</si>
  <si>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</si>
  <si>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</si>
  <si>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</si>
  <si>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</si>
  <si>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</si>
  <si>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</si>
  <si>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</si>
  <si>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</si>
  <si>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</si>
  <si>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</si>
  <si>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</si>
  <si>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</si>
  <si>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</si>
  <si>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</si>
  <si>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</si>
  <si>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</si>
  <si>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</si>
  <si>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</si>
  <si>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</si>
  <si>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</si>
  <si>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</si>
  <si>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</si>
  <si>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</si>
  <si>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</si>
  <si>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</si>
  <si>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</si>
  <si>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</si>
  <si>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</si>
  <si>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</si>
  <si>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</si>
  <si>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</si>
  <si>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</si>
  <si>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</si>
  <si>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</si>
  <si>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</si>
  <si>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</si>
  <si>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</si>
  <si>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</si>
  <si>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</si>
  <si>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</si>
  <si>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</si>
  <si>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</si>
  <si>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</si>
  <si>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</si>
  <si>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</si>
  <si>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</si>
  <si>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</si>
  <si>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</si>
  <si>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</si>
  <si>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</si>
  <si>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</si>
  <si>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</si>
  <si>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</si>
  <si>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</si>
  <si>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</si>
  <si>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</si>
  <si>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</si>
  <si>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</si>
  <si>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</si>
  <si>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</si>
  <si>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</si>
  <si>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</si>
  <si>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</si>
  <si>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</si>
  <si>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</si>
  <si>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</si>
  <si>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</si>
  <si>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</si>
  <si>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</si>
  <si>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</si>
  <si>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</si>
  <si>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</si>
  <si>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</si>
  <si>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</si>
  <si>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</si>
  <si>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</si>
  <si>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</si>
  <si>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</si>
  <si>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</si>
  <si>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</si>
  <si>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</si>
  <si>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</si>
  <si>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</si>
  <si>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</si>
  <si>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</si>
  <si>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</si>
  <si>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</si>
  <si>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</si>
  <si>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</si>
  <si>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</si>
  <si>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</si>
  <si>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</si>
  <si>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</si>
  <si>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</si>
  <si>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</si>
  <si>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</si>
  <si>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</si>
  <si>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</si>
  <si>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</si>
  <si>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</si>
  <si>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</si>
  <si>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</si>
  <si>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</si>
  <si>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</si>
  <si>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</si>
  <si>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</si>
  <si>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</si>
  <si>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</si>
  <si>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</si>
  <si>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</si>
  <si>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</si>
  <si>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</si>
  <si>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</si>
  <si>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</si>
  <si>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</si>
  <si>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</si>
  <si>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</si>
  <si>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</si>
  <si>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</si>
  <si>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</si>
  <si>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</si>
  <si>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</si>
  <si>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</si>
  <si>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</si>
  <si>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</si>
  <si>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</si>
  <si>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</si>
  <si>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</si>
  <si>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</si>
  <si>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</si>
  <si>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</si>
  <si>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</si>
  <si>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</si>
  <si>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</si>
  <si>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</si>
  <si>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</si>
  <si>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</si>
  <si>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</si>
  <si>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</si>
  <si>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</si>
  <si>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</si>
  <si>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</si>
  <si>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</si>
  <si>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</si>
  <si>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</si>
  <si>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</si>
  <si>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</si>
  <si>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</si>
  <si>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</si>
  <si>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</si>
  <si>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</si>
  <si>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</si>
  <si>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</si>
  <si>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</si>
  <si>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</si>
  <si>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</si>
  <si>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</si>
  <si>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</si>
  <si>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</si>
  <si>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</si>
  <si>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</si>
  <si>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</si>
  <si>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</si>
  <si>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</si>
  <si>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</si>
  <si>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</si>
  <si>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</si>
  <si>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</si>
  <si>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</si>
  <si>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</si>
  <si>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</si>
  <si>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</si>
  <si>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</si>
  <si>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</si>
  <si>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</si>
  <si>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</si>
  <si>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</si>
  <si>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</si>
  <si>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</si>
  <si>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</si>
  <si>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</si>
  <si>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</si>
  <si>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</si>
  <si>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</si>
  <si>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</si>
  <si>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</si>
  <si>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</si>
  <si>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</si>
  <si>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</si>
  <si>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</si>
  <si>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</si>
  <si>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</si>
  <si>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</si>
  <si>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</si>
  <si>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</si>
  <si>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</si>
  <si>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</si>
  <si>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</si>
  <si>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</si>
  <si>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</si>
  <si>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</si>
  <si>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</si>
  <si>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</si>
  <si>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</si>
  <si>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</si>
  <si>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</si>
  <si>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</si>
  <si>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</si>
  <si>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</si>
  <si>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</si>
  <si>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</si>
  <si>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</si>
  <si>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</si>
  <si>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</si>
  <si>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</si>
  <si>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</si>
  <si>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</si>
  <si>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</si>
  <si>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</si>
  <si>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</si>
  <si>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</si>
  <si>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</si>
  <si>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</si>
  <si>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</si>
  <si>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</si>
  <si>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</si>
  <si>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</si>
  <si>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</si>
  <si>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</si>
  <si>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</si>
  <si>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</si>
  <si>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</si>
  <si>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</si>
  <si>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</si>
  <si>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</si>
  <si>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</si>
  <si>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</si>
  <si>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</si>
  <si>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</si>
  <si>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</si>
  <si>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</si>
  <si>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</si>
  <si>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</si>
  <si>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</si>
  <si>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</si>
  <si>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</si>
  <si>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</si>
  <si>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</si>
  <si>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</si>
  <si>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</si>
  <si>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</si>
  <si>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</si>
  <si>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</si>
  <si>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</si>
  <si>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</si>
  <si>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</si>
  <si>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</si>
  <si>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</si>
  <si>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</si>
  <si>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</si>
  <si>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</si>
  <si>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</si>
  <si>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</si>
  <si>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</si>
  <si>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</si>
  <si>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</si>
  <si>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</si>
  <si>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</si>
  <si>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</si>
  <si>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</si>
  <si>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</si>
  <si>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</si>
  <si>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</si>
  <si>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</si>
  <si>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</si>
  <si>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</si>
  <si>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</si>
  <si>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</si>
  <si>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</si>
  <si>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</si>
  <si>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</si>
  <si>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</si>
  <si>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</si>
  <si>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</si>
  <si>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</si>
  <si>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</si>
  <si>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</si>
  <si>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</si>
  <si>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</si>
  <si>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</si>
  <si>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</si>
  <si>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</si>
  <si>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</si>
  <si>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</si>
  <si>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</si>
  <si>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</si>
  <si>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</si>
  <si>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</si>
  <si>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</si>
  <si>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</si>
  <si>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</si>
  <si>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</si>
  <si>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</si>
  <si>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</si>
  <si>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</si>
  <si>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</si>
  <si>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</si>
  <si>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</si>
  <si>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</si>
  <si>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</si>
  <si>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</si>
  <si>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</si>
  <si>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</si>
  <si>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</si>
  <si>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</si>
  <si>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</si>
  <si>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</si>
  <si>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</si>
  <si>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</si>
  <si>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</si>
  <si>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</si>
  <si>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</si>
  <si>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</si>
  <si>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</si>
  <si>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</si>
  <si>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</si>
  <si>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</si>
  <si>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</si>
  <si>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</si>
  <si>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</si>
  <si>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</si>
  <si>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</si>
  <si>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</si>
  <si>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</si>
  <si>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</si>
  <si>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</si>
  <si>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</si>
  <si>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</si>
  <si>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</si>
  <si>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</si>
  <si>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</si>
  <si>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</si>
  <si>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</si>
  <si>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</si>
  <si>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</si>
  <si>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</si>
  <si>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</si>
  <si>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</si>
  <si>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</si>
  <si>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</si>
  <si>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</si>
  <si>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</si>
  <si>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</si>
  <si>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</si>
  <si>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</si>
  <si>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</si>
  <si>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</si>
  <si>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</si>
  <si>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</si>
  <si>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</si>
  <si>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</si>
  <si>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</si>
  <si>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</si>
  <si>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</si>
  <si>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</si>
  <si>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</si>
  <si>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</si>
  <si>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</si>
  <si>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</si>
  <si>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</si>
  <si>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</si>
  <si>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</si>
  <si>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</si>
  <si>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</si>
  <si>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</si>
  <si>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</si>
  <si>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</si>
  <si>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</si>
  <si>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</si>
  <si>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</si>
  <si>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</si>
  <si>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</si>
  <si>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</si>
  <si>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</si>
  <si>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</si>
  <si>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</si>
  <si>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</si>
  <si>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</si>
  <si>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</si>
  <si>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</si>
  <si>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</si>
  <si>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</si>
  <si>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</si>
  <si>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</si>
  <si>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</si>
  <si>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</si>
  <si>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</si>
  <si>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</si>
  <si>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</si>
  <si>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</si>
  <si>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</si>
  <si>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</si>
  <si>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</si>
  <si>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</si>
  <si>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</si>
  <si>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</si>
  <si>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</si>
  <si>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</si>
  <si>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</si>
  <si>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</si>
  <si>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</si>
  <si>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</si>
  <si>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</si>
  <si>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</si>
  <si>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</si>
  <si>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</si>
  <si>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</si>
  <si>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</si>
  <si>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</si>
  <si>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</si>
  <si>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</si>
  <si>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</si>
  <si>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</si>
  <si>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</si>
  <si>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</si>
  <si>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</si>
  <si>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</si>
  <si>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</si>
  <si>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</si>
  <si>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</si>
  <si>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</si>
  <si>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</si>
  <si>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</si>
  <si>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</si>
  <si>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</si>
  <si>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</si>
  <si>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</si>
  <si>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</si>
  <si>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</si>
  <si>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</si>
  <si>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</si>
  <si>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</si>
  <si>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</si>
  <si>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</si>
  <si>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</si>
  <si>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</si>
  <si>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</si>
  <si>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</si>
  <si>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</si>
  <si>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</si>
  <si>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</si>
  <si>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</si>
  <si>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</si>
  <si>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</si>
  <si>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</si>
  <si>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</si>
  <si>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</si>
  <si>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</si>
  <si>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</si>
  <si>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</si>
  <si>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</si>
  <si>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</si>
  <si>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</si>
  <si>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</si>
  <si>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</si>
  <si>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</si>
  <si>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</si>
  <si>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</si>
  <si>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</si>
  <si>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</si>
  <si>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</si>
  <si>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</si>
  <si>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</si>
  <si>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</si>
  <si>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</si>
  <si>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</si>
  <si>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</si>
  <si>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</si>
  <si>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</si>
  <si>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</si>
  <si>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</si>
  <si>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</si>
  <si>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</si>
  <si>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</si>
  <si>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</si>
  <si>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</si>
  <si>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</si>
  <si>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</si>
  <si>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</si>
  <si>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</si>
  <si>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</si>
  <si>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</si>
  <si>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</si>
  <si>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</si>
  <si>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</si>
  <si>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</si>
  <si>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</si>
  <si>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</si>
  <si>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</si>
  <si>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</si>
  <si>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</si>
  <si>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</si>
  <si>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</si>
  <si>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</si>
  <si>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</si>
  <si>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</si>
  <si>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</si>
  <si>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</si>
  <si>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</si>
  <si>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</si>
  <si>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</si>
  <si>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</si>
  <si>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</si>
  <si>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</si>
  <si>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</si>
  <si>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</si>
  <si>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</si>
  <si>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</si>
  <si>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</si>
  <si>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</si>
  <si>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</si>
  <si>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</si>
  <si>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</si>
  <si>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</si>
  <si>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</si>
  <si>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</si>
  <si>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</si>
  <si>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</si>
  <si>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</si>
  <si>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</si>
  <si>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</si>
  <si>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</si>
  <si>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</si>
  <si>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</si>
  <si>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</si>
  <si>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</si>
  <si>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</si>
  <si>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</si>
  <si>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</si>
  <si>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</si>
  <si>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</si>
  <si>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</si>
  <si>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</si>
  <si>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</si>
  <si>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</si>
  <si>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</si>
  <si>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</si>
  <si>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</si>
  <si>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</si>
  <si>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</si>
  <si>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</si>
  <si>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</si>
  <si>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</si>
  <si>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</si>
  <si>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</si>
  <si>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</si>
  <si>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</si>
  <si>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</si>
  <si>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</si>
  <si>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</si>
  <si>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</si>
  <si>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</si>
  <si>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</si>
  <si>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</si>
  <si>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</si>
  <si>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</si>
  <si>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</si>
  <si>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</si>
  <si>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</si>
  <si>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</si>
  <si>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</si>
  <si>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</si>
  <si>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</si>
  <si>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</si>
  <si>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</si>
  <si>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</si>
  <si>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</si>
  <si>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</si>
  <si>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</si>
  <si>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</si>
  <si>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</si>
  <si>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</si>
  <si>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</si>
  <si>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</si>
  <si>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</si>
  <si>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</si>
  <si>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</si>
  <si>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</si>
  <si>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</si>
  <si>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</si>
  <si>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</si>
  <si>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</si>
  <si>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</si>
  <si>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</si>
  <si>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</si>
  <si>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</si>
  <si>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</si>
  <si>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</si>
  <si>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</si>
  <si>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</si>
  <si>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</si>
  <si>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</si>
  <si>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</si>
  <si>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</si>
  <si>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</si>
  <si>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</si>
  <si>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</si>
  <si>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</si>
  <si>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</si>
  <si>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</si>
  <si>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</si>
  <si>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</si>
  <si>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</si>
  <si>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</si>
  <si>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</si>
  <si>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</si>
  <si>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</si>
  <si>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</si>
  <si>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</si>
  <si>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</si>
  <si>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</si>
  <si>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</si>
  <si>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</si>
  <si>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</si>
  <si>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</si>
  <si>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</si>
  <si>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</si>
  <si>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</si>
  <si>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</si>
  <si>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</si>
  <si>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</si>
  <si>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</si>
  <si>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</si>
  <si>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</si>
  <si>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</si>
  <si>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</si>
  <si>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</si>
  <si>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</si>
  <si>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</si>
  <si>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</si>
  <si>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</si>
  <si>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</si>
  <si>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</si>
  <si>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</si>
  <si>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</si>
  <si>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</si>
  <si>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</si>
  <si>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</si>
  <si>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</si>
  <si>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</si>
  <si>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</si>
  <si>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</si>
  <si>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</si>
  <si>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</si>
  <si>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</si>
  <si>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</si>
  <si>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</si>
  <si>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</si>
  <si>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</si>
  <si>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</si>
  <si>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</si>
  <si>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</si>
  <si>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</si>
  <si>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</si>
  <si>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</si>
  <si>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</si>
  <si>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</si>
  <si>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</si>
  <si>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</si>
  <si>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</si>
  <si>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</si>
  <si>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</si>
  <si>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</si>
  <si>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</si>
  <si>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</si>
  <si>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</si>
  <si>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</si>
  <si>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</si>
  <si>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</si>
  <si>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</si>
  <si>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</si>
  <si>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</si>
  <si>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</si>
  <si>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</si>
  <si>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</si>
  <si>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</si>
  <si>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</si>
  <si>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</si>
  <si>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</si>
  <si>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</si>
  <si>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</si>
  <si>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</si>
  <si>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</si>
  <si>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</si>
  <si>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</si>
  <si>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</si>
  <si>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</si>
  <si>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</si>
  <si>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</si>
  <si>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</si>
  <si>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</si>
  <si>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</si>
  <si>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</si>
  <si>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</si>
  <si>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</si>
  <si>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</si>
  <si>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</si>
  <si>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</si>
  <si>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</si>
  <si>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</si>
  <si>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</si>
  <si>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</si>
  <si>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</si>
  <si>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</si>
  <si>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</si>
  <si>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</si>
  <si>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</si>
  <si>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</si>
  <si>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</si>
  <si>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</si>
  <si>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</si>
  <si>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</si>
  <si>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</si>
  <si>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</si>
  <si>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</si>
  <si>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</si>
  <si>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</si>
  <si>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</si>
  <si>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</si>
  <si>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</si>
  <si>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</si>
  <si>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</si>
  <si>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</si>
  <si>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</si>
  <si>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</si>
  <si>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</si>
  <si>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</si>
  <si>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</si>
  <si>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</si>
  <si>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</si>
  <si>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</si>
  <si>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</si>
  <si>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</si>
  <si>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</si>
  <si>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</si>
  <si>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</si>
  <si>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</si>
  <si>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</si>
  <si>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</si>
  <si>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</si>
  <si>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</si>
  <si>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</si>
  <si>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</si>
  <si>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</si>
  <si>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</si>
  <si>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</si>
  <si>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</si>
  <si>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</si>
  <si>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</si>
  <si>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</si>
  <si>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</si>
  <si>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</si>
  <si>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</si>
  <si>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</si>
  <si>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</si>
  <si>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</si>
  <si>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</si>
  <si>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</si>
  <si>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</si>
  <si>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</si>
  <si>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</si>
  <si>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</si>
  <si>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</si>
  <si>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</si>
  <si>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</si>
  <si>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</si>
  <si>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</si>
  <si>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</si>
  <si>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</si>
  <si>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</si>
  <si>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</si>
  <si>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</si>
  <si>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</si>
  <si>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</si>
  <si>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</si>
  <si>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</si>
  <si>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</si>
  <si>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</si>
  <si>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</si>
  <si>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</si>
  <si>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</si>
  <si>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</si>
  <si>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</si>
  <si>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</si>
  <si>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</si>
  <si>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</si>
  <si>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</si>
  <si>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</si>
  <si>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</si>
  <si>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</si>
  <si>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</si>
  <si>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</si>
  <si>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</si>
  <si>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</si>
  <si>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</si>
  <si>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</si>
  <si>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</si>
  <si>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</si>
  <si>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</si>
  <si>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</si>
  <si>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</si>
  <si>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</si>
  <si>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</si>
  <si>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</si>
  <si>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</si>
  <si>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</si>
  <si>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</si>
  <si>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</si>
  <si>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</si>
  <si>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</si>
  <si>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</si>
  <si>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</si>
  <si>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</si>
  <si>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</si>
  <si>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</si>
  <si>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</si>
  <si>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</si>
  <si>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</si>
  <si>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</si>
  <si>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</si>
  <si>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</si>
  <si>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</si>
  <si>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</si>
  <si>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</si>
  <si>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</si>
  <si>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</si>
  <si>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</si>
  <si>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</si>
  <si>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</si>
  <si>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</si>
  <si>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</si>
  <si>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</si>
  <si>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</si>
  <si>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</si>
  <si>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</si>
  <si>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</si>
  <si>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</si>
  <si>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</si>
  <si>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</si>
  <si>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</si>
  <si>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</si>
  <si>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</si>
  <si>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</si>
  <si>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</si>
  <si>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</si>
  <si>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</si>
  <si>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</si>
  <si>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</si>
  <si>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</si>
  <si>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</si>
  <si>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</si>
  <si>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</si>
  <si>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</si>
  <si>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</si>
  <si>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</si>
  <si>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</si>
  <si>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</si>
  <si>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</si>
  <si>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</si>
  <si>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</si>
  <si>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</si>
  <si>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</si>
  <si>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</si>
  <si>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</si>
  <si>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</si>
  <si>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</si>
  <si>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</si>
  <si>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</si>
  <si>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</si>
  <si>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</si>
  <si>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</si>
  <si>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</si>
  <si>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</si>
  <si>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</si>
  <si>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</si>
  <si>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</si>
  <si>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</si>
  <si>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</si>
  <si>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</si>
  <si>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</si>
  <si>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</si>
  <si>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</si>
  <si>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</si>
  <si>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</si>
  <si>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</si>
  <si>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</si>
  <si>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</si>
  <si>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</si>
  <si>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</si>
  <si>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</si>
  <si>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</si>
  <si>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</si>
  <si>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</si>
  <si>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</si>
  <si>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</si>
  <si>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</si>
  <si>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</si>
  <si>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</si>
  <si>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</si>
  <si>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</si>
  <si>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</si>
  <si>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</si>
  <si>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</si>
  <si>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</si>
  <si>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</si>
  <si>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</si>
  <si>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</si>
  <si>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</si>
  <si>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</si>
  <si>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</si>
  <si>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</si>
  <si>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</si>
  <si>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</si>
  <si>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</si>
  <si>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</si>
  <si>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</si>
  <si>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</si>
  <si>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</si>
  <si>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</si>
  <si>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</si>
  <si>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</si>
  <si>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</si>
  <si>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</si>
  <si>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</si>
  <si>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</si>
  <si>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</si>
  <si>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</si>
  <si>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</si>
  <si>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</si>
  <si>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</si>
  <si>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</si>
  <si>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</si>
  <si>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</si>
  <si>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</si>
  <si>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</si>
  <si>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</si>
  <si>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</si>
  <si>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</si>
  <si>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</si>
  <si>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</si>
  <si>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</si>
  <si>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</si>
  <si>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</si>
  <si>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</si>
  <si>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</si>
  <si>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</si>
  <si>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</si>
  <si>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</si>
  <si>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</si>
  <si>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</si>
  <si>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</si>
  <si>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</si>
  <si>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</si>
  <si>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</si>
  <si>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</si>
  <si>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</si>
  <si>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</si>
  <si>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</si>
  <si>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</si>
  <si>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</si>
  <si>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</si>
  <si>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</si>
  <si>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</si>
  <si>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</si>
  <si>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</si>
  <si>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</si>
  <si>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</si>
  <si>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</si>
  <si>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</si>
  <si>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</si>
  <si>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</si>
  <si>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</si>
  <si>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</si>
  <si>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</si>
  <si>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</si>
  <si>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</si>
  <si>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</si>
  <si>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</si>
  <si>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</si>
  <si>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</si>
  <si>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</si>
  <si>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</si>
  <si>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</si>
  <si>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</si>
  <si>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</si>
  <si>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</si>
  <si>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</si>
  <si>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</si>
  <si>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</si>
  <si>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</si>
  <si>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</si>
  <si>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</si>
  <si>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</si>
  <si>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</si>
  <si>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</si>
  <si>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</si>
  <si>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</si>
  <si>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</si>
  <si>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</si>
  <si>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</si>
  <si>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</si>
  <si>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</si>
  <si>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</si>
  <si>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</si>
  <si>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</si>
  <si>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</si>
  <si>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</si>
  <si>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</si>
  <si>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</si>
  <si>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</si>
  <si>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</si>
  <si>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</si>
  <si>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</si>
  <si>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</si>
  <si>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</si>
  <si>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</si>
  <si>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</si>
  <si>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</si>
  <si>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</si>
  <si>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</si>
  <si>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</si>
  <si>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</si>
  <si>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</si>
  <si>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</si>
  <si>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</si>
  <si>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</si>
  <si>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</si>
  <si>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</si>
  <si>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</si>
  <si>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</si>
  <si>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</si>
  <si>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</si>
  <si>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</si>
  <si>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</si>
  <si>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</si>
  <si>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</si>
  <si>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</si>
  <si>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</si>
  <si>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</si>
  <si>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</si>
  <si>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</si>
  <si>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</si>
  <si>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</si>
  <si>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</si>
  <si>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</si>
  <si>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</si>
  <si>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</si>
  <si>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</si>
  <si>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</si>
  <si>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</si>
  <si>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</si>
  <si>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</si>
  <si>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</si>
  <si>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</si>
  <si>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</si>
  <si>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</si>
  <si>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</si>
  <si>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</si>
  <si>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</si>
  <si>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</si>
  <si>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</si>
  <si>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</si>
  <si>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</si>
  <si>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</si>
  <si>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</si>
  <si>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</si>
  <si>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</si>
  <si>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</si>
  <si>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</si>
  <si>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</si>
  <si>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</si>
  <si>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</si>
  <si>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</si>
  <si>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</si>
  <si>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</si>
  <si>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</si>
  <si>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</si>
  <si>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</si>
  <si>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</si>
  <si>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</si>
  <si>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</si>
  <si>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</si>
  <si>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</si>
  <si>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</si>
  <si>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</si>
  <si>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</si>
  <si>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</si>
  <si>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</si>
  <si>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</si>
  <si>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</si>
  <si>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</si>
  <si>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</si>
  <si>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</si>
  <si>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</si>
  <si>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</si>
  <si>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</si>
  <si>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</si>
  <si>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</si>
  <si>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</si>
  <si>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</si>
  <si>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</si>
  <si>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</si>
  <si>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</si>
  <si>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</si>
  <si>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</si>
  <si>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</si>
  <si>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</si>
  <si>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</si>
  <si>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</si>
  <si>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</si>
  <si>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</si>
  <si>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</si>
  <si>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</si>
  <si>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</si>
  <si>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</si>
  <si>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</si>
  <si>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</si>
  <si>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</si>
  <si>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</si>
  <si>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</si>
  <si>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</si>
  <si>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</si>
  <si>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</si>
  <si>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</si>
  <si>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</si>
  <si>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</si>
  <si>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</si>
  <si>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</si>
  <si>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</si>
  <si>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</si>
  <si>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</si>
  <si>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</si>
  <si>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</si>
  <si>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</si>
  <si>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</si>
  <si>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</si>
  <si>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</si>
  <si>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</si>
  <si>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</si>
  <si>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</si>
  <si>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</si>
  <si>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</si>
  <si>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</si>
  <si>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</si>
  <si>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</si>
  <si>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</si>
  <si>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</si>
  <si>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</si>
  <si>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</si>
  <si>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</si>
  <si>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</si>
  <si>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</si>
  <si>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</si>
  <si>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</si>
  <si>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</si>
  <si>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</si>
  <si>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</si>
  <si>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</si>
  <si>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</si>
  <si>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</si>
  <si>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</si>
  <si>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</si>
  <si>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</si>
  <si>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</si>
  <si>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</si>
  <si>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</si>
  <si>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</si>
  <si>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</si>
  <si>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</si>
  <si>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</si>
  <si>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</si>
  <si>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</si>
  <si>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</si>
  <si>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</si>
  <si>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</si>
  <si>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</si>
  <si>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</si>
  <si>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</si>
  <si>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</si>
  <si>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</si>
  <si>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</si>
  <si>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</si>
  <si>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</si>
  <si>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</si>
  <si>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</si>
  <si>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</si>
  <si>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</si>
  <si>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</si>
  <si>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</si>
  <si>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</si>
  <si>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</si>
  <si>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</si>
  <si>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</si>
  <si>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</si>
  <si>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</si>
  <si>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</si>
  <si>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</si>
  <si>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</si>
  <si>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</si>
  <si>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</si>
  <si>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</si>
  <si>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</si>
  <si>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</si>
  <si>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</si>
  <si>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</si>
  <si>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</si>
  <si>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</si>
  <si>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</si>
  <si>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</si>
  <si>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</si>
  <si>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</si>
  <si>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</si>
  <si>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</si>
  <si>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</si>
  <si>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</si>
  <si>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</si>
  <si>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</si>
  <si>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</si>
  <si>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</si>
  <si>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</si>
  <si>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</si>
  <si>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</si>
  <si>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</si>
  <si>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</si>
  <si>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</si>
  <si>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</si>
  <si>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</si>
  <si>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</si>
  <si>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</si>
  <si>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</si>
  <si>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</si>
  <si>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</si>
  <si>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</si>
  <si>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</si>
  <si>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</si>
  <si>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</si>
  <si>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</si>
  <si>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</si>
  <si>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</si>
  <si>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</si>
  <si>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</si>
  <si>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</si>
  <si>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</si>
  <si>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</si>
  <si>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</si>
  <si>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</si>
  <si>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</si>
  <si>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</si>
  <si>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</si>
  <si>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</si>
  <si>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</si>
  <si>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</si>
  <si>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</si>
  <si>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</si>
  <si>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</si>
  <si>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</si>
  <si>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</si>
  <si>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</si>
  <si>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</si>
  <si>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</si>
  <si>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</si>
  <si>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</si>
  <si>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</si>
  <si>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</si>
  <si>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</si>
  <si>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</si>
  <si>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</si>
  <si>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</si>
  <si>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</si>
  <si>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</si>
  <si>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</si>
  <si>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</si>
  <si>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</si>
  <si>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</si>
  <si>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</si>
  <si>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</si>
  <si>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</si>
  <si>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</si>
  <si>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</si>
  <si>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</si>
  <si>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</si>
  <si>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</si>
  <si>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</si>
  <si>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</si>
  <si>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</si>
  <si>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</si>
  <si>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</si>
  <si>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</si>
  <si>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</si>
  <si>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</si>
  <si>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</si>
  <si>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</si>
  <si>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</si>
  <si>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</si>
  <si>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</si>
  <si>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</si>
  <si>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</si>
  <si>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</si>
  <si>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</si>
  <si>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</si>
  <si>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</si>
  <si>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</si>
  <si>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</si>
  <si>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</si>
  <si>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</si>
  <si>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</si>
  <si>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</si>
  <si>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</si>
  <si>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</si>
  <si>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</si>
  <si>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</si>
  <si>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</si>
  <si>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</si>
  <si>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</si>
  <si>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</si>
  <si>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</si>
  <si>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</si>
  <si>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</si>
  <si>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</si>
  <si>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</si>
  <si>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</si>
  <si>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</si>
  <si>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</si>
  <si>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</si>
  <si>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</si>
  <si>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</si>
  <si>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</si>
  <si>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</si>
  <si>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</si>
  <si>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</si>
  <si>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</si>
  <si>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</si>
  <si>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</si>
  <si>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</si>
  <si>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</si>
  <si>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</si>
  <si>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</si>
  <si>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</si>
  <si>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</si>
  <si>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</si>
  <si>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</si>
  <si>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</si>
  <si>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</si>
  <si>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</si>
  <si>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</si>
  <si>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</si>
  <si>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</si>
  <si>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</si>
  <si>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</si>
  <si>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</si>
  <si>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</si>
  <si>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</si>
  <si>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</si>
  <si>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</si>
  <si>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</si>
  <si>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</si>
  <si>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</si>
  <si>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</si>
  <si>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</si>
  <si>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</si>
  <si>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</si>
  <si>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</si>
  <si>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</si>
  <si>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</si>
  <si>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</si>
  <si>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</si>
  <si>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</si>
  <si>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</si>
  <si>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</si>
  <si>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</si>
  <si>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</si>
  <si>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</si>
  <si>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</si>
  <si>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</si>
  <si>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</si>
  <si>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</si>
  <si>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</si>
  <si>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</si>
  <si>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</si>
  <si>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</si>
  <si>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</si>
  <si>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</si>
  <si>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</si>
  <si>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</si>
  <si>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</si>
  <si>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</si>
  <si>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</si>
  <si>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</si>
  <si>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</si>
  <si>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</si>
  <si>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</si>
  <si>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</si>
  <si>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</si>
  <si>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</si>
  <si>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</si>
  <si>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</si>
  <si>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</si>
  <si>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</si>
  <si>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</si>
  <si>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</si>
  <si>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</si>
  <si>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</si>
  <si>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</si>
  <si>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</si>
  <si>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</si>
  <si>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</si>
  <si>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</si>
  <si>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</si>
  <si>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</si>
  <si>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</si>
  <si>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</si>
  <si>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</si>
  <si>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</si>
  <si>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</si>
  <si>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</si>
  <si>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</si>
  <si>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</si>
  <si>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</si>
  <si>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</si>
  <si>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</si>
  <si>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</si>
  <si>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</si>
  <si>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</si>
  <si>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</si>
  <si>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</si>
  <si>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</si>
  <si>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</si>
  <si>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</si>
  <si>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</si>
  <si>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</si>
  <si>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</si>
  <si>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</si>
  <si>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</si>
  <si>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</si>
  <si>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</si>
  <si>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</si>
  <si>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</si>
  <si>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</si>
  <si>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</si>
  <si>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</si>
  <si>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</si>
  <si>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</si>
  <si>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</si>
  <si>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</si>
  <si>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</si>
  <si>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</si>
  <si>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</si>
  <si>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</si>
  <si>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</si>
  <si>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</si>
  <si>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</si>
  <si>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</si>
  <si>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</si>
  <si>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</si>
  <si>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</si>
  <si>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</si>
  <si>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</si>
  <si>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</si>
  <si>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</si>
  <si>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</si>
  <si>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</si>
  <si>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</si>
  <si>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</si>
  <si>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</si>
  <si>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</si>
  <si>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</si>
  <si>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</si>
  <si>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</si>
  <si>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</si>
  <si>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</si>
  <si>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</si>
  <si>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</si>
  <si>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</si>
  <si>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</si>
  <si>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</si>
  <si>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</si>
  <si>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</si>
  <si>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</si>
  <si>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</si>
  <si>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</si>
  <si>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</si>
  <si>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</si>
  <si>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</si>
  <si>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</si>
  <si>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</si>
  <si>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</si>
  <si>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</si>
  <si>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</si>
  <si>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</si>
  <si>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</si>
  <si>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</si>
  <si>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</si>
  <si>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</si>
  <si>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</si>
  <si>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</si>
  <si>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</si>
  <si>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</si>
  <si>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</si>
  <si>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</si>
  <si>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</si>
  <si>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</si>
  <si>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</si>
  <si>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</si>
  <si>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</si>
  <si>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</si>
  <si>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</si>
  <si>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</si>
  <si>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</si>
  <si>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</si>
  <si>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</si>
  <si>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</si>
  <si>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</si>
  <si>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</si>
  <si>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</si>
  <si>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</si>
  <si>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</si>
  <si>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</si>
  <si>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</si>
  <si>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</si>
  <si>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</si>
  <si>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</si>
  <si>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</si>
  <si>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</si>
  <si>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</si>
  <si>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</si>
  <si>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</si>
  <si>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</si>
  <si>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</si>
  <si>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</si>
  <si>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</si>
  <si>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</si>
  <si>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</si>
  <si>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</si>
  <si>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</si>
  <si>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</si>
  <si>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</si>
  <si>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</si>
  <si>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</si>
  <si>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</si>
  <si>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</si>
  <si>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</si>
  <si>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</si>
  <si>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</si>
  <si>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</si>
  <si>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</si>
  <si>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</si>
  <si>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</si>
  <si>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</si>
  <si>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</si>
  <si>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</si>
  <si>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</si>
  <si>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</si>
  <si>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</si>
  <si>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</si>
  <si>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</si>
  <si>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</si>
  <si>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</si>
  <si>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</si>
  <si>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</si>
  <si>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</si>
  <si>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</si>
  <si>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</si>
  <si>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</si>
  <si>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</si>
  <si>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</si>
  <si>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</si>
  <si>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</si>
  <si>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</si>
  <si>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</si>
  <si>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</si>
  <si>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</si>
  <si>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</si>
  <si>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</si>
  <si>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</si>
  <si>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</si>
  <si>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</si>
  <si>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</si>
  <si>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</si>
  <si>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</si>
  <si>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</si>
  <si>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</si>
  <si>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</si>
  <si>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</si>
  <si>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</si>
  <si>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</si>
  <si>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</si>
  <si>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</si>
  <si>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</si>
  <si>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</si>
  <si>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</si>
  <si>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</si>
  <si>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</si>
  <si>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</si>
  <si>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</si>
  <si>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</si>
  <si>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</si>
  <si>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</si>
  <si>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</si>
  <si>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</si>
  <si>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</si>
  <si>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</si>
  <si>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</si>
  <si>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</si>
  <si>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</si>
  <si>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</si>
  <si>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</si>
  <si>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</si>
  <si>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</si>
  <si>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</si>
  <si>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</si>
  <si>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</si>
  <si>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</si>
  <si>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</si>
  <si>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</si>
  <si>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</si>
  <si>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</si>
  <si>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</si>
  <si>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</si>
  <si>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</si>
  <si>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</si>
  <si>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</si>
  <si>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</si>
  <si>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</si>
  <si>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</si>
  <si>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</si>
  <si>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</si>
  <si>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</si>
  <si>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</si>
  <si>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</si>
  <si>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</si>
  <si>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</si>
  <si>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</si>
  <si>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</si>
  <si>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</si>
  <si>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</si>
  <si>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</si>
  <si>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</si>
  <si>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</si>
  <si>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</si>
  <si>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</si>
  <si>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</si>
  <si>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</si>
  <si>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</si>
  <si>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</si>
  <si>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</si>
  <si>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</si>
  <si>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</si>
  <si>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</si>
  <si>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</si>
  <si>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</si>
  <si>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</si>
  <si>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</si>
  <si>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</si>
  <si>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</si>
  <si>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</si>
  <si>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</si>
  <si>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</si>
  <si>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</si>
  <si>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</si>
  <si>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</si>
  <si>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</si>
  <si>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</si>
  <si>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</si>
  <si>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</si>
  <si>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</si>
  <si>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</si>
  <si>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</si>
  <si>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</si>
  <si>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</si>
  <si>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</si>
  <si>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</si>
  <si>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</si>
  <si>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</si>
  <si>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</si>
  <si>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</si>
  <si>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</si>
  <si>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</si>
  <si>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</si>
  <si>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</si>
  <si>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</si>
  <si>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</si>
  <si>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</si>
  <si>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</si>
  <si>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</si>
  <si>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</si>
  <si>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</si>
  <si>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</si>
  <si>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</si>
  <si>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</si>
  <si>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</si>
  <si>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</si>
  <si>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</si>
  <si>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</si>
  <si>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</si>
  <si>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</si>
  <si>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</si>
  <si>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</si>
  <si>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</si>
  <si>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</si>
  <si>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</si>
  <si>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</si>
  <si>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</si>
  <si>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</si>
  <si>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</si>
  <si>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</si>
  <si>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</si>
  <si>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</si>
  <si>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</si>
  <si>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</si>
  <si>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</si>
  <si>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</si>
  <si>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</si>
  <si>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</si>
  <si>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</si>
  <si>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</si>
  <si>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</si>
  <si>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</si>
  <si>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</si>
  <si>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</si>
  <si>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</si>
  <si>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</si>
  <si>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</si>
  <si>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</si>
  <si>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</si>
  <si>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</si>
  <si>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</si>
  <si>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</si>
  <si>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</si>
  <si>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</si>
  <si>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</si>
  <si>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</si>
  <si>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</si>
  <si>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</si>
  <si>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</si>
  <si>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</si>
  <si>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</si>
  <si>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</si>
  <si>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</si>
  <si>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</si>
  <si>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</si>
  <si>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</si>
  <si>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</si>
  <si>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</si>
  <si>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</si>
  <si>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</si>
  <si>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</si>
  <si>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</si>
  <si>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</si>
  <si>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</si>
  <si>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</si>
  <si>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</si>
  <si>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</si>
  <si>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</si>
  <si>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</si>
  <si>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</si>
  <si>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</si>
  <si>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</si>
  <si>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</si>
  <si>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</si>
  <si>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</si>
  <si>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</si>
  <si>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</si>
  <si>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</si>
  <si>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</si>
  <si>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</si>
  <si>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</si>
  <si>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</si>
  <si>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</si>
  <si>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</si>
  <si>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</si>
  <si>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</si>
  <si>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</si>
  <si>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</si>
  <si>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</si>
  <si>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</si>
  <si>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</si>
  <si>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</si>
  <si>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</si>
  <si>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</si>
  <si>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</si>
  <si>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</si>
  <si>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</si>
  <si>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</si>
  <si>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</si>
  <si>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</si>
  <si>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</si>
  <si>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</si>
  <si>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</si>
  <si>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</si>
  <si>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</si>
  <si>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</si>
  <si>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</si>
  <si>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</si>
  <si>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</si>
  <si>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</si>
  <si>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</si>
  <si>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</si>
  <si>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</si>
  <si>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</si>
  <si>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</si>
  <si>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</si>
  <si>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</si>
  <si>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</si>
  <si>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</si>
  <si>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</si>
  <si>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</si>
  <si>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</si>
  <si>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</si>
  <si>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</si>
  <si>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</si>
  <si>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</si>
  <si>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</si>
  <si>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</si>
  <si>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</si>
  <si>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</si>
  <si>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</si>
  <si>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</si>
  <si>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</si>
  <si>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</si>
  <si>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</si>
  <si>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</si>
  <si>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</si>
  <si>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</si>
  <si>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</si>
  <si>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</si>
  <si>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</si>
  <si>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</si>
  <si>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</si>
  <si>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</si>
  <si>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</si>
  <si>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</si>
  <si>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</si>
  <si>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</si>
  <si>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</si>
  <si>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</si>
  <si>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</si>
  <si>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</si>
  <si>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</si>
  <si>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</si>
  <si>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</si>
  <si>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</si>
  <si>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</si>
  <si>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</si>
  <si>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</si>
  <si>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</si>
  <si>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</si>
  <si>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</si>
  <si>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</si>
  <si>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</si>
  <si>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</si>
  <si>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</si>
  <si>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</si>
  <si>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</si>
  <si>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</si>
  <si>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</si>
  <si>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</si>
  <si>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</si>
  <si>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</si>
  <si>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</si>
  <si>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</si>
  <si>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</si>
  <si>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</si>
  <si>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</si>
  <si>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</si>
  <si>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</si>
  <si>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</si>
  <si>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</si>
  <si>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</si>
  <si>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</si>
  <si>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</si>
  <si>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</si>
  <si>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</si>
  <si>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</si>
  <si>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</si>
  <si>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</si>
  <si>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</si>
  <si>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</si>
  <si>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</si>
  <si>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</si>
  <si>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</si>
  <si>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</si>
  <si>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</si>
  <si>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</si>
  <si>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</si>
  <si>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</si>
  <si>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</si>
  <si>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</si>
  <si>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</si>
  <si>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</si>
  <si>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</si>
  <si>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</si>
  <si>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</si>
  <si>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</si>
  <si>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</si>
  <si>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</si>
  <si>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</si>
  <si>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</si>
  <si>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</si>
  <si>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</si>
  <si>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</si>
  <si>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</si>
  <si>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</si>
  <si>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</si>
  <si>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</si>
  <si>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</si>
  <si>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</si>
  <si>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</si>
  <si>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</si>
  <si>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</si>
  <si>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</si>
  <si>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</si>
  <si>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</si>
  <si>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</si>
  <si>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</si>
  <si>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</si>
  <si>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</si>
  <si>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</si>
  <si>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</si>
  <si>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</si>
  <si>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</si>
  <si>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</si>
  <si>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</si>
  <si>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</si>
  <si>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</si>
  <si>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</si>
  <si>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</si>
  <si>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</si>
  <si>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</si>
  <si>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</si>
  <si>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</si>
  <si>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</si>
  <si>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</si>
  <si>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</si>
  <si>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</si>
  <si>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</si>
  <si>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</si>
  <si>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</si>
  <si>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</si>
  <si>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</si>
  <si>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</si>
  <si>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</si>
  <si>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</si>
  <si>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</si>
  <si>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</si>
  <si>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</si>
  <si>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</si>
  <si>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</si>
  <si>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</si>
  <si>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</si>
  <si>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</si>
  <si>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</si>
  <si>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</si>
  <si>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</si>
  <si>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</si>
  <si>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</si>
  <si>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</si>
  <si>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</si>
  <si>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</si>
  <si>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</si>
  <si>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</si>
  <si>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</si>
  <si>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</si>
  <si>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</si>
  <si>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</si>
  <si>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</si>
  <si>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</si>
  <si>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</si>
  <si>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</si>
  <si>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</si>
  <si>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</si>
  <si>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</si>
  <si>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</si>
  <si>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</si>
  <si>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</si>
  <si>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</si>
  <si>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</si>
  <si>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</si>
  <si>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</si>
  <si>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</si>
  <si>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</si>
  <si>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</si>
  <si>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</si>
  <si>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</si>
  <si>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</si>
  <si>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</si>
  <si>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</si>
  <si>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</si>
  <si>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</si>
  <si>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</si>
  <si>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</si>
  <si>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</si>
  <si>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</si>
  <si>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</si>
  <si>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</si>
  <si>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</si>
  <si>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</si>
  <si>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</si>
  <si>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</si>
  <si>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</si>
  <si>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</si>
  <si>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</si>
  <si>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</si>
  <si>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</si>
  <si>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</si>
  <si>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</si>
  <si>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</si>
  <si>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</si>
  <si>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</si>
  <si>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</si>
  <si>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</si>
  <si>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</si>
  <si>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</si>
  <si>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</si>
  <si>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</si>
  <si>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</si>
  <si>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</si>
  <si>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</si>
  <si>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</si>
  <si>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t>住宅</t>
  </si>
  <si>
    <t>住宅</t>
    <phoneticPr fontId="7" type="noConversion"/>
  </si>
  <si>
    <t>与房产证证载一致</t>
  </si>
  <si>
    <t>元</t>
  </si>
  <si>
    <t>楼面单价</t>
  </si>
  <si>
    <t>通路</t>
  </si>
  <si>
    <t>通电</t>
  </si>
  <si>
    <t>通讯</t>
  </si>
  <si>
    <t>通上水</t>
  </si>
  <si>
    <t>通下水</t>
  </si>
  <si>
    <t>平整</t>
  </si>
  <si>
    <t>燃气</t>
  </si>
  <si>
    <t>无租约</t>
  </si>
  <si>
    <t>成本法</t>
  </si>
  <si>
    <t>未包含在土地购买价格中</t>
  </si>
  <si>
    <t>已包含在土地取得成本中</t>
  </si>
  <si>
    <t>无</t>
  </si>
  <si>
    <t>居住用地（指二类居住用地）</t>
  </si>
  <si>
    <r>
      <rPr>
        <sz val="10"/>
        <color indexed="8"/>
        <rFont val="宋体"/>
        <family val="3"/>
        <charset val="134"/>
      </rPr>
      <t>北京市昌平区</t>
    </r>
    <r>
      <rPr>
        <sz val="10"/>
        <color rgb="FF000000"/>
        <rFont val="宋体"/>
        <family val="3"/>
        <charset val="134"/>
      </rPr>
      <t>昌平镇通福桥甲</t>
    </r>
    <r>
      <rPr>
        <sz val="10"/>
        <color rgb="FF000000"/>
        <rFont val="Arial"/>
        <family val="3"/>
      </rPr>
      <t>31</t>
    </r>
    <r>
      <rPr>
        <sz val="10"/>
        <color rgb="FF000000"/>
        <rFont val="宋体"/>
        <family val="3"/>
        <charset val="134"/>
      </rPr>
      <t>号</t>
    </r>
    <r>
      <rPr>
        <sz val="10"/>
        <color rgb="FF000000"/>
        <rFont val="Arial"/>
        <family val="3"/>
      </rPr>
      <t>1</t>
    </r>
    <r>
      <rPr>
        <sz val="10"/>
        <color rgb="FF000000"/>
        <rFont val="宋体"/>
        <family val="3"/>
        <charset val="134"/>
      </rPr>
      <t>号楼</t>
    </r>
    <r>
      <rPr>
        <sz val="10"/>
        <color rgb="FF000000"/>
        <rFont val="Arial"/>
        <family val="3"/>
      </rPr>
      <t>1</t>
    </r>
    <r>
      <rPr>
        <sz val="10"/>
        <color rgb="FF000000"/>
        <rFont val="宋体"/>
        <family val="3"/>
        <charset val="134"/>
      </rPr>
      <t>单元</t>
    </r>
    <r>
      <rPr>
        <sz val="10"/>
        <color rgb="FF000000"/>
        <rFont val="Arial"/>
        <family val="3"/>
      </rPr>
      <t>11</t>
    </r>
    <r>
      <rPr>
        <sz val="10"/>
        <color rgb="FF000000"/>
        <rFont val="宋体"/>
        <family val="3"/>
        <charset val="134"/>
      </rPr>
      <t>号</t>
    </r>
    <phoneticPr fontId="7" type="noConversion"/>
  </si>
  <si>
    <t>不动产权证书</t>
  </si>
  <si>
    <t>500米范围内</t>
  </si>
  <si>
    <t>有</t>
  </si>
  <si>
    <t>案例A</t>
    <phoneticPr fontId="146" type="noConversion"/>
  </si>
  <si>
    <t>案例B</t>
    <phoneticPr fontId="146" type="noConversion"/>
  </si>
  <si>
    <t>案例C</t>
    <phoneticPr fontId="146" type="noConversion"/>
  </si>
  <si>
    <r>
      <rPr>
        <sz val="11"/>
        <color theme="9" tint="-0.249977111117893"/>
        <rFont val="宋体"/>
        <family val="2"/>
        <charset val="134"/>
      </rPr>
      <t>北京市昌平区昌平镇通福桥甲</t>
    </r>
    <r>
      <rPr>
        <sz val="11"/>
        <color theme="9" tint="-0.249977111117893"/>
        <rFont val="Arial"/>
        <family val="2"/>
      </rPr>
      <t>31</t>
    </r>
    <r>
      <rPr>
        <sz val="11"/>
        <color theme="9" tint="-0.249977111117893"/>
        <rFont val="宋体"/>
        <family val="2"/>
        <charset val="134"/>
      </rPr>
      <t>号</t>
    </r>
    <r>
      <rPr>
        <sz val="11"/>
        <color theme="9" tint="-0.249977111117893"/>
        <rFont val="Arial"/>
        <family val="2"/>
      </rPr>
      <t>1</t>
    </r>
    <r>
      <rPr>
        <sz val="11"/>
        <color theme="9" tint="-0.249977111117893"/>
        <rFont val="宋体"/>
        <family val="2"/>
        <charset val="134"/>
      </rPr>
      <t>号楼</t>
    </r>
    <r>
      <rPr>
        <sz val="11"/>
        <color theme="9" tint="-0.249977111117893"/>
        <rFont val="Arial"/>
        <family val="2"/>
      </rPr>
      <t>1</t>
    </r>
    <r>
      <rPr>
        <sz val="11"/>
        <color theme="9" tint="-0.249977111117893"/>
        <rFont val="宋体"/>
        <family val="2"/>
        <charset val="134"/>
      </rPr>
      <t>单元</t>
    </r>
    <r>
      <rPr>
        <sz val="11"/>
        <color theme="9" tint="-0.249977111117893"/>
        <rFont val="Arial"/>
        <family val="2"/>
      </rPr>
      <t>11</t>
    </r>
    <r>
      <rPr>
        <sz val="11"/>
        <color theme="9" tint="-0.249977111117893"/>
        <rFont val="宋体"/>
        <family val="2"/>
        <charset val="134"/>
      </rPr>
      <t>号</t>
    </r>
    <phoneticPr fontId="20" type="noConversion"/>
  </si>
  <si>
    <t>比较法-住宅</t>
  </si>
  <si>
    <t>安福苑</t>
    <phoneticPr fontId="4" type="noConversion"/>
  </si>
  <si>
    <t>估价对象周边有西环里、安福苑、燕平家园、和平家园小区等住宅项目，居住社区成熟度好。</t>
    <phoneticPr fontId="35" type="noConversion"/>
  </si>
  <si>
    <t>估价对象周边有昌11路、昌21路、昌52路、昌59路等多条公交线路。以估价对象为圆心，半径1000米范围内有地铁昌平线昌平地铁站，交通便捷程度好。</t>
    <phoneticPr fontId="35" type="noConversion"/>
  </si>
  <si>
    <t xml:space="preserve">自然环境：昌平公园、北山公园等自然景观；
人文环境：中国石油大学、中国政法大学昌平校区等人文场所；
综合评价环境状况好。
</t>
    <phoneticPr fontId="35" type="noConversion"/>
  </si>
  <si>
    <t>城市支路—通福桥胡同</t>
    <phoneticPr fontId="20" type="noConversion"/>
  </si>
  <si>
    <t>西环里</t>
    <phoneticPr fontId="4" type="noConversion"/>
  </si>
  <si>
    <t>住宅</t>
    <phoneticPr fontId="20" type="noConversion"/>
  </si>
  <si>
    <t>40-50（含）</t>
  </si>
  <si>
    <t>七通</t>
  </si>
  <si>
    <t>楼层</t>
    <phoneticPr fontId="20" type="noConversion"/>
  </si>
  <si>
    <t>南北</t>
  </si>
  <si>
    <t>南北</t>
    <phoneticPr fontId="20" type="noConversion"/>
  </si>
  <si>
    <t>南</t>
  </si>
  <si>
    <t>南</t>
    <phoneticPr fontId="20" type="noConversion"/>
  </si>
  <si>
    <t>城市主干路—西环路</t>
    <phoneticPr fontId="20" type="noConversion"/>
  </si>
  <si>
    <t>城市主干路—鼓楼东街</t>
    <phoneticPr fontId="20" type="noConversion"/>
  </si>
  <si>
    <r>
      <t>4</t>
    </r>
    <r>
      <rPr>
        <sz val="11"/>
        <color rgb="FF000000"/>
        <rFont val="宋体"/>
        <family val="2"/>
        <charset val="134"/>
      </rPr>
      <t>层（共</t>
    </r>
    <r>
      <rPr>
        <sz val="11"/>
        <color rgb="FF000000"/>
        <rFont val="Arial"/>
        <family val="2"/>
      </rPr>
      <t>6</t>
    </r>
    <r>
      <rPr>
        <sz val="11"/>
        <color rgb="FF000000"/>
        <rFont val="宋体"/>
        <family val="2"/>
        <charset val="134"/>
      </rPr>
      <t>层）</t>
    </r>
    <phoneticPr fontId="20" type="noConversion"/>
  </si>
  <si>
    <r>
      <t>4</t>
    </r>
    <r>
      <rPr>
        <sz val="11"/>
        <color rgb="FF000000"/>
        <rFont val="宋体"/>
        <family val="2"/>
        <charset val="134"/>
      </rPr>
      <t>层（共</t>
    </r>
    <r>
      <rPr>
        <sz val="11"/>
        <color rgb="FF000000"/>
        <rFont val="Arial"/>
        <family val="2"/>
      </rPr>
      <t>5</t>
    </r>
    <r>
      <rPr>
        <sz val="11"/>
        <color rgb="FF000000"/>
        <rFont val="宋体"/>
        <family val="2"/>
        <charset val="134"/>
      </rPr>
      <t>层）</t>
    </r>
    <phoneticPr fontId="20" type="noConversion"/>
  </si>
  <si>
    <r>
      <t>2</t>
    </r>
    <r>
      <rPr>
        <sz val="11"/>
        <color rgb="FF000000"/>
        <rFont val="宋体"/>
        <family val="2"/>
        <charset val="134"/>
      </rPr>
      <t>层（共</t>
    </r>
    <r>
      <rPr>
        <sz val="11"/>
        <color rgb="FF000000"/>
        <rFont val="Arial"/>
        <family val="2"/>
      </rPr>
      <t>5</t>
    </r>
    <r>
      <rPr>
        <sz val="11"/>
        <color rgb="FF000000"/>
        <rFont val="宋体"/>
        <family val="2"/>
        <charset val="134"/>
      </rPr>
      <t>层）</t>
    </r>
    <phoneticPr fontId="20" type="noConversion"/>
  </si>
  <si>
    <r>
      <t>4</t>
    </r>
    <r>
      <rPr>
        <sz val="11"/>
        <rFont val="宋体"/>
        <family val="2"/>
        <charset val="134"/>
      </rPr>
      <t>层（共</t>
    </r>
    <r>
      <rPr>
        <sz val="11"/>
        <rFont val="Arial"/>
        <family val="2"/>
      </rPr>
      <t>6</t>
    </r>
    <r>
      <rPr>
        <sz val="11"/>
        <rFont val="宋体"/>
        <family val="2"/>
        <charset val="134"/>
      </rPr>
      <t>层）</t>
    </r>
    <phoneticPr fontId="20" type="noConversion"/>
  </si>
  <si>
    <r>
      <t>4</t>
    </r>
    <r>
      <rPr>
        <sz val="11"/>
        <rFont val="宋体"/>
        <family val="2"/>
        <charset val="134"/>
      </rPr>
      <t>层（共</t>
    </r>
    <r>
      <rPr>
        <sz val="11"/>
        <rFont val="Arial"/>
        <family val="2"/>
      </rPr>
      <t>5</t>
    </r>
    <r>
      <rPr>
        <sz val="11"/>
        <rFont val="宋体"/>
        <family val="2"/>
        <charset val="134"/>
      </rPr>
      <t>层）</t>
    </r>
    <phoneticPr fontId="20" type="noConversion"/>
  </si>
  <si>
    <r>
      <t>2</t>
    </r>
    <r>
      <rPr>
        <sz val="11"/>
        <rFont val="宋体"/>
        <family val="2"/>
        <charset val="134"/>
      </rPr>
      <t>层（共</t>
    </r>
    <r>
      <rPr>
        <sz val="11"/>
        <rFont val="Arial"/>
        <family val="2"/>
      </rPr>
      <t>5</t>
    </r>
    <r>
      <rPr>
        <sz val="11"/>
        <rFont val="宋体"/>
        <family val="2"/>
        <charset val="134"/>
      </rPr>
      <t>层）</t>
    </r>
    <phoneticPr fontId="20" type="noConversion"/>
  </si>
  <si>
    <t>多层板楼</t>
  </si>
  <si>
    <t>多层板楼</t>
    <phoneticPr fontId="20" type="noConversion"/>
  </si>
  <si>
    <t>砖混</t>
  </si>
  <si>
    <t>砖混</t>
    <phoneticPr fontId="20" type="noConversion"/>
  </si>
  <si>
    <t>普通</t>
  </si>
  <si>
    <t>普通</t>
    <phoneticPr fontId="20" type="noConversion"/>
  </si>
  <si>
    <t>普通装修</t>
  </si>
  <si>
    <t>普通装修</t>
    <phoneticPr fontId="20" type="noConversion"/>
  </si>
  <si>
    <t>居委会管理</t>
  </si>
  <si>
    <t>居委会管理</t>
    <phoneticPr fontId="20" type="noConversion"/>
  </si>
  <si>
    <t>单位自管</t>
  </si>
  <si>
    <t>单位自管</t>
    <phoneticPr fontId="20" type="noConversion"/>
  </si>
  <si>
    <t>七通一平</t>
  </si>
  <si>
    <t>七通一平</t>
    <phoneticPr fontId="20" type="noConversion"/>
  </si>
  <si>
    <t>六通一平</t>
  </si>
  <si>
    <t>六通一平</t>
    <phoneticPr fontId="20" type="noConversion"/>
  </si>
  <si>
    <t>平层</t>
  </si>
  <si>
    <t>平层</t>
    <phoneticPr fontId="20" type="noConversion"/>
  </si>
  <si>
    <t>建成年代</t>
    <phoneticPr fontId="20" type="noConversion"/>
  </si>
  <si>
    <t>简单装修</t>
  </si>
  <si>
    <t>简单装修</t>
    <phoneticPr fontId="20" type="noConversion"/>
  </si>
  <si>
    <t>与级别开发程度一致</t>
  </si>
  <si>
    <t>Ⅶ-昌1</t>
  </si>
  <si>
    <t>通热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</si>
</sst>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rgb="FF000000"/>
      <name val="Arial"/>
      <family val="3"/>
    </font>
    <font>
      <sz val="10"/>
      <color indexed="8"/>
      <name val="Arial"/>
      <family val="3"/>
      <charset val="134"/>
    </font>
    <font>
      <sz val="11"/>
      <color theme="9" tint="-0.249977111117893"/>
      <name val="宋体"/>
      <family val="2"/>
      <charset val="134"/>
    </font>
    <font>
      <sz val="11"/>
      <color theme="9" tint="-0.249977111117893"/>
      <name val="Arial"/>
      <family val="2"/>
      <charset val="134"/>
    </font>
    <font>
      <sz val="11"/>
      <color rgb="FF000000"/>
      <name val="宋体"/>
      <family val="2"/>
      <charset val="134"/>
    </font>
    <font>
      <sz val="11"/>
      <color rgb="FF000000"/>
      <name val="Arial"/>
      <family val="2"/>
    </font>
    <font>
      <sz val="11"/>
      <name val="宋体"/>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258" fillId="0" borderId="46" xfId="0" applyNumberFormat="1" applyFont="1" applyFill="1" applyBorder="1" applyAlignment="1" applyProtection="1">
      <alignment horizontal="left" vertical="center" wrapText="1"/>
      <protection locked="0"/>
    </xf>
    <xf numFmtId="0" fontId="258" fillId="0" borderId="2" xfId="0" applyFont="1" applyFill="1" applyBorder="1" applyAlignment="1" applyProtection="1">
      <alignment horizontal="left" vertical="center" wrapText="1"/>
      <protection locked="0"/>
    </xf>
    <xf numFmtId="0" fontId="258" fillId="0" borderId="32" xfId="0" applyNumberFormat="1" applyFont="1" applyFill="1" applyBorder="1" applyAlignment="1" applyProtection="1">
      <alignment horizontal="left" vertical="center" wrapText="1"/>
      <protection locked="0"/>
    </xf>
    <xf numFmtId="0" fontId="258" fillId="0" borderId="23" xfId="0" applyNumberFormat="1" applyFont="1" applyFill="1" applyBorder="1" applyAlignment="1" applyProtection="1">
      <alignment horizontal="left" vertical="center" wrapText="1"/>
      <protection locked="0"/>
    </xf>
    <xf numFmtId="49" fontId="258" fillId="0" borderId="24" xfId="0" applyNumberFormat="1" applyFont="1" applyFill="1" applyBorder="1" applyAlignment="1" applyProtection="1">
      <alignment horizontal="left" vertical="center" wrapText="1"/>
      <protection locked="0"/>
    </xf>
    <xf numFmtId="49" fontId="258" fillId="0" borderId="23" xfId="0" applyNumberFormat="1" applyFont="1" applyFill="1" applyBorder="1" applyAlignment="1" applyProtection="1">
      <alignment horizontal="left" vertical="center" wrapText="1"/>
      <protection locked="0"/>
    </xf>
    <xf numFmtId="0" fontId="260" fillId="0" borderId="11" xfId="0" applyNumberFormat="1" applyFont="1" applyFill="1" applyBorder="1" applyAlignment="1" applyProtection="1">
      <alignment horizontal="left" vertical="center" wrapText="1"/>
      <protection locked="0"/>
    </xf>
    <xf numFmtId="0" fontId="260"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56"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5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xr:uid="{00000000-0005-0000-0000-00000100000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49</xdr:row>
      <xdr:rowOff>1</xdr:rowOff>
    </xdr:from>
    <xdr:to>
      <xdr:col>10</xdr:col>
      <xdr:colOff>603250</xdr:colOff>
      <xdr:row>67</xdr:row>
      <xdr:rowOff>90907</xdr:rowOff>
    </xdr:to>
    <xdr:pic>
      <xdr:nvPicPr>
        <xdr:cNvPr id="10" name="图片 9">
          <a:extLst>
            <a:ext uri="{FF2B5EF4-FFF2-40B4-BE49-F238E27FC236}">
              <a16:creationId xmlns:a16="http://schemas.microsoft.com/office/drawing/2014/main" id="{76A2BF0E-90CD-4813-A630-10FDC19ACB5A}"/>
            </a:ext>
          </a:extLst>
        </xdr:cNvPr>
        <xdr:cNvPicPr>
          <a:picLocks noChangeAspect="1"/>
        </xdr:cNvPicPr>
      </xdr:nvPicPr>
      <xdr:blipFill>
        <a:blip xmlns:r="http://schemas.openxmlformats.org/officeDocument/2006/relationships" r:embed="rId1"/>
        <a:stretch>
          <a:fillRect/>
        </a:stretch>
      </xdr:blipFill>
      <xdr:spPr>
        <a:xfrm>
          <a:off x="1" y="8712201"/>
          <a:ext cx="6699249" cy="3291306"/>
        </a:xfrm>
        <a:prstGeom prst="rect">
          <a:avLst/>
        </a:prstGeom>
      </xdr:spPr>
    </xdr:pic>
    <xdr:clientData/>
  </xdr:twoCellAnchor>
  <xdr:twoCellAnchor editAs="oneCell">
    <xdr:from>
      <xdr:col>10</xdr:col>
      <xdr:colOff>603251</xdr:colOff>
      <xdr:row>48</xdr:row>
      <xdr:rowOff>107950</xdr:rowOff>
    </xdr:from>
    <xdr:to>
      <xdr:col>18</xdr:col>
      <xdr:colOff>368301</xdr:colOff>
      <xdr:row>60</xdr:row>
      <xdr:rowOff>87192</xdr:rowOff>
    </xdr:to>
    <xdr:pic>
      <xdr:nvPicPr>
        <xdr:cNvPr id="11" name="图片 10">
          <a:extLst>
            <a:ext uri="{FF2B5EF4-FFF2-40B4-BE49-F238E27FC236}">
              <a16:creationId xmlns:a16="http://schemas.microsoft.com/office/drawing/2014/main" id="{9141B8EB-BF56-4CC5-9618-57A03D000F4B}"/>
            </a:ext>
          </a:extLst>
        </xdr:cNvPr>
        <xdr:cNvPicPr>
          <a:picLocks noChangeAspect="1"/>
        </xdr:cNvPicPr>
      </xdr:nvPicPr>
      <xdr:blipFill>
        <a:blip xmlns:r="http://schemas.openxmlformats.org/officeDocument/2006/relationships" r:embed="rId2"/>
        <a:stretch>
          <a:fillRect/>
        </a:stretch>
      </xdr:blipFill>
      <xdr:spPr>
        <a:xfrm>
          <a:off x="6699251" y="8642350"/>
          <a:ext cx="4641850" cy="2112842"/>
        </a:xfrm>
        <a:prstGeom prst="rect">
          <a:avLst/>
        </a:prstGeom>
      </xdr:spPr>
    </xdr:pic>
    <xdr:clientData/>
  </xdr:twoCellAnchor>
  <xdr:twoCellAnchor editAs="oneCell">
    <xdr:from>
      <xdr:col>11</xdr:col>
      <xdr:colOff>0</xdr:colOff>
      <xdr:row>60</xdr:row>
      <xdr:rowOff>69851</xdr:rowOff>
    </xdr:from>
    <xdr:to>
      <xdr:col>18</xdr:col>
      <xdr:colOff>400050</xdr:colOff>
      <xdr:row>68</xdr:row>
      <xdr:rowOff>128135</xdr:rowOff>
    </xdr:to>
    <xdr:pic>
      <xdr:nvPicPr>
        <xdr:cNvPr id="12" name="图片 11">
          <a:extLst>
            <a:ext uri="{FF2B5EF4-FFF2-40B4-BE49-F238E27FC236}">
              <a16:creationId xmlns:a16="http://schemas.microsoft.com/office/drawing/2014/main" id="{C8A4890E-3149-443A-A859-9477C1C5D0DC}"/>
            </a:ext>
          </a:extLst>
        </xdr:cNvPr>
        <xdr:cNvPicPr>
          <a:picLocks noChangeAspect="1"/>
        </xdr:cNvPicPr>
      </xdr:nvPicPr>
      <xdr:blipFill>
        <a:blip xmlns:r="http://schemas.openxmlformats.org/officeDocument/2006/relationships" r:embed="rId3"/>
        <a:stretch>
          <a:fillRect/>
        </a:stretch>
      </xdr:blipFill>
      <xdr:spPr>
        <a:xfrm>
          <a:off x="6705600" y="10737851"/>
          <a:ext cx="4667250" cy="1480684"/>
        </a:xfrm>
        <a:prstGeom prst="rect">
          <a:avLst/>
        </a:prstGeom>
      </xdr:spPr>
    </xdr:pic>
    <xdr:clientData/>
  </xdr:twoCellAnchor>
  <xdr:twoCellAnchor editAs="oneCell">
    <xdr:from>
      <xdr:col>10</xdr:col>
      <xdr:colOff>565150</xdr:colOff>
      <xdr:row>68</xdr:row>
      <xdr:rowOff>133350</xdr:rowOff>
    </xdr:from>
    <xdr:to>
      <xdr:col>20</xdr:col>
      <xdr:colOff>573545</xdr:colOff>
      <xdr:row>83</xdr:row>
      <xdr:rowOff>95250</xdr:rowOff>
    </xdr:to>
    <xdr:pic>
      <xdr:nvPicPr>
        <xdr:cNvPr id="13" name="图片 12">
          <a:extLst>
            <a:ext uri="{FF2B5EF4-FFF2-40B4-BE49-F238E27FC236}">
              <a16:creationId xmlns:a16="http://schemas.microsoft.com/office/drawing/2014/main" id="{284DEC10-DCF6-474C-B3EE-A4B3D9ADC433}"/>
            </a:ext>
          </a:extLst>
        </xdr:cNvPr>
        <xdr:cNvPicPr>
          <a:picLocks noChangeAspect="1"/>
        </xdr:cNvPicPr>
      </xdr:nvPicPr>
      <xdr:blipFill>
        <a:blip xmlns:r="http://schemas.openxmlformats.org/officeDocument/2006/relationships" r:embed="rId4"/>
        <a:stretch>
          <a:fillRect/>
        </a:stretch>
      </xdr:blipFill>
      <xdr:spPr>
        <a:xfrm>
          <a:off x="6661150" y="12223750"/>
          <a:ext cx="6104395" cy="2628900"/>
        </a:xfrm>
        <a:prstGeom prst="rect">
          <a:avLst/>
        </a:prstGeom>
      </xdr:spPr>
    </xdr:pic>
    <xdr:clientData/>
  </xdr:twoCellAnchor>
  <xdr:twoCellAnchor editAs="oneCell">
    <xdr:from>
      <xdr:col>0</xdr:col>
      <xdr:colOff>0</xdr:colOff>
      <xdr:row>67</xdr:row>
      <xdr:rowOff>165100</xdr:rowOff>
    </xdr:from>
    <xdr:to>
      <xdr:col>11</xdr:col>
      <xdr:colOff>82550</xdr:colOff>
      <xdr:row>87</xdr:row>
      <xdr:rowOff>20192</xdr:rowOff>
    </xdr:to>
    <xdr:pic>
      <xdr:nvPicPr>
        <xdr:cNvPr id="14" name="图片 13">
          <a:extLst>
            <a:ext uri="{FF2B5EF4-FFF2-40B4-BE49-F238E27FC236}">
              <a16:creationId xmlns:a16="http://schemas.microsoft.com/office/drawing/2014/main" id="{F93ABC2C-E722-4462-ABCD-64DD0FD36311}"/>
            </a:ext>
          </a:extLst>
        </xdr:cNvPr>
        <xdr:cNvPicPr>
          <a:picLocks noChangeAspect="1"/>
        </xdr:cNvPicPr>
      </xdr:nvPicPr>
      <xdr:blipFill>
        <a:blip xmlns:r="http://schemas.openxmlformats.org/officeDocument/2006/relationships" r:embed="rId5"/>
        <a:stretch>
          <a:fillRect/>
        </a:stretch>
      </xdr:blipFill>
      <xdr:spPr>
        <a:xfrm>
          <a:off x="0" y="12077700"/>
          <a:ext cx="6788150" cy="3411092"/>
        </a:xfrm>
        <a:prstGeom prst="rect">
          <a:avLst/>
        </a:prstGeom>
      </xdr:spPr>
    </xdr:pic>
    <xdr:clientData/>
  </xdr:twoCellAnchor>
  <xdr:twoCellAnchor editAs="oneCell">
    <xdr:from>
      <xdr:col>0</xdr:col>
      <xdr:colOff>1</xdr:colOff>
      <xdr:row>1</xdr:row>
      <xdr:rowOff>0</xdr:rowOff>
    </xdr:from>
    <xdr:to>
      <xdr:col>11</xdr:col>
      <xdr:colOff>19600</xdr:colOff>
      <xdr:row>23</xdr:row>
      <xdr:rowOff>19050</xdr:rowOff>
    </xdr:to>
    <xdr:pic>
      <xdr:nvPicPr>
        <xdr:cNvPr id="15" name="图片 14">
          <a:extLst>
            <a:ext uri="{FF2B5EF4-FFF2-40B4-BE49-F238E27FC236}">
              <a16:creationId xmlns:a16="http://schemas.microsoft.com/office/drawing/2014/main" id="{C941E344-5709-4060-855E-A0BE1B431453}"/>
            </a:ext>
          </a:extLst>
        </xdr:cNvPr>
        <xdr:cNvPicPr>
          <a:picLocks noChangeAspect="1"/>
        </xdr:cNvPicPr>
      </xdr:nvPicPr>
      <xdr:blipFill>
        <a:blip xmlns:r="http://schemas.openxmlformats.org/officeDocument/2006/relationships" r:embed="rId6"/>
        <a:stretch>
          <a:fillRect/>
        </a:stretch>
      </xdr:blipFill>
      <xdr:spPr>
        <a:xfrm>
          <a:off x="1" y="177800"/>
          <a:ext cx="6725199" cy="3930650"/>
        </a:xfrm>
        <a:prstGeom prst="rect">
          <a:avLst/>
        </a:prstGeom>
      </xdr:spPr>
    </xdr:pic>
    <xdr:clientData/>
  </xdr:twoCellAnchor>
  <xdr:twoCellAnchor editAs="oneCell">
    <xdr:from>
      <xdr:col>11</xdr:col>
      <xdr:colOff>0</xdr:colOff>
      <xdr:row>1</xdr:row>
      <xdr:rowOff>0</xdr:rowOff>
    </xdr:from>
    <xdr:to>
      <xdr:col>19</xdr:col>
      <xdr:colOff>147062</xdr:colOff>
      <xdr:row>13</xdr:row>
      <xdr:rowOff>114300</xdr:rowOff>
    </xdr:to>
    <xdr:pic>
      <xdr:nvPicPr>
        <xdr:cNvPr id="16" name="图片 15">
          <a:extLst>
            <a:ext uri="{FF2B5EF4-FFF2-40B4-BE49-F238E27FC236}">
              <a16:creationId xmlns:a16="http://schemas.microsoft.com/office/drawing/2014/main" id="{04CBA522-008B-40AC-A1B6-D06EFE2FBF9F}"/>
            </a:ext>
          </a:extLst>
        </xdr:cNvPr>
        <xdr:cNvPicPr>
          <a:picLocks noChangeAspect="1"/>
        </xdr:cNvPicPr>
      </xdr:nvPicPr>
      <xdr:blipFill>
        <a:blip xmlns:r="http://schemas.openxmlformats.org/officeDocument/2006/relationships" r:embed="rId7"/>
        <a:stretch>
          <a:fillRect/>
        </a:stretch>
      </xdr:blipFill>
      <xdr:spPr>
        <a:xfrm>
          <a:off x="6705600" y="177800"/>
          <a:ext cx="5023862" cy="2247900"/>
        </a:xfrm>
        <a:prstGeom prst="rect">
          <a:avLst/>
        </a:prstGeom>
      </xdr:spPr>
    </xdr:pic>
    <xdr:clientData/>
  </xdr:twoCellAnchor>
  <xdr:twoCellAnchor editAs="oneCell">
    <xdr:from>
      <xdr:col>11</xdr:col>
      <xdr:colOff>25401</xdr:colOff>
      <xdr:row>14</xdr:row>
      <xdr:rowOff>1</xdr:rowOff>
    </xdr:from>
    <xdr:to>
      <xdr:col>19</xdr:col>
      <xdr:colOff>190501</xdr:colOff>
      <xdr:row>22</xdr:row>
      <xdr:rowOff>95287</xdr:rowOff>
    </xdr:to>
    <xdr:pic>
      <xdr:nvPicPr>
        <xdr:cNvPr id="17" name="图片 16">
          <a:extLst>
            <a:ext uri="{FF2B5EF4-FFF2-40B4-BE49-F238E27FC236}">
              <a16:creationId xmlns:a16="http://schemas.microsoft.com/office/drawing/2014/main" id="{76C06F25-550C-4D69-B3CE-78D3E13EA3EF}"/>
            </a:ext>
          </a:extLst>
        </xdr:cNvPr>
        <xdr:cNvPicPr>
          <a:picLocks noChangeAspect="1"/>
        </xdr:cNvPicPr>
      </xdr:nvPicPr>
      <xdr:blipFill>
        <a:blip xmlns:r="http://schemas.openxmlformats.org/officeDocument/2006/relationships" r:embed="rId8"/>
        <a:stretch>
          <a:fillRect/>
        </a:stretch>
      </xdr:blipFill>
      <xdr:spPr>
        <a:xfrm>
          <a:off x="6731001" y="2489201"/>
          <a:ext cx="5041900" cy="1517686"/>
        </a:xfrm>
        <a:prstGeom prst="rect">
          <a:avLst/>
        </a:prstGeom>
      </xdr:spPr>
    </xdr:pic>
    <xdr:clientData/>
  </xdr:twoCellAnchor>
  <xdr:twoCellAnchor editAs="oneCell">
    <xdr:from>
      <xdr:col>0</xdr:col>
      <xdr:colOff>0</xdr:colOff>
      <xdr:row>23</xdr:row>
      <xdr:rowOff>177799</xdr:rowOff>
    </xdr:from>
    <xdr:to>
      <xdr:col>11</xdr:col>
      <xdr:colOff>31749</xdr:colOff>
      <xdr:row>46</xdr:row>
      <xdr:rowOff>165100</xdr:rowOff>
    </xdr:to>
    <xdr:pic>
      <xdr:nvPicPr>
        <xdr:cNvPr id="18" name="图片 17">
          <a:extLst>
            <a:ext uri="{FF2B5EF4-FFF2-40B4-BE49-F238E27FC236}">
              <a16:creationId xmlns:a16="http://schemas.microsoft.com/office/drawing/2014/main" id="{586F3DAC-0ABF-4CC2-83C1-C8998721EA81}"/>
            </a:ext>
          </a:extLst>
        </xdr:cNvPr>
        <xdr:cNvPicPr>
          <a:picLocks noChangeAspect="1"/>
        </xdr:cNvPicPr>
      </xdr:nvPicPr>
      <xdr:blipFill>
        <a:blip xmlns:r="http://schemas.openxmlformats.org/officeDocument/2006/relationships" r:embed="rId9"/>
        <a:stretch>
          <a:fillRect/>
        </a:stretch>
      </xdr:blipFill>
      <xdr:spPr>
        <a:xfrm>
          <a:off x="0" y="4267199"/>
          <a:ext cx="6737349" cy="4076701"/>
        </a:xfrm>
        <a:prstGeom prst="rect">
          <a:avLst/>
        </a:prstGeom>
      </xdr:spPr>
    </xdr:pic>
    <xdr:clientData/>
  </xdr:twoCellAnchor>
  <xdr:twoCellAnchor editAs="oneCell">
    <xdr:from>
      <xdr:col>11</xdr:col>
      <xdr:colOff>0</xdr:colOff>
      <xdr:row>24</xdr:row>
      <xdr:rowOff>1</xdr:rowOff>
    </xdr:from>
    <xdr:to>
      <xdr:col>19</xdr:col>
      <xdr:colOff>337822</xdr:colOff>
      <xdr:row>36</xdr:row>
      <xdr:rowOff>171451</xdr:rowOff>
    </xdr:to>
    <xdr:pic>
      <xdr:nvPicPr>
        <xdr:cNvPr id="19" name="图片 18">
          <a:extLst>
            <a:ext uri="{FF2B5EF4-FFF2-40B4-BE49-F238E27FC236}">
              <a16:creationId xmlns:a16="http://schemas.microsoft.com/office/drawing/2014/main" id="{1E18151F-7383-4886-A8BE-CA4AFE57D143}"/>
            </a:ext>
          </a:extLst>
        </xdr:cNvPr>
        <xdr:cNvPicPr>
          <a:picLocks noChangeAspect="1"/>
        </xdr:cNvPicPr>
      </xdr:nvPicPr>
      <xdr:blipFill>
        <a:blip xmlns:r="http://schemas.openxmlformats.org/officeDocument/2006/relationships" r:embed="rId10"/>
        <a:stretch>
          <a:fillRect/>
        </a:stretch>
      </xdr:blipFill>
      <xdr:spPr>
        <a:xfrm>
          <a:off x="6705600" y="4267201"/>
          <a:ext cx="5214622" cy="2305050"/>
        </a:xfrm>
        <a:prstGeom prst="rect">
          <a:avLst/>
        </a:prstGeom>
      </xdr:spPr>
    </xdr:pic>
    <xdr:clientData/>
  </xdr:twoCellAnchor>
  <xdr:twoCellAnchor editAs="oneCell">
    <xdr:from>
      <xdr:col>11</xdr:col>
      <xdr:colOff>0</xdr:colOff>
      <xdr:row>37</xdr:row>
      <xdr:rowOff>1</xdr:rowOff>
    </xdr:from>
    <xdr:to>
      <xdr:col>20</xdr:col>
      <xdr:colOff>278953</xdr:colOff>
      <xdr:row>47</xdr:row>
      <xdr:rowOff>12701</xdr:rowOff>
    </xdr:to>
    <xdr:pic>
      <xdr:nvPicPr>
        <xdr:cNvPr id="20" name="图片 19">
          <a:extLst>
            <a:ext uri="{FF2B5EF4-FFF2-40B4-BE49-F238E27FC236}">
              <a16:creationId xmlns:a16="http://schemas.microsoft.com/office/drawing/2014/main" id="{67A278ED-6232-4544-9256-DE2064104365}"/>
            </a:ext>
          </a:extLst>
        </xdr:cNvPr>
        <xdr:cNvPicPr>
          <a:picLocks noChangeAspect="1"/>
        </xdr:cNvPicPr>
      </xdr:nvPicPr>
      <xdr:blipFill>
        <a:blip xmlns:r="http://schemas.openxmlformats.org/officeDocument/2006/relationships" r:embed="rId11"/>
        <a:stretch>
          <a:fillRect/>
        </a:stretch>
      </xdr:blipFill>
      <xdr:spPr>
        <a:xfrm>
          <a:off x="6705600" y="6578601"/>
          <a:ext cx="5765353" cy="1790700"/>
        </a:xfrm>
        <a:prstGeom prst="rect">
          <a:avLst/>
        </a:prstGeom>
      </xdr:spPr>
    </xdr:pic>
    <xdr:clientData/>
  </xdr:twoCellAnchor>
  <xdr:twoCellAnchor editAs="oneCell">
    <xdr:from>
      <xdr:col>4</xdr:col>
      <xdr:colOff>603251</xdr:colOff>
      <xdr:row>89</xdr:row>
      <xdr:rowOff>101601</xdr:rowOff>
    </xdr:from>
    <xdr:to>
      <xdr:col>17</xdr:col>
      <xdr:colOff>25400</xdr:colOff>
      <xdr:row>114</xdr:row>
      <xdr:rowOff>52526</xdr:rowOff>
    </xdr:to>
    <xdr:pic>
      <xdr:nvPicPr>
        <xdr:cNvPr id="21" name="图片 20">
          <a:extLst>
            <a:ext uri="{FF2B5EF4-FFF2-40B4-BE49-F238E27FC236}">
              <a16:creationId xmlns:a16="http://schemas.microsoft.com/office/drawing/2014/main" id="{D602FF15-676C-4D39-A274-8322B054629C}"/>
            </a:ext>
          </a:extLst>
        </xdr:cNvPr>
        <xdr:cNvPicPr>
          <a:picLocks noChangeAspect="1"/>
        </xdr:cNvPicPr>
      </xdr:nvPicPr>
      <xdr:blipFill>
        <a:blip xmlns:r="http://schemas.openxmlformats.org/officeDocument/2006/relationships" r:embed="rId12"/>
        <a:stretch>
          <a:fillRect/>
        </a:stretch>
      </xdr:blipFill>
      <xdr:spPr>
        <a:xfrm>
          <a:off x="3041651" y="15925801"/>
          <a:ext cx="7346949" cy="4395925"/>
        </a:xfrm>
        <a:prstGeom prst="rect">
          <a:avLst/>
        </a:prstGeom>
      </xdr:spPr>
    </xdr:pic>
    <xdr:clientData/>
  </xdr:twoCellAnchor>
  <xdr:twoCellAnchor editAs="oneCell">
    <xdr:from>
      <xdr:col>19</xdr:col>
      <xdr:colOff>1</xdr:colOff>
      <xdr:row>1</xdr:row>
      <xdr:rowOff>1</xdr:rowOff>
    </xdr:from>
    <xdr:to>
      <xdr:col>27</xdr:col>
      <xdr:colOff>471220</xdr:colOff>
      <xdr:row>22</xdr:row>
      <xdr:rowOff>31750</xdr:rowOff>
    </xdr:to>
    <xdr:pic>
      <xdr:nvPicPr>
        <xdr:cNvPr id="22" name="图片 21">
          <a:extLst>
            <a:ext uri="{FF2B5EF4-FFF2-40B4-BE49-F238E27FC236}">
              <a16:creationId xmlns:a16="http://schemas.microsoft.com/office/drawing/2014/main" id="{B238A7EE-46E0-4BAC-AFBB-5AF42B3F1436}"/>
            </a:ext>
          </a:extLst>
        </xdr:cNvPr>
        <xdr:cNvPicPr>
          <a:picLocks noChangeAspect="1"/>
        </xdr:cNvPicPr>
      </xdr:nvPicPr>
      <xdr:blipFill>
        <a:blip xmlns:r="http://schemas.openxmlformats.org/officeDocument/2006/relationships" r:embed="rId13"/>
        <a:stretch>
          <a:fillRect/>
        </a:stretch>
      </xdr:blipFill>
      <xdr:spPr>
        <a:xfrm>
          <a:off x="11582401" y="177801"/>
          <a:ext cx="5348019" cy="3765549"/>
        </a:xfrm>
        <a:prstGeom prst="rect">
          <a:avLst/>
        </a:prstGeom>
      </xdr:spPr>
    </xdr:pic>
    <xdr:clientData/>
  </xdr:twoCellAnchor>
  <xdr:twoCellAnchor editAs="oneCell">
    <xdr:from>
      <xdr:col>21</xdr:col>
      <xdr:colOff>0</xdr:colOff>
      <xdr:row>24</xdr:row>
      <xdr:rowOff>1</xdr:rowOff>
    </xdr:from>
    <xdr:to>
      <xdr:col>29</xdr:col>
      <xdr:colOff>251353</xdr:colOff>
      <xdr:row>47</xdr:row>
      <xdr:rowOff>31750</xdr:rowOff>
    </xdr:to>
    <xdr:pic>
      <xdr:nvPicPr>
        <xdr:cNvPr id="23" name="图片 22">
          <a:extLst>
            <a:ext uri="{FF2B5EF4-FFF2-40B4-BE49-F238E27FC236}">
              <a16:creationId xmlns:a16="http://schemas.microsoft.com/office/drawing/2014/main" id="{37A22AB3-907D-4543-A2F7-462B0F4A6FA2}"/>
            </a:ext>
          </a:extLst>
        </xdr:cNvPr>
        <xdr:cNvPicPr>
          <a:picLocks noChangeAspect="1"/>
        </xdr:cNvPicPr>
      </xdr:nvPicPr>
      <xdr:blipFill>
        <a:blip xmlns:r="http://schemas.openxmlformats.org/officeDocument/2006/relationships" r:embed="rId14"/>
        <a:stretch>
          <a:fillRect/>
        </a:stretch>
      </xdr:blipFill>
      <xdr:spPr>
        <a:xfrm>
          <a:off x="12801600" y="4267201"/>
          <a:ext cx="5128153" cy="4121149"/>
        </a:xfrm>
        <a:prstGeom prst="rect">
          <a:avLst/>
        </a:prstGeom>
      </xdr:spPr>
    </xdr:pic>
    <xdr:clientData/>
  </xdr:twoCellAnchor>
  <xdr:twoCellAnchor editAs="oneCell">
    <xdr:from>
      <xdr:col>19</xdr:col>
      <xdr:colOff>0</xdr:colOff>
      <xdr:row>49</xdr:row>
      <xdr:rowOff>0</xdr:rowOff>
    </xdr:from>
    <xdr:to>
      <xdr:col>25</xdr:col>
      <xdr:colOff>528858</xdr:colOff>
      <xdr:row>68</xdr:row>
      <xdr:rowOff>76200</xdr:rowOff>
    </xdr:to>
    <xdr:pic>
      <xdr:nvPicPr>
        <xdr:cNvPr id="24" name="图片 23">
          <a:extLst>
            <a:ext uri="{FF2B5EF4-FFF2-40B4-BE49-F238E27FC236}">
              <a16:creationId xmlns:a16="http://schemas.microsoft.com/office/drawing/2014/main" id="{61D95980-A39A-4D2F-A477-4A5F61E0F0E1}"/>
            </a:ext>
          </a:extLst>
        </xdr:cNvPr>
        <xdr:cNvPicPr>
          <a:picLocks noChangeAspect="1"/>
        </xdr:cNvPicPr>
      </xdr:nvPicPr>
      <xdr:blipFill>
        <a:blip xmlns:r="http://schemas.openxmlformats.org/officeDocument/2006/relationships" r:embed="rId15"/>
        <a:stretch>
          <a:fillRect/>
        </a:stretch>
      </xdr:blipFill>
      <xdr:spPr>
        <a:xfrm>
          <a:off x="11582400" y="8712200"/>
          <a:ext cx="4186458" cy="345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294039</xdr:colOff>
      <xdr:row>36</xdr:row>
      <xdr:rowOff>65896</xdr:rowOff>
    </xdr:to>
    <xdr:pic>
      <xdr:nvPicPr>
        <xdr:cNvPr id="2" name="图片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9895239" cy="62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5"/>
  <cols>
    <col min="1" max="1" width="32.453125" style="1216" customWidth="1"/>
    <col min="2" max="2" width="94.90625" style="1202" customWidth="1"/>
    <col min="3" max="16384" width="9" style="1212"/>
  </cols>
  <sheetData>
    <row r="1" spans="1:2" s="1207" customFormat="1" ht="16" thickBot="1">
      <c r="A1" s="1205" t="s">
        <v>1094</v>
      </c>
      <c r="B1" s="1206" t="s">
        <v>1156</v>
      </c>
    </row>
    <row r="2" spans="1:2" s="1209" customFormat="1" ht="16"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6" thickBot="1">
      <c r="A5" s="1211" t="s">
        <v>1098</v>
      </c>
      <c r="B5" s="1196" t="str">
        <f>'预评函-封皮'!B21</f>
        <v>康正预评字号</v>
      </c>
    </row>
    <row r="6" spans="1:2" s="1209" customFormat="1" ht="16"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估价对象为北京市房地产，为XX所有。根据《不动产权证书》[]，估价对象建筑面积为54.91平方米，（分摊）出让国有建设用地使用权面积为0平方米。估价对象用途为。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2020年8月19日</v>
      </c>
    </row>
    <row r="10" spans="1:2">
      <c r="A10" s="1210" t="s">
        <v>1103</v>
      </c>
      <c r="B10" s="1197" t="str">
        <f>'预评函-1'!A13</f>
        <v>本次估价的“房地产价值”是指在正常市场情况下，在价值时点2020年8月19日，估价对象规划用途为，假定未设立法定优先受偿款下的房地产市场价值。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 thickBot="1">
      <c r="A15" s="1211" t="s">
        <v>1108</v>
      </c>
      <c r="B15" s="1198" t="str">
        <f>'预评函-1'!A18</f>
        <v>本次评估采用的主估价方法为比较法和成本法。</v>
      </c>
    </row>
    <row r="16" spans="1:2" ht="16"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54.91</v>
      </c>
    </row>
    <row r="19" spans="1:2">
      <c r="A19" s="1210" t="s">
        <v>1112</v>
      </c>
      <c r="B19" s="1197">
        <f ca="1">'预评函-2（1）'!D7</f>
        <v>1951886</v>
      </c>
    </row>
    <row r="20" spans="1:2">
      <c r="A20" s="1210" t="s">
        <v>1150</v>
      </c>
      <c r="B20" s="1197" t="str">
        <f>'预评函-2（1）'!C7</f>
        <v>总价（元）</v>
      </c>
    </row>
    <row r="21" spans="1:2">
      <c r="A21" s="1210" t="s">
        <v>1113</v>
      </c>
      <c r="B21" s="1197">
        <f ca="1">'预评函-2（1）'!D9</f>
        <v>35547</v>
      </c>
    </row>
    <row r="22" spans="1:2">
      <c r="A22" s="1210" t="s">
        <v>1114</v>
      </c>
      <c r="B22" s="1197" t="str">
        <f ca="1">'预评函-2（1）'!D8</f>
        <v>壹佰玖拾伍万壹仟捌佰捌拾陆元整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1951886</v>
      </c>
    </row>
    <row r="30" spans="1:2">
      <c r="A30" s="1210" t="s">
        <v>1120</v>
      </c>
      <c r="B30" s="1197" t="str">
        <f ca="1">'预评函-2（1）'!D16</f>
        <v>壹佰玖拾伍万壹仟捌佰捌拾陆元整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3140577</v>
      </c>
    </row>
    <row r="38" spans="1:2">
      <c r="A38" s="1210" t="s">
        <v>1128</v>
      </c>
      <c r="B38" s="1197">
        <f ca="1">'预评函-2（2）'!E4</f>
        <v>57195</v>
      </c>
    </row>
    <row r="39" spans="1:2">
      <c r="A39" s="1210" t="s">
        <v>1129</v>
      </c>
      <c r="B39" s="1197" t="str">
        <f ca="1">'预评函-2（2）'!D5</f>
        <v>叁佰壹拾肆万零伍佰柒拾柒元整</v>
      </c>
    </row>
    <row r="40" spans="1:2">
      <c r="A40" s="1210" t="s">
        <v>1130</v>
      </c>
      <c r="B40" s="1197">
        <f ca="1">'预评函-2（2）'!F4</f>
        <v>-1188692</v>
      </c>
    </row>
    <row r="41" spans="1:2">
      <c r="A41" s="1210" t="s">
        <v>1131</v>
      </c>
      <c r="B41" s="1197">
        <f ca="1">'预评函-2（2）'!G4</f>
        <v>-21648</v>
      </c>
    </row>
    <row r="42" spans="1:2" s="1207" customFormat="1" ht="16" thickBot="1">
      <c r="A42" s="1211" t="s">
        <v>1132</v>
      </c>
      <c r="B42" s="1199" t="e">
        <f ca="1">'预评函-2（2）'!F5</f>
        <v>#NUM!</v>
      </c>
    </row>
    <row r="43" spans="1:2" ht="16"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6"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6" thickBot="1">
      <c r="A55" s="1211" t="s">
        <v>1144</v>
      </c>
      <c r="B55" s="1199">
        <f ca="1">'预评函-3'!B5</f>
        <v>1119970111</v>
      </c>
    </row>
    <row r="56" spans="1:2" ht="16" thickTop="1">
      <c r="A56" s="1213" t="s">
        <v>1153</v>
      </c>
      <c r="B56" s="1197" t="str">
        <f>'预评函-2（1）'!B15</f>
        <v>3.房地产抵押价值</v>
      </c>
    </row>
    <row r="57" spans="1:2">
      <c r="A57" s="1213" t="s">
        <v>1154</v>
      </c>
      <c r="B57" s="1197" t="str">
        <f>'预评函-2（1）'!B18</f>
        <v>——</v>
      </c>
    </row>
    <row r="58" spans="1:2" s="1207" customFormat="1" ht="16" thickBot="1">
      <c r="A58" s="1214" t="s">
        <v>1155</v>
      </c>
      <c r="B58" s="1198" t="str">
        <f>'预评函-2（1）'!B21</f>
        <v>——</v>
      </c>
    </row>
    <row r="59" spans="1:2" ht="16"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0">
      <c r="A62" s="1213" t="s">
        <v>1243</v>
      </c>
      <c r="B62" s="1197">
        <f ca="1">'预评函-2（1）'!D38</f>
        <v>35547</v>
      </c>
    </row>
    <row r="63" spans="1:2" s="1209" customFormat="1" ht="30">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 thickBot="1">
      <c r="A67" s="1214" t="s">
        <v>1170</v>
      </c>
      <c r="B67" s="1198" t="str">
        <f>'预评函-2（2）'!A12</f>
        <v>——</v>
      </c>
    </row>
    <row r="68" spans="1:2" ht="16"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G13" sqref="G13"/>
    </sheetView>
  </sheetViews>
  <sheetFormatPr defaultColWidth="10" defaultRowHeight="12.5"/>
  <cols>
    <col min="1" max="1" width="18.6328125" style="827" customWidth="1"/>
    <col min="2" max="2" width="15" style="827" customWidth="1"/>
    <col min="3" max="3" width="14.08984375" style="827" customWidth="1"/>
    <col min="4" max="4" width="12.453125" style="827" customWidth="1"/>
    <col min="5" max="5" width="13.90625" style="827" customWidth="1"/>
    <col min="6" max="6" width="15" style="827" customWidth="1"/>
    <col min="7" max="7" width="14.90625" style="827" customWidth="1"/>
    <col min="8" max="8" width="4.269531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44267</v>
      </c>
      <c r="C2" s="2893" t="s">
        <v>1530</v>
      </c>
      <c r="D2" s="2594">
        <v>44062</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2727</v>
      </c>
      <c r="C4" s="2894" t="s">
        <v>1533</v>
      </c>
      <c r="D4" s="1429" t="s">
        <v>2896</v>
      </c>
      <c r="E4" s="824"/>
      <c r="F4" s="824"/>
      <c r="G4" s="1192"/>
    </row>
    <row r="5" spans="1:17" ht="13">
      <c r="A5" s="1430" t="s">
        <v>1534</v>
      </c>
      <c r="B5" s="1431" t="s">
        <v>2728</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ht="13">
      <c r="A6" s="2897" t="s">
        <v>1537</v>
      </c>
      <c r="B6" s="2599" t="s">
        <v>2898</v>
      </c>
      <c r="C6" s="2600" t="s">
        <v>2729</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姓名</v>
      </c>
      <c r="D7" s="1438" t="s">
        <v>2728</v>
      </c>
      <c r="E7" s="825"/>
      <c r="F7" s="825"/>
      <c r="G7" s="1193"/>
    </row>
    <row r="8" spans="1:17" ht="27" customHeight="1" thickTop="1">
      <c r="A8" s="3227" t="s">
        <v>1540</v>
      </c>
      <c r="B8" s="1439" t="s">
        <v>1541</v>
      </c>
      <c r="C8" s="3239" t="s">
        <v>2918</v>
      </c>
      <c r="D8" s="3240"/>
      <c r="E8" s="2603" t="s">
        <v>1542</v>
      </c>
      <c r="F8" s="2604" t="s">
        <v>1543</v>
      </c>
      <c r="G8" s="2605" t="str">
        <f>C6</f>
        <v>XX</v>
      </c>
    </row>
    <row r="9" spans="1:17" ht="25">
      <c r="A9" s="3227"/>
      <c r="B9" s="259" t="s">
        <v>1544</v>
      </c>
      <c r="C9" s="3151" t="s">
        <v>2901</v>
      </c>
      <c r="D9" s="1440" t="s">
        <v>2902</v>
      </c>
      <c r="E9" s="2899" t="s">
        <v>1545</v>
      </c>
      <c r="F9" s="2606" t="s">
        <v>483</v>
      </c>
      <c r="G9" s="2607"/>
    </row>
    <row r="10" spans="1:17" ht="13.5" thickBot="1">
      <c r="A10" s="3227"/>
      <c r="B10" s="259" t="s">
        <v>1546</v>
      </c>
      <c r="C10" s="3241"/>
      <c r="D10" s="3242"/>
      <c r="E10" s="2900" t="s">
        <v>1547</v>
      </c>
      <c r="F10" s="2608" t="s">
        <v>2971</v>
      </c>
      <c r="G10" s="2609"/>
    </row>
    <row r="11" spans="1:17" ht="13.5" thickBot="1">
      <c r="A11" s="3227"/>
      <c r="B11" s="1442" t="s">
        <v>1548</v>
      </c>
      <c r="C11" s="3243"/>
      <c r="D11" s="3244"/>
      <c r="E11" s="811"/>
      <c r="F11" s="811"/>
      <c r="G11" s="830"/>
    </row>
    <row r="12" spans="1:17" ht="26.5" thickBot="1">
      <c r="A12" s="3230" t="s">
        <v>2836</v>
      </c>
      <c r="B12" s="2901" t="s">
        <v>1549</v>
      </c>
      <c r="C12" s="808">
        <v>54.91</v>
      </c>
      <c r="D12" s="1443" t="s">
        <v>1550</v>
      </c>
      <c r="E12" s="1444" t="s">
        <v>2919</v>
      </c>
      <c r="F12" s="1445" t="s">
        <v>1552</v>
      </c>
      <c r="G12" s="830"/>
    </row>
    <row r="13" spans="1:17" ht="21" customHeight="1" thickBot="1">
      <c r="A13" s="3231"/>
      <c r="B13" s="2902" t="s">
        <v>1553</v>
      </c>
      <c r="C13" s="809">
        <v>0</v>
      </c>
      <c r="D13" s="1446" t="s">
        <v>1554</v>
      </c>
      <c r="E13" s="1447" t="s">
        <v>1551</v>
      </c>
      <c r="F13" s="811"/>
      <c r="G13" s="830"/>
      <c r="I13" s="3216"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2837</v>
      </c>
      <c r="C14" s="2611"/>
      <c r="D14" s="811"/>
      <c r="E14" s="811"/>
      <c r="F14" s="811"/>
      <c r="G14" s="830"/>
      <c r="I14" s="3216"/>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2</v>
      </c>
      <c r="D15" s="825"/>
      <c r="E15" s="825"/>
      <c r="F15" s="825"/>
      <c r="G15" s="1193"/>
      <c r="I15" s="3216"/>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7" thickTop="1" thickBot="1">
      <c r="A16" s="2610" t="s">
        <v>1557</v>
      </c>
      <c r="B16" s="1448" t="s">
        <v>1558</v>
      </c>
      <c r="C16" s="2613" t="s">
        <v>2726</v>
      </c>
      <c r="D16" s="1441" t="s">
        <v>1559</v>
      </c>
      <c r="E16" s="2614" t="s">
        <v>2726</v>
      </c>
      <c r="F16" s="1449" t="str">
        <f>IF(AND(C16="是",E16="否"),"是否提供他项权证或相关说明","")</f>
        <v/>
      </c>
      <c r="G16" s="2614" t="s">
        <v>2726</v>
      </c>
      <c r="J16" s="2905"/>
    </row>
    <row r="17" spans="1:66" ht="13.5" customHeight="1">
      <c r="A17" s="1455" t="s">
        <v>1560</v>
      </c>
      <c r="B17" s="3245" t="s">
        <v>1561</v>
      </c>
      <c r="C17" s="3246"/>
      <c r="D17" s="3247" t="s">
        <v>1562</v>
      </c>
      <c r="E17" s="3248"/>
      <c r="F17" s="1450" t="s">
        <v>1563</v>
      </c>
      <c r="G17" s="1451"/>
      <c r="J17" s="2905"/>
    </row>
    <row r="18" spans="1:66" ht="26">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ht="13">
      <c r="A20" s="1451" t="s">
        <v>1568</v>
      </c>
      <c r="B20" s="2617" t="s">
        <v>1569</v>
      </c>
      <c r="C20" s="2618"/>
      <c r="D20" s="2619" t="s">
        <v>1569</v>
      </c>
      <c r="E20" s="2618"/>
      <c r="F20" s="811"/>
      <c r="G20" s="1317"/>
    </row>
    <row r="21" spans="1:66" ht="13">
      <c r="A21" s="1317"/>
      <c r="B21" s="2620" t="s">
        <v>1570</v>
      </c>
      <c r="C21" s="2888"/>
      <c r="D21" s="1455" t="s">
        <v>1570</v>
      </c>
      <c r="E21" s="2621"/>
      <c r="F21" s="811"/>
      <c r="G21" s="1317"/>
    </row>
    <row r="22" spans="1:66" ht="13">
      <c r="A22" s="1317"/>
      <c r="B22" s="811" t="s">
        <v>1571</v>
      </c>
      <c r="C22" s="2622"/>
      <c r="D22" s="811" t="s">
        <v>1571</v>
      </c>
      <c r="E22" s="2621"/>
      <c r="F22" s="811"/>
      <c r="G22" s="1317"/>
    </row>
    <row r="23" spans="1:66" s="2887" customFormat="1" ht="16"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26" t="s">
        <v>2835</v>
      </c>
      <c r="B24" s="3226"/>
      <c r="C24" s="3226"/>
      <c r="D24" s="3226"/>
      <c r="E24" s="3226"/>
      <c r="F24" s="3226"/>
      <c r="G24" s="3226"/>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ht="13">
      <c r="A28" s="803" t="s">
        <v>1578</v>
      </c>
      <c r="B28" s="801"/>
      <c r="C28" s="3233" t="s">
        <v>1578</v>
      </c>
      <c r="D28" s="3234"/>
      <c r="E28" s="801"/>
      <c r="F28" s="803" t="s">
        <v>1578</v>
      </c>
      <c r="G28" s="801"/>
      <c r="K28" s="2906"/>
    </row>
    <row r="29" spans="1:66" ht="13">
      <c r="A29" s="804" t="s">
        <v>1579</v>
      </c>
      <c r="B29" s="798"/>
      <c r="C29" s="3235" t="s">
        <v>1580</v>
      </c>
      <c r="D29" s="3236"/>
      <c r="E29" s="798"/>
      <c r="F29" s="804" t="s">
        <v>1580</v>
      </c>
      <c r="G29" s="798"/>
      <c r="K29" s="2906"/>
    </row>
    <row r="30" spans="1:66" ht="13">
      <c r="A30" s="804" t="s">
        <v>1581</v>
      </c>
      <c r="B30" s="798"/>
      <c r="C30" s="3235" t="s">
        <v>1581</v>
      </c>
      <c r="D30" s="3236"/>
      <c r="E30" s="798"/>
      <c r="F30" s="804" t="s">
        <v>1582</v>
      </c>
      <c r="G30" s="798"/>
      <c r="K30" s="2906"/>
    </row>
    <row r="31" spans="1:66" ht="13">
      <c r="A31" s="804" t="s">
        <v>1583</v>
      </c>
      <c r="B31" s="798"/>
      <c r="C31" s="3223" t="s">
        <v>1584</v>
      </c>
      <c r="D31" s="811"/>
      <c r="E31" s="2629" t="str">
        <f>E32&amp;" "&amp;E33&amp;" "&amp;E34&amp;" "&amp;E35</f>
        <v xml:space="preserve">   </v>
      </c>
      <c r="F31" s="804" t="s">
        <v>1585</v>
      </c>
      <c r="G31" s="798"/>
    </row>
    <row r="32" spans="1:66" ht="13">
      <c r="A32" s="804" t="s">
        <v>1586</v>
      </c>
      <c r="B32" s="798"/>
      <c r="C32" s="3224"/>
      <c r="D32" s="259" t="s">
        <v>1587</v>
      </c>
      <c r="E32" s="798"/>
      <c r="F32" s="804" t="s">
        <v>1588</v>
      </c>
      <c r="G32" s="798"/>
    </row>
    <row r="33" spans="1:7" ht="26.5" thickBot="1">
      <c r="A33" s="805" t="s">
        <v>1589</v>
      </c>
      <c r="B33" s="802"/>
      <c r="C33" s="3224"/>
      <c r="D33" s="259" t="s">
        <v>1590</v>
      </c>
      <c r="E33" s="798"/>
      <c r="F33" s="804" t="s">
        <v>1591</v>
      </c>
      <c r="G33" s="798"/>
    </row>
    <row r="34" spans="1:7" ht="13">
      <c r="A34" s="803" t="s">
        <v>1592</v>
      </c>
      <c r="B34" s="801"/>
      <c r="C34" s="3224"/>
      <c r="D34" s="259" t="s">
        <v>1593</v>
      </c>
      <c r="E34" s="798"/>
      <c r="F34" s="804" t="s">
        <v>1594</v>
      </c>
      <c r="G34" s="798"/>
    </row>
    <row r="35" spans="1:7" ht="13.5" thickBot="1">
      <c r="A35" s="804" t="s">
        <v>1595</v>
      </c>
      <c r="B35" s="798"/>
      <c r="C35" s="3225"/>
      <c r="D35" s="259" t="s">
        <v>1596</v>
      </c>
      <c r="E35" s="798"/>
      <c r="F35" s="805" t="s">
        <v>1597</v>
      </c>
      <c r="G35" s="2630"/>
    </row>
    <row r="36" spans="1:7" ht="13">
      <c r="A36" s="804" t="s">
        <v>1549</v>
      </c>
      <c r="B36" s="798"/>
      <c r="C36" s="3235" t="s">
        <v>1598</v>
      </c>
      <c r="D36" s="3236"/>
      <c r="E36" s="798"/>
      <c r="F36" s="2631" t="s">
        <v>1599</v>
      </c>
      <c r="G36" s="801"/>
    </row>
    <row r="37" spans="1:7" ht="26.5" thickBot="1">
      <c r="A37" s="804" t="s">
        <v>1600</v>
      </c>
      <c r="B37" s="798"/>
      <c r="C37" s="3237" t="s">
        <v>1601</v>
      </c>
      <c r="D37" s="3238"/>
      <c r="E37" s="802"/>
      <c r="F37" s="1463" t="s">
        <v>1602</v>
      </c>
      <c r="G37" s="798"/>
    </row>
    <row r="38" spans="1:7" ht="13.5" thickBot="1">
      <c r="A38" s="804" t="s">
        <v>1603</v>
      </c>
      <c r="B38" s="798"/>
      <c r="C38" s="3221" t="s">
        <v>1604</v>
      </c>
      <c r="D38" s="1443" t="s">
        <v>1588</v>
      </c>
      <c r="E38" s="801"/>
      <c r="F38" s="805" t="s">
        <v>1605</v>
      </c>
      <c r="G38" s="802"/>
    </row>
    <row r="39" spans="1:7" ht="13">
      <c r="A39" s="804" t="s">
        <v>1606</v>
      </c>
      <c r="B39" s="798"/>
      <c r="C39" s="3228"/>
      <c r="D39" s="259" t="s">
        <v>1595</v>
      </c>
      <c r="E39" s="798"/>
      <c r="F39" s="803" t="s">
        <v>1607</v>
      </c>
      <c r="G39" s="801"/>
    </row>
    <row r="40" spans="1:7" ht="13">
      <c r="A40" s="804" t="s">
        <v>1608</v>
      </c>
      <c r="B40" s="798"/>
      <c r="C40" s="3228" t="s">
        <v>1609</v>
      </c>
      <c r="D40" s="259" t="s">
        <v>1549</v>
      </c>
      <c r="E40" s="798"/>
      <c r="F40" s="804" t="s">
        <v>1610</v>
      </c>
      <c r="G40" s="798"/>
    </row>
    <row r="41" spans="1:7" ht="24.75" customHeight="1" thickBot="1">
      <c r="A41" s="805" t="s">
        <v>1611</v>
      </c>
      <c r="B41" s="802"/>
      <c r="C41" s="3229"/>
      <c r="D41" s="1446" t="s">
        <v>1553</v>
      </c>
      <c r="E41" s="802"/>
      <c r="F41" s="805" t="s">
        <v>1612</v>
      </c>
      <c r="G41" s="802"/>
    </row>
    <row r="42" spans="1:7" ht="26">
      <c r="A42" s="806" t="s">
        <v>1613</v>
      </c>
      <c r="B42" s="2632"/>
      <c r="C42" s="3217" t="s">
        <v>1613</v>
      </c>
      <c r="D42" s="3218"/>
      <c r="E42" s="2632"/>
      <c r="F42" s="803" t="s">
        <v>1614</v>
      </c>
      <c r="G42" s="2632"/>
    </row>
    <row r="43" spans="1:7" ht="13">
      <c r="A43" s="821" t="s">
        <v>1615</v>
      </c>
      <c r="B43" s="2633"/>
      <c r="C43" s="1455"/>
      <c r="D43" s="2620"/>
      <c r="E43" s="2633"/>
      <c r="F43" s="821"/>
      <c r="G43" s="2633"/>
    </row>
    <row r="44" spans="1:7" ht="13">
      <c r="A44" s="821" t="s">
        <v>1569</v>
      </c>
      <c r="B44" s="822"/>
      <c r="C44" s="1455"/>
      <c r="D44" s="1521" t="s">
        <v>1569</v>
      </c>
      <c r="E44" s="822"/>
      <c r="F44" s="821" t="s">
        <v>1569</v>
      </c>
      <c r="G44" s="822"/>
    </row>
    <row r="45" spans="1:7" ht="13">
      <c r="A45" s="821" t="s">
        <v>1570</v>
      </c>
      <c r="B45" s="822"/>
      <c r="C45" s="1455"/>
      <c r="D45" s="2620" t="s">
        <v>1570</v>
      </c>
      <c r="E45" s="822"/>
      <c r="F45" s="821" t="s">
        <v>1570</v>
      </c>
      <c r="G45" s="822"/>
    </row>
    <row r="46" spans="1:7" ht="13">
      <c r="A46" s="821" t="s">
        <v>1571</v>
      </c>
      <c r="B46" s="822"/>
      <c r="C46" s="1455"/>
      <c r="D46" s="2620" t="s">
        <v>1571</v>
      </c>
      <c r="E46" s="822"/>
      <c r="F46" s="821" t="s">
        <v>1571</v>
      </c>
      <c r="G46" s="822"/>
    </row>
    <row r="47" spans="1:7" ht="13">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19" t="s">
        <v>1616</v>
      </c>
      <c r="D49" s="3220"/>
      <c r="E49" s="820"/>
      <c r="F49" s="805" t="s">
        <v>1617</v>
      </c>
      <c r="G49" s="802"/>
    </row>
    <row r="50" spans="1:66" ht="13">
      <c r="A50" s="804" t="s">
        <v>1618</v>
      </c>
      <c r="B50" s="819"/>
      <c r="C50" s="3221" t="s">
        <v>1619</v>
      </c>
      <c r="D50" s="3222"/>
      <c r="E50" s="2634"/>
      <c r="F50" s="837"/>
      <c r="G50" s="838"/>
    </row>
    <row r="51" spans="1:66" ht="13.5" thickBot="1">
      <c r="A51" s="804" t="s">
        <v>1620</v>
      </c>
      <c r="B51" s="819"/>
      <c r="C51" s="3229" t="s">
        <v>1621</v>
      </c>
      <c r="D51" s="3232"/>
      <c r="E51" s="802"/>
      <c r="F51" s="811"/>
      <c r="G51" s="830"/>
    </row>
    <row r="52" spans="1:66" ht="13">
      <c r="A52" s="804" t="s">
        <v>1599</v>
      </c>
      <c r="B52" s="798"/>
      <c r="C52" s="811"/>
      <c r="D52" s="811"/>
      <c r="E52" s="811"/>
      <c r="F52" s="811"/>
      <c r="G52" s="830"/>
    </row>
    <row r="53" spans="1:66" ht="26.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
  <cols>
    <col min="1" max="1" width="12.08984375" style="1" customWidth="1"/>
    <col min="2" max="2" width="10.6328125" style="1" customWidth="1"/>
    <col min="3" max="3" width="15.7265625" style="1" customWidth="1"/>
    <col min="4" max="7" width="9.453125" style="1" bestFit="1" customWidth="1"/>
    <col min="8" max="13" width="9.08984375" style="1" bestFit="1" customWidth="1"/>
    <col min="14" max="16384" width="9" style="1"/>
  </cols>
  <sheetData>
    <row r="1" spans="1:13" ht="15">
      <c r="A1" s="3249" t="s">
        <v>0</v>
      </c>
      <c r="B1" s="3249" t="s">
        <v>2</v>
      </c>
      <c r="C1" s="3249" t="s">
        <v>3</v>
      </c>
      <c r="D1" s="3250" t="s">
        <v>67</v>
      </c>
      <c r="E1" s="3250" t="s">
        <v>68</v>
      </c>
      <c r="F1" s="3250"/>
      <c r="G1" s="3250"/>
      <c r="H1" s="3250"/>
      <c r="I1" s="3250"/>
      <c r="J1" s="3250"/>
      <c r="K1" s="3250"/>
      <c r="L1" s="3250"/>
      <c r="M1" s="3250"/>
    </row>
    <row r="2" spans="1:13" ht="27" customHeight="1">
      <c r="A2" s="3249"/>
      <c r="B2" s="3249"/>
      <c r="C2" s="3249"/>
      <c r="D2" s="3250"/>
      <c r="E2" s="3250" t="s">
        <v>51</v>
      </c>
      <c r="F2" s="3250" t="s">
        <v>52</v>
      </c>
      <c r="G2" s="3250"/>
      <c r="H2" s="3250"/>
      <c r="I2" s="3250"/>
      <c r="J2" s="3250" t="s">
        <v>53</v>
      </c>
      <c r="K2" s="3250"/>
      <c r="L2" s="3250"/>
      <c r="M2" s="3250"/>
    </row>
    <row r="3" spans="1:13" ht="45">
      <c r="A3" s="3249"/>
      <c r="B3" s="3249"/>
      <c r="C3" s="3249"/>
      <c r="D3" s="3250"/>
      <c r="E3" s="3250"/>
      <c r="F3" s="2" t="s">
        <v>54</v>
      </c>
      <c r="G3" s="2" t="s">
        <v>49</v>
      </c>
      <c r="H3" s="2" t="s">
        <v>50</v>
      </c>
      <c r="I3" s="2" t="s">
        <v>63</v>
      </c>
      <c r="J3" s="2" t="s">
        <v>54</v>
      </c>
      <c r="K3" s="2" t="s">
        <v>65</v>
      </c>
      <c r="L3" s="2" t="s">
        <v>64</v>
      </c>
      <c r="M3" s="2" t="s">
        <v>66</v>
      </c>
    </row>
    <row r="4" spans="1:13" ht="4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5">
      <c r="A5" s="2" t="s">
        <v>55</v>
      </c>
      <c r="B5" s="2" t="s">
        <v>58</v>
      </c>
      <c r="C5" s="2" t="s">
        <v>59</v>
      </c>
      <c r="D5" s="3">
        <v>3667.86</v>
      </c>
      <c r="E5" s="3">
        <v>19906.61</v>
      </c>
      <c r="F5" s="3">
        <v>18792.87</v>
      </c>
      <c r="G5" s="3">
        <v>18792.87</v>
      </c>
      <c r="H5" s="3">
        <v>0</v>
      </c>
      <c r="I5" s="3">
        <v>0</v>
      </c>
      <c r="J5" s="3">
        <v>1113.74</v>
      </c>
      <c r="K5" s="3">
        <v>55.59</v>
      </c>
      <c r="L5" s="3">
        <v>0</v>
      </c>
      <c r="M5" s="3">
        <v>1058.1500000000001</v>
      </c>
    </row>
    <row r="6" spans="1:13" ht="4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5">
      <c r="A7" s="2" t="s">
        <v>55</v>
      </c>
      <c r="B7" s="2" t="s">
        <v>58</v>
      </c>
      <c r="C7" s="2" t="s">
        <v>61</v>
      </c>
      <c r="D7" s="3">
        <v>8.18</v>
      </c>
      <c r="E7" s="3">
        <v>44.41</v>
      </c>
      <c r="F7" s="3">
        <v>0</v>
      </c>
      <c r="G7" s="3">
        <v>0</v>
      </c>
      <c r="H7" s="3">
        <v>0</v>
      </c>
      <c r="I7" s="3">
        <v>0</v>
      </c>
      <c r="J7" s="3">
        <v>44.41</v>
      </c>
      <c r="K7" s="3">
        <v>44.41</v>
      </c>
      <c r="L7" s="3">
        <v>0</v>
      </c>
      <c r="M7" s="3">
        <v>0</v>
      </c>
    </row>
    <row r="8" spans="1:13" ht="4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0" t="s">
        <v>69</v>
      </c>
      <c r="B9" s="3250"/>
      <c r="C9" s="32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265625" defaultRowHeight="12.5"/>
  <cols>
    <col min="1" max="1" width="20.90625" style="2691" customWidth="1"/>
    <col min="2" max="2" width="16.7265625" style="2636" customWidth="1"/>
    <col min="3" max="3" width="18.26953125" style="2677" customWidth="1"/>
    <col min="4" max="4" width="34.08984375" style="2692" customWidth="1"/>
    <col min="5" max="5" width="17.6328125" style="2692" customWidth="1"/>
    <col min="6" max="6" width="15.453125" style="2635" customWidth="1"/>
    <col min="7" max="8" width="9.08984375" style="2970" customWidth="1"/>
    <col min="9" max="9" width="15" style="2677" bestFit="1" customWidth="1"/>
    <col min="10" max="14" width="8.90625" style="2677" customWidth="1"/>
    <col min="15" max="16" width="12.36328125" style="2677" customWidth="1"/>
    <col min="17" max="17" width="8.6328125" style="2677" customWidth="1"/>
    <col min="18" max="18" width="12.453125" style="2677" customWidth="1"/>
    <col min="19" max="19" width="8.453125" style="2677" customWidth="1"/>
    <col min="20" max="21" width="10.90625" style="2677" customWidth="1"/>
    <col min="22" max="23" width="12.453125" style="2677" customWidth="1"/>
    <col min="24" max="24" width="12.08984375" style="2677" customWidth="1"/>
    <col min="25" max="25" width="7.453125" style="2677" customWidth="1"/>
    <col min="26" max="26" width="6.36328125" style="2677" customWidth="1"/>
    <col min="27" max="32" width="6.7265625" style="2677" customWidth="1"/>
    <col min="33" max="33" width="6.453125" style="2677" customWidth="1"/>
    <col min="34" max="36" width="7.26953125" style="2677" customWidth="1"/>
    <col min="37" max="41" width="8" style="2677" customWidth="1"/>
    <col min="42" max="16384" width="13.7265625" style="2636"/>
  </cols>
  <sheetData>
    <row r="1" spans="1:41" ht="18" thickBot="1">
      <c r="A1" s="2924" t="s">
        <v>1623</v>
      </c>
      <c r="B1" s="947"/>
      <c r="D1" s="2635"/>
      <c r="E1" s="2635"/>
    </row>
    <row r="2" spans="1:41" s="2639" customFormat="1" ht="15" thickBot="1">
      <c r="A2" s="2925" t="s">
        <v>1624</v>
      </c>
      <c r="B2" s="2926">
        <f>项目基本情况!D2</f>
        <v>44062</v>
      </c>
      <c r="C2" s="1685"/>
      <c r="D2" s="3251"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2903</v>
      </c>
      <c r="C3" s="1685"/>
      <c r="D3" s="3252"/>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4.5" thickBot="1">
      <c r="A4" s="2645" t="s">
        <v>1628</v>
      </c>
      <c r="B4" s="2640" t="s">
        <v>2904</v>
      </c>
      <c r="C4" s="1685"/>
      <c r="D4" s="3252"/>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4.5" thickBot="1">
      <c r="A5" s="2642" t="s">
        <v>1629</v>
      </c>
      <c r="B5" s="2643">
        <f>项目基本情况!C12</f>
        <v>54.91</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4.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5" thickBot="1">
      <c r="A7" s="2973"/>
      <c r="D7" s="2974"/>
      <c r="E7" s="2974"/>
      <c r="F7" s="2971"/>
      <c r="G7" s="2971"/>
      <c r="H7" s="2971"/>
    </row>
    <row r="8" spans="1:41" s="1685" customFormat="1" ht="14" hidden="1">
      <c r="A8" s="2973"/>
      <c r="D8" s="2974"/>
      <c r="E8" s="2974"/>
      <c r="F8" s="2971"/>
      <c r="G8" s="2971"/>
      <c r="H8" s="2971"/>
    </row>
    <row r="9" spans="1:41" s="1685" customFormat="1" ht="14.5" hidden="1" thickBot="1">
      <c r="C9" s="3093"/>
      <c r="D9" s="2971"/>
      <c r="E9" s="2971"/>
      <c r="F9" s="2971"/>
      <c r="G9" s="2971"/>
      <c r="H9" s="2971"/>
    </row>
    <row r="10" spans="1:41" s="2639" customFormat="1" ht="14.5" thickBot="1">
      <c r="A10" s="2928" t="s">
        <v>1633</v>
      </c>
      <c r="B10" s="2648" t="s">
        <v>2900</v>
      </c>
      <c r="C10" s="1685"/>
      <c r="D10" s="2925" t="s">
        <v>1634</v>
      </c>
      <c r="E10" s="2929" t="s">
        <v>1635</v>
      </c>
      <c r="F10" s="3094" t="s">
        <v>2846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5">
      <c r="A12" s="2932" t="s">
        <v>1639</v>
      </c>
      <c r="B12" s="2653">
        <v>69629</v>
      </c>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70</v>
      </c>
      <c r="C13" s="2969"/>
      <c r="D13" s="2935" t="s">
        <v>1642</v>
      </c>
      <c r="E13" s="2655">
        <f>成本法!C9</f>
        <v>8786</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
      <c r="A14" s="2932" t="s">
        <v>1644</v>
      </c>
      <c r="B14" s="2936">
        <f>IF(ISERROR(ROUND(POWER(1+B15,B11-B13)*(POWER(1+B15,B13)-1)/(POWER(1+B15,B11)-1),3)),0,ROUND(POWER(1+B15,B11-B13)*(POWER(1+B15,B13)-1)/(POWER(1+B15,B11)-1),3))</f>
        <v>1</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5">
      <c r="A15" s="2932" t="s">
        <v>1646</v>
      </c>
      <c r="B15" s="2657">
        <v>0.04</v>
      </c>
      <c r="C15" s="2565" t="s">
        <v>2847</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2848</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2845</v>
      </c>
      <c r="B17" s="3092">
        <v>0.08</v>
      </c>
      <c r="C17" s="2565" t="s">
        <v>2849</v>
      </c>
      <c r="D17" s="2928" t="s">
        <v>1651</v>
      </c>
      <c r="E17" s="2659">
        <v>2000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109820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4.5" thickBot="1">
      <c r="A20" s="2943" t="s">
        <v>1652</v>
      </c>
      <c r="B20" s="1311"/>
      <c r="C20" s="1685"/>
      <c r="D20" s="2945" t="str">
        <f>IF(B26=0,"成新率","工程进度")</f>
        <v>成新率</v>
      </c>
      <c r="E20" s="2662">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
      <c r="A21" s="2944" t="s">
        <v>1653</v>
      </c>
      <c r="B21" s="2661">
        <v>0</v>
      </c>
      <c r="C21" s="1685"/>
      <c r="D21" s="2932" t="s">
        <v>1655</v>
      </c>
      <c r="E21" s="2664">
        <v>0.03</v>
      </c>
      <c r="F21" s="2675" t="s">
        <v>2855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
      <c r="A22" s="2946" t="s">
        <v>1654</v>
      </c>
      <c r="B22" s="2663">
        <v>1</v>
      </c>
      <c r="C22" s="1685"/>
      <c r="D22" s="2932" t="s">
        <v>1657</v>
      </c>
      <c r="E22" s="2667">
        <v>0.05</v>
      </c>
      <c r="F22" s="2675" t="s">
        <v>2853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
      <c r="A23" s="2947" t="s">
        <v>1656</v>
      </c>
      <c r="B23" s="2666">
        <v>1</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4.5" thickBot="1">
      <c r="A24" s="2948" t="s">
        <v>1658</v>
      </c>
      <c r="B24" s="2949">
        <f>B21+B22</f>
        <v>1</v>
      </c>
      <c r="C24" s="1685"/>
      <c r="D24" s="2939" t="s">
        <v>1661</v>
      </c>
      <c r="E24" s="2668">
        <v>1.4999999999999999E-2</v>
      </c>
      <c r="F24" s="2675" t="s">
        <v>2856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
      <c r="A25" s="2950" t="s">
        <v>1660</v>
      </c>
      <c r="B25" s="2951">
        <f>B21+B23</f>
        <v>1</v>
      </c>
      <c r="C25" s="1685"/>
      <c r="D25" s="2931" t="s">
        <v>1663</v>
      </c>
      <c r="E25" s="2664">
        <v>0.02</v>
      </c>
      <c r="F25" s="2675" t="s">
        <v>2854</v>
      </c>
      <c r="I25" s="2970"/>
    </row>
    <row r="26" spans="1:41" ht="14.5" thickBot="1">
      <c r="A26" s="2948" t="s">
        <v>1662</v>
      </c>
      <c r="B26" s="2952">
        <f>B22-B23</f>
        <v>0</v>
      </c>
      <c r="D26" s="2932" t="s">
        <v>1665</v>
      </c>
      <c r="E26" s="2667">
        <v>0.02</v>
      </c>
      <c r="F26" s="2675" t="s">
        <v>2854</v>
      </c>
      <c r="G26" s="2971"/>
      <c r="H26" s="2971"/>
      <c r="I26" s="1685"/>
      <c r="J26" s="1685"/>
      <c r="K26" s="1685"/>
      <c r="L26" s="1685"/>
      <c r="M26" s="1685"/>
      <c r="N26" s="1685"/>
    </row>
    <row r="27" spans="1:41" ht="14.5" thickBot="1">
      <c r="A27" s="2953" t="s">
        <v>1664</v>
      </c>
      <c r="B27" s="2669">
        <v>1986</v>
      </c>
      <c r="C27" s="1685"/>
      <c r="D27" s="2932" t="s">
        <v>1666</v>
      </c>
      <c r="E27" s="2954">
        <f ca="1">存贷款利率!G1</f>
        <v>4.3499999999999997E-2</v>
      </c>
      <c r="F27" s="2665" t="s">
        <v>1667</v>
      </c>
      <c r="G27" s="2971"/>
      <c r="H27" s="2971"/>
      <c r="K27" s="1685"/>
      <c r="N27" s="1685"/>
    </row>
    <row r="28" spans="1:41" ht="14.5" thickBot="1">
      <c r="A28" s="947"/>
      <c r="B28" s="947"/>
      <c r="D28" s="2935" t="s">
        <v>1669</v>
      </c>
      <c r="E28" s="2671">
        <v>0.2</v>
      </c>
      <c r="G28" s="2971"/>
      <c r="H28" s="2971"/>
      <c r="K28" s="1685"/>
      <c r="N28" s="1685"/>
    </row>
    <row r="29" spans="1:41" ht="14.5">
      <c r="A29" s="2955" t="s">
        <v>1668</v>
      </c>
      <c r="B29" s="2670" t="s">
        <v>2912</v>
      </c>
      <c r="D29" s="2937" t="s">
        <v>1670</v>
      </c>
      <c r="E29" s="2956">
        <f>E30+E31</f>
        <v>5.5000000000000007E-2</v>
      </c>
      <c r="F29" s="1310"/>
      <c r="G29" s="2971"/>
      <c r="H29" s="2971"/>
      <c r="K29" s="1685"/>
      <c r="N29" s="1685"/>
    </row>
    <row r="30" spans="1:41" ht="14">
      <c r="A30" s="2932" t="str">
        <f>IF(B29="租赁期内按合同租金","合同租金","市场租金")</f>
        <v>市场租金</v>
      </c>
      <c r="B30" s="2672"/>
      <c r="D30" s="2939" t="s">
        <v>1672</v>
      </c>
      <c r="E30" s="2673">
        <v>0.05</v>
      </c>
      <c r="F30" s="2958">
        <f>IF(B2&lt;DATE(2016,5,1),0,E30)</f>
        <v>0.05</v>
      </c>
      <c r="G30" s="2971"/>
      <c r="H30" s="2971"/>
      <c r="K30" s="1685"/>
      <c r="N30" s="1685"/>
    </row>
    <row r="31" spans="1:41" ht="14">
      <c r="A31" s="2932" t="s">
        <v>1671</v>
      </c>
      <c r="B31" s="2957">
        <f ca="1">存贷款利率!I1</f>
        <v>1.4999999999999999E-2</v>
      </c>
      <c r="D31" s="2939" t="s">
        <v>1674</v>
      </c>
      <c r="E31" s="2959">
        <f>E30*(E32+E33+E34)+E35</f>
        <v>5.000000000000001E-3</v>
      </c>
      <c r="F31" s="1310"/>
      <c r="G31" s="2971"/>
      <c r="H31" s="2971"/>
      <c r="K31" s="1685"/>
      <c r="N31" s="1685"/>
    </row>
    <row r="32" spans="1:41" ht="14">
      <c r="A32" s="2932" t="s">
        <v>1673</v>
      </c>
      <c r="B32" s="2657">
        <v>3.5000000000000003E-2</v>
      </c>
      <c r="D32" s="2939" t="s">
        <v>1676</v>
      </c>
      <c r="E32" s="2674">
        <v>0.05</v>
      </c>
      <c r="F32" s="2675" t="s">
        <v>2740</v>
      </c>
      <c r="G32" s="2971"/>
      <c r="H32" s="2971"/>
      <c r="K32" s="1685"/>
      <c r="L32" s="1685"/>
      <c r="M32" s="1685"/>
      <c r="N32" s="1685"/>
    </row>
    <row r="33" spans="1:14" ht="14">
      <c r="A33" s="2932" t="s">
        <v>1675</v>
      </c>
      <c r="B33" s="2657">
        <v>0.08</v>
      </c>
      <c r="D33" s="2939" t="s">
        <v>1678</v>
      </c>
      <c r="E33" s="2673">
        <v>0.03</v>
      </c>
      <c r="F33" s="1309" t="s">
        <v>1679</v>
      </c>
      <c r="G33" s="2971"/>
      <c r="H33" s="2971"/>
      <c r="K33" s="1685"/>
      <c r="L33" s="1685"/>
      <c r="M33" s="1685"/>
      <c r="N33" s="1685"/>
    </row>
    <row r="34" spans="1:14" s="2677" customFormat="1" ht="14.5">
      <c r="A34" s="2932" t="s">
        <v>1677</v>
      </c>
      <c r="B34" s="2960">
        <f>收益法!J54</f>
        <v>70</v>
      </c>
      <c r="D34" s="2939" t="s">
        <v>1680</v>
      </c>
      <c r="E34" s="2673">
        <v>0.02</v>
      </c>
      <c r="F34" s="1309" t="s">
        <v>1681</v>
      </c>
      <c r="G34" s="2971"/>
      <c r="H34" s="2971"/>
      <c r="I34" s="1685"/>
      <c r="J34" s="1685"/>
      <c r="K34" s="1685"/>
      <c r="L34" s="1685"/>
      <c r="M34" s="1685"/>
      <c r="N34" s="1685"/>
    </row>
    <row r="35" spans="1:14" s="2677" customFormat="1" ht="14.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
      <c r="A36" s="2961" t="s">
        <v>1682</v>
      </c>
      <c r="B36" s="2962"/>
      <c r="D36" s="2963" t="s">
        <v>1685</v>
      </c>
      <c r="E36" s="2681">
        <v>0.03</v>
      </c>
      <c r="F36" s="1311" t="s">
        <v>1686</v>
      </c>
      <c r="G36" s="2971"/>
      <c r="H36" s="2971"/>
      <c r="I36" s="1685"/>
      <c r="J36" s="1685"/>
      <c r="K36" s="1685"/>
      <c r="L36" s="1685"/>
      <c r="M36" s="1685"/>
      <c r="N36" s="1685"/>
    </row>
    <row r="37" spans="1:14" s="2677" customFormat="1" ht="14.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4.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5">
      <c r="A42" s="2931" t="s">
        <v>1692</v>
      </c>
      <c r="B42" s="2682">
        <v>1</v>
      </c>
      <c r="D42" s="2685" t="s">
        <v>1697</v>
      </c>
      <c r="E42" s="2672"/>
      <c r="F42" s="1311">
        <v>30</v>
      </c>
      <c r="G42" s="2971"/>
      <c r="H42" s="2971"/>
      <c r="I42" s="1685"/>
      <c r="J42" s="1685"/>
      <c r="K42" s="1685"/>
      <c r="L42" s="1685"/>
      <c r="M42" s="1685"/>
      <c r="N42" s="1685"/>
    </row>
    <row r="43" spans="1:14" ht="14.5">
      <c r="A43" s="2932" t="s">
        <v>1696</v>
      </c>
      <c r="B43" s="2684">
        <v>12</v>
      </c>
      <c r="D43" s="2685" t="s">
        <v>1699</v>
      </c>
      <c r="E43" s="2672"/>
      <c r="F43" s="1311">
        <v>24</v>
      </c>
      <c r="G43" s="2971"/>
      <c r="H43" s="2971"/>
      <c r="I43" s="1685"/>
      <c r="J43" s="1685"/>
      <c r="K43" s="1685"/>
      <c r="L43" s="1685"/>
      <c r="M43" s="1685"/>
      <c r="N43" s="1685"/>
    </row>
    <row r="44" spans="1:14" ht="14.5">
      <c r="A44" s="2932" t="s">
        <v>1698</v>
      </c>
      <c r="B44" s="2672"/>
      <c r="D44" s="2685" t="s">
        <v>1701</v>
      </c>
      <c r="E44" s="2672"/>
      <c r="F44" s="1311">
        <v>18</v>
      </c>
      <c r="G44" s="2677"/>
      <c r="H44" s="2677"/>
      <c r="I44" s="2971"/>
      <c r="J44" s="1685"/>
      <c r="K44" s="1685"/>
      <c r="L44" s="1685"/>
      <c r="M44" s="1685"/>
      <c r="N44" s="1685"/>
    </row>
    <row r="45" spans="1:14" ht="14">
      <c r="A45" s="2932" t="s">
        <v>1700</v>
      </c>
      <c r="B45" s="2686">
        <v>0.02</v>
      </c>
      <c r="C45" s="2565" t="s">
        <v>2852</v>
      </c>
      <c r="D45" s="2685" t="s">
        <v>1703</v>
      </c>
      <c r="E45" s="2672"/>
      <c r="F45" s="1311">
        <v>12</v>
      </c>
      <c r="G45" s="2677"/>
      <c r="H45" s="2677"/>
      <c r="M45" s="1685"/>
      <c r="N45" s="1685"/>
    </row>
    <row r="46" spans="1:14" ht="14">
      <c r="A46" s="2932" t="s">
        <v>1702</v>
      </c>
      <c r="B46" s="2687">
        <v>2E-3</v>
      </c>
      <c r="C46" s="2565" t="s">
        <v>2850</v>
      </c>
      <c r="D46" s="2685" t="s">
        <v>1457</v>
      </c>
      <c r="E46" s="2672"/>
      <c r="F46" s="1311">
        <v>3</v>
      </c>
      <c r="G46" s="2677"/>
      <c r="H46" s="2677"/>
      <c r="M46" s="1685"/>
      <c r="N46" s="1685"/>
    </row>
    <row r="47" spans="1:14" ht="14.5" thickBot="1">
      <c r="A47" s="2935" t="s">
        <v>1704</v>
      </c>
      <c r="B47" s="2688">
        <v>0.02</v>
      </c>
      <c r="C47" s="2565" t="s">
        <v>2851</v>
      </c>
      <c r="D47" s="2685" t="s">
        <v>1705</v>
      </c>
      <c r="E47" s="2672"/>
      <c r="F47" s="1311">
        <v>1.5</v>
      </c>
      <c r="G47" s="2677"/>
      <c r="H47" s="2677"/>
      <c r="M47" s="1685"/>
      <c r="N47" s="1685"/>
    </row>
    <row r="48" spans="1:14" ht="14">
      <c r="A48" s="2677"/>
      <c r="B48" s="2677"/>
      <c r="D48" s="2685" t="s">
        <v>1706</v>
      </c>
      <c r="E48" s="2672"/>
      <c r="F48" s="1311"/>
      <c r="G48" s="2677"/>
      <c r="H48" s="2677"/>
      <c r="M48" s="1685"/>
      <c r="N48" s="1685"/>
    </row>
    <row r="49" spans="1:41" ht="14">
      <c r="A49" s="2677"/>
      <c r="B49" s="2677"/>
      <c r="D49" s="2685" t="s">
        <v>1707</v>
      </c>
      <c r="E49" s="2672"/>
      <c r="F49" s="1311"/>
      <c r="G49" s="2677"/>
      <c r="H49" s="2677"/>
      <c r="M49" s="1685"/>
      <c r="N49" s="1685"/>
    </row>
    <row r="50" spans="1:41" ht="14">
      <c r="A50" s="2677"/>
      <c r="B50" s="2677"/>
      <c r="D50" s="2685" t="s">
        <v>1708</v>
      </c>
      <c r="E50" s="2672"/>
      <c r="F50" s="1311"/>
      <c r="G50" s="2677"/>
      <c r="H50" s="2677"/>
      <c r="M50" s="1685"/>
      <c r="N50" s="1685"/>
    </row>
    <row r="51" spans="1:41" s="947" customFormat="1" ht="14.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
      <c r="D52" s="2971"/>
      <c r="E52" s="2971"/>
      <c r="F52" s="2971"/>
      <c r="G52" s="2971"/>
      <c r="H52" s="2971"/>
      <c r="I52" s="1685"/>
      <c r="J52" s="1685"/>
      <c r="K52" s="1685"/>
      <c r="L52" s="1685"/>
      <c r="M52" s="1685"/>
      <c r="N52" s="1685"/>
    </row>
    <row r="53" spans="1:41" s="2677" customFormat="1" ht="14">
      <c r="D53" s="2971"/>
      <c r="E53" s="2971"/>
      <c r="F53" s="2971"/>
      <c r="G53" s="2971"/>
      <c r="H53" s="2971"/>
      <c r="I53" s="1685"/>
      <c r="J53" s="1685"/>
      <c r="K53" s="1685"/>
      <c r="L53" s="1685"/>
      <c r="M53" s="1685"/>
      <c r="N53" s="1685"/>
    </row>
    <row r="54" spans="1:41" s="2677" customFormat="1" ht="14">
      <c r="D54" s="2971"/>
      <c r="E54" s="2971"/>
      <c r="F54" s="2971"/>
      <c r="G54" s="2971"/>
      <c r="H54" s="2971"/>
      <c r="I54" s="1685"/>
      <c r="J54" s="1685"/>
      <c r="K54" s="1685"/>
      <c r="L54" s="1685"/>
      <c r="M54" s="1685"/>
      <c r="N54" s="1685"/>
    </row>
    <row r="55" spans="1:41" s="2677" customFormat="1" ht="14">
      <c r="D55" s="2971"/>
      <c r="E55" s="2971"/>
      <c r="F55" s="2971"/>
      <c r="G55" s="2971"/>
      <c r="H55" s="2971"/>
      <c r="I55" s="1685"/>
      <c r="J55" s="1685"/>
      <c r="K55" s="1685"/>
      <c r="L55" s="1685"/>
      <c r="M55" s="1685"/>
      <c r="N55" s="1685"/>
    </row>
    <row r="56" spans="1:41" s="2677" customFormat="1" ht="14">
      <c r="D56" s="2971"/>
      <c r="E56" s="2971"/>
      <c r="F56" s="2971"/>
      <c r="G56" s="2971"/>
      <c r="H56" s="2971"/>
      <c r="I56" s="1685"/>
      <c r="J56" s="1685"/>
      <c r="K56" s="1685"/>
      <c r="L56" s="1685"/>
      <c r="M56" s="1685"/>
      <c r="N56" s="1685"/>
    </row>
    <row r="57" spans="1:41" s="2677" customFormat="1" ht="14">
      <c r="D57" s="2971"/>
      <c r="E57" s="2971"/>
      <c r="F57" s="2971"/>
      <c r="G57" s="2971"/>
      <c r="H57" s="2971"/>
      <c r="I57" s="1685"/>
      <c r="J57" s="1685"/>
      <c r="K57" s="1685"/>
      <c r="L57" s="1685"/>
      <c r="M57" s="1685"/>
      <c r="N57" s="1685"/>
    </row>
    <row r="58" spans="1:41" s="2677" customFormat="1" ht="14">
      <c r="D58" s="2971"/>
      <c r="E58" s="2971"/>
      <c r="F58" s="2971"/>
      <c r="G58" s="2971"/>
      <c r="H58" s="2971"/>
      <c r="I58" s="1685"/>
      <c r="J58" s="1685"/>
      <c r="K58" s="1685"/>
      <c r="L58" s="1685"/>
      <c r="M58" s="1685"/>
      <c r="N58" s="1685"/>
    </row>
    <row r="59" spans="1:41" s="2677" customFormat="1" ht="14">
      <c r="D59" s="2971"/>
      <c r="E59" s="2971"/>
      <c r="F59" s="2971"/>
      <c r="G59" s="2971"/>
      <c r="H59" s="2971"/>
      <c r="I59" s="1685"/>
      <c r="J59" s="1685"/>
      <c r="K59" s="1685"/>
      <c r="L59" s="1685"/>
      <c r="M59" s="2972"/>
      <c r="N59" s="1685"/>
    </row>
    <row r="60" spans="1:41" s="2677" customFormat="1" ht="14">
      <c r="D60" s="2971"/>
      <c r="E60" s="2971"/>
      <c r="F60" s="2971"/>
      <c r="G60" s="2971"/>
      <c r="H60" s="2971"/>
      <c r="I60" s="1685"/>
      <c r="J60" s="1685"/>
      <c r="K60" s="1685"/>
      <c r="L60" s="1685"/>
      <c r="M60" s="1685"/>
      <c r="N60" s="1685"/>
    </row>
    <row r="61" spans="1:41" s="2677" customFormat="1" ht="14">
      <c r="D61" s="2971"/>
      <c r="E61" s="2971"/>
      <c r="F61" s="2971"/>
      <c r="G61" s="2971"/>
      <c r="H61" s="2971"/>
      <c r="I61" s="1685"/>
      <c r="J61" s="1685"/>
      <c r="K61" s="1685"/>
      <c r="L61" s="1685"/>
      <c r="M61" s="1685"/>
      <c r="N61" s="1685"/>
    </row>
    <row r="62" spans="1:41" s="2677" customFormat="1" ht="14">
      <c r="D62" s="2971"/>
      <c r="E62" s="2971"/>
      <c r="F62" s="2971"/>
      <c r="G62" s="2971"/>
      <c r="H62" s="2971"/>
      <c r="I62" s="1685"/>
      <c r="J62" s="1685"/>
      <c r="K62" s="1685"/>
      <c r="L62" s="1685"/>
      <c r="M62" s="1685"/>
      <c r="N62" s="1685"/>
    </row>
    <row r="63" spans="1:41" s="2677" customFormat="1" ht="14">
      <c r="D63" s="2971"/>
      <c r="E63" s="2971"/>
      <c r="F63" s="2971"/>
      <c r="G63" s="2971"/>
      <c r="H63" s="2971"/>
      <c r="I63" s="1685"/>
      <c r="J63" s="1685"/>
      <c r="K63" s="1685"/>
      <c r="L63" s="1685"/>
      <c r="M63" s="1685"/>
      <c r="N63" s="1685"/>
    </row>
    <row r="64" spans="1:41" s="2677" customFormat="1" ht="14">
      <c r="D64" s="2971"/>
      <c r="E64" s="2971"/>
      <c r="F64" s="2971"/>
      <c r="G64" s="2971"/>
      <c r="H64" s="2971"/>
      <c r="I64" s="1685"/>
      <c r="J64" s="1685"/>
      <c r="K64" s="1685"/>
      <c r="L64" s="1685"/>
      <c r="M64" s="1685"/>
      <c r="N64" s="1685"/>
    </row>
    <row r="65" spans="1:14" s="2677" customFormat="1" ht="14">
      <c r="D65" s="2971"/>
      <c r="E65" s="2971"/>
      <c r="F65" s="2971"/>
      <c r="G65" s="2971"/>
      <c r="H65" s="2971"/>
      <c r="I65" s="1685"/>
      <c r="J65" s="1685"/>
      <c r="K65" s="1685"/>
      <c r="L65" s="1685"/>
      <c r="M65" s="1685"/>
      <c r="N65" s="1685"/>
    </row>
    <row r="66" spans="1:14" s="2677" customFormat="1" ht="14">
      <c r="D66" s="2971"/>
      <c r="E66" s="2971"/>
      <c r="F66" s="2971"/>
      <c r="G66" s="2971"/>
      <c r="H66" s="2971"/>
      <c r="I66" s="1685"/>
      <c r="J66" s="1685"/>
      <c r="K66" s="1685"/>
      <c r="L66" s="1685"/>
      <c r="M66" s="1685"/>
      <c r="N66" s="1685"/>
    </row>
    <row r="67" spans="1:14" s="2677" customFormat="1" ht="14">
      <c r="A67" s="2975"/>
      <c r="D67" s="2971"/>
      <c r="E67" s="2971"/>
      <c r="F67" s="2971"/>
      <c r="G67" s="2971"/>
      <c r="H67" s="2971"/>
      <c r="I67" s="1685"/>
      <c r="J67" s="1685"/>
      <c r="K67" s="1685"/>
      <c r="L67" s="1685"/>
      <c r="M67" s="1685"/>
      <c r="N67" s="1685"/>
    </row>
    <row r="68" spans="1:14" s="2677" customFormat="1" ht="14">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
  <cols>
    <col min="1" max="1" width="14.7265625" style="2639" customWidth="1"/>
    <col min="2" max="2" width="24.453125" style="2652" customWidth="1"/>
    <col min="3" max="3" width="28.36328125" style="2713" customWidth="1"/>
    <col min="4" max="4" width="2.6328125" style="2713" customWidth="1"/>
    <col min="5" max="5" width="5.90625" style="2713" customWidth="1"/>
    <col min="6" max="6" width="27" style="2652" customWidth="1"/>
    <col min="7" max="7" width="32.36328125" style="2714" customWidth="1"/>
    <col min="8" max="8" width="11.90625" style="2710" customWidth="1"/>
    <col min="9" max="9" width="16.7265625" style="2711" customWidth="1"/>
    <col min="10" max="10" width="2.6328125" style="2710" customWidth="1"/>
    <col min="11" max="11" width="11.90625" style="2710" customWidth="1"/>
    <col min="12" max="12" width="16.7265625" style="2711" customWidth="1"/>
    <col min="13" max="13" width="2.6328125" style="2710" customWidth="1"/>
    <col min="14" max="14" width="11.90625" style="2710" customWidth="1"/>
    <col min="15" max="15" width="16.7265625" style="2711" customWidth="1"/>
    <col min="16" max="16" width="2.6328125" style="2710" customWidth="1"/>
    <col min="17" max="17" width="11.90625" style="2710" customWidth="1"/>
    <col min="18" max="18" width="16.7265625" style="2712" customWidth="1"/>
    <col min="19" max="29" width="9" style="2700"/>
    <col min="30" max="16384" width="9" style="2639"/>
  </cols>
  <sheetData>
    <row r="1" spans="1:29" s="2698" customFormat="1" ht="18.5" thickBot="1">
      <c r="A1" s="3253" t="s">
        <v>1710</v>
      </c>
      <c r="B1" s="3254"/>
      <c r="C1" s="3254"/>
      <c r="D1" s="3254"/>
      <c r="E1" s="3254"/>
      <c r="F1" s="3254"/>
      <c r="G1" s="3254"/>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2857</v>
      </c>
      <c r="D2" s="3104"/>
      <c r="E2" s="3101"/>
      <c r="F2" s="3105"/>
      <c r="G2" s="3103" t="s">
        <v>2858</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39">
      <c r="A3" s="3107" t="s">
        <v>2859</v>
      </c>
      <c r="B3" s="3108" t="s">
        <v>2860</v>
      </c>
      <c r="C3" s="3153" t="s">
        <v>2928</v>
      </c>
      <c r="D3" s="3109"/>
      <c r="E3" s="3110" t="s">
        <v>2859</v>
      </c>
      <c r="F3" s="3111" t="s">
        <v>2861</v>
      </c>
      <c r="G3" s="3112" t="s">
        <v>2862</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9">
      <c r="A4" s="3110"/>
      <c r="B4" s="3095" t="s">
        <v>2863</v>
      </c>
      <c r="C4" s="3113" t="s">
        <v>2864</v>
      </c>
      <c r="D4" s="3109"/>
      <c r="E4" s="3114"/>
      <c r="F4" s="3097" t="s">
        <v>2865</v>
      </c>
      <c r="G4" s="3115" t="s">
        <v>2866</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9">
      <c r="A5" s="3110"/>
      <c r="B5" s="3095" t="s">
        <v>2867</v>
      </c>
      <c r="C5" s="3113" t="s">
        <v>2868</v>
      </c>
      <c r="D5" s="3109"/>
      <c r="E5" s="3114"/>
      <c r="F5" s="3095" t="s">
        <v>2869</v>
      </c>
      <c r="G5" s="3115" t="s">
        <v>2870</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65">
      <c r="A6" s="3110"/>
      <c r="B6" s="3095" t="s">
        <v>2871</v>
      </c>
      <c r="C6" s="3154" t="s">
        <v>2929</v>
      </c>
      <c r="D6" s="3109"/>
      <c r="E6" s="3114"/>
      <c r="F6" s="3095" t="s">
        <v>2872</v>
      </c>
      <c r="G6" s="3115" t="s">
        <v>2873</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6.5" thickBot="1">
      <c r="A7" s="3110"/>
      <c r="B7" s="3095" t="s">
        <v>2869</v>
      </c>
      <c r="C7" s="3115" t="s">
        <v>2870</v>
      </c>
      <c r="D7" s="2984"/>
      <c r="E7" s="3116"/>
      <c r="F7" s="3117" t="s">
        <v>2874</v>
      </c>
      <c r="G7" s="3118" t="s">
        <v>2875</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
      <c r="A8" s="3110"/>
      <c r="B8" s="3095" t="s">
        <v>2872</v>
      </c>
      <c r="C8" s="3115" t="s">
        <v>2873</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78">
      <c r="A9" s="3110"/>
      <c r="B9" s="3095" t="s">
        <v>2876</v>
      </c>
      <c r="C9" s="3155" t="s">
        <v>2930</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2877</v>
      </c>
      <c r="C10" s="3156" t="s">
        <v>2931</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5" thickBot="1">
      <c r="A13" s="2709" t="s">
        <v>1716</v>
      </c>
      <c r="B13" s="2703"/>
      <c r="C13" s="2703"/>
      <c r="D13" s="2699"/>
      <c r="E13" s="2703"/>
      <c r="F13" s="2703"/>
      <c r="G13" s="2703"/>
    </row>
    <row r="14" spans="1:29" s="2636" customFormat="1" ht="13.5" thickBot="1">
      <c r="A14" s="3124"/>
      <c r="B14" s="3124"/>
      <c r="C14" s="3125" t="s">
        <v>2878</v>
      </c>
      <c r="D14" s="3109"/>
      <c r="E14" s="3126"/>
      <c r="F14" s="3126"/>
      <c r="G14" s="3103" t="s">
        <v>2879</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7.5">
      <c r="A15" s="3130" t="s">
        <v>2880</v>
      </c>
      <c r="B15" s="3131" t="s">
        <v>2860</v>
      </c>
      <c r="C15" s="3132" t="str">
        <f>C3</f>
        <v>估价对象周边有西环里、安福苑、燕平家园、和平家园小区等住宅项目，居住社区成熟度好。</v>
      </c>
      <c r="D15" s="3109"/>
      <c r="E15" s="3133" t="s">
        <v>2881</v>
      </c>
      <c r="F15" s="3131" t="s">
        <v>2882</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7.5">
      <c r="A16" s="3135"/>
      <c r="B16" s="2576" t="s">
        <v>2863</v>
      </c>
      <c r="C16" s="3136" t="str">
        <f>C4</f>
        <v>估价对象位于XX商圈，周边商业氛围成熟，人流量大，商业繁华度好</v>
      </c>
      <c r="D16" s="3109"/>
      <c r="E16" s="3137"/>
      <c r="F16" s="3096"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7.5">
      <c r="A17" s="3135"/>
      <c r="B17" s="2576" t="s">
        <v>2867</v>
      </c>
      <c r="C17" s="3136" t="str">
        <f>C5</f>
        <v>估价对象位于XX商圈，周边办公楼项目较多，入驻率高，办公集聚程度较好</v>
      </c>
      <c r="D17" s="2984"/>
      <c r="E17" s="3137"/>
      <c r="F17" s="3096" t="s">
        <v>2883</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62.5">
      <c r="A18" s="3135"/>
      <c r="B18" s="3096" t="s">
        <v>2871</v>
      </c>
      <c r="C18" s="3138" t="str">
        <f>C6</f>
        <v>估价对象周边有昌11路、昌21路、昌52路、昌59路等多条公交线路。以估价对象为圆心，半径1000米范围内有地铁昌平线昌平地铁站，交通便捷程度好。</v>
      </c>
      <c r="D18" s="2984"/>
      <c r="E18" s="3137"/>
      <c r="F18" s="3096" t="s">
        <v>2874</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5">
      <c r="A19" s="3135"/>
      <c r="B19" s="3096" t="s">
        <v>2884</v>
      </c>
      <c r="C19" s="3139"/>
      <c r="D19" s="3109"/>
      <c r="E19" s="3137"/>
      <c r="F19" s="3095" t="s">
        <v>2869</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75">
      <c r="A20" s="3135"/>
      <c r="B20" s="3096" t="s">
        <v>2885</v>
      </c>
      <c r="C20" s="3136" t="str">
        <f>C9</f>
        <v xml:space="preserve">自然环境：昌平公园、北山公园等自然景观；
人文环境：中国石油大学、中国政法大学昌平校区等人文场所；
综合评价环境状况好。
</v>
      </c>
      <c r="D20" s="2984"/>
      <c r="E20" s="3137"/>
      <c r="F20" s="3095" t="s">
        <v>2872</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
      <c r="A21" s="3135"/>
      <c r="B21" s="3095" t="s">
        <v>2869</v>
      </c>
      <c r="C21" s="3138" t="str">
        <f>C7</f>
        <v>估价对象所在区域公共配套设施齐备情况</v>
      </c>
      <c r="D21" s="3109"/>
      <c r="E21" s="3137"/>
      <c r="F21" s="3096" t="s">
        <v>2886</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
      <c r="A22" s="3135"/>
      <c r="B22" s="3095" t="s">
        <v>2872</v>
      </c>
      <c r="C22" s="3138" t="str">
        <f>C8</f>
        <v>估价对象所在区域基础设施水平</v>
      </c>
      <c r="D22" s="3109"/>
      <c r="E22" s="3137"/>
      <c r="F22" s="3096" t="s">
        <v>2877</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2886</v>
      </c>
      <c r="C23" s="3140"/>
      <c r="D23" s="3127"/>
      <c r="E23" s="3142"/>
      <c r="F23" s="3098" t="s">
        <v>2887</v>
      </c>
      <c r="G23" s="3143"/>
      <c r="H23" s="3127"/>
      <c r="I23" s="3128"/>
      <c r="J23" s="3127"/>
      <c r="K23" s="3127"/>
      <c r="L23" s="3128"/>
      <c r="M23" s="3127"/>
      <c r="N23" s="3127"/>
      <c r="O23" s="3128"/>
      <c r="P23" s="3127"/>
      <c r="Q23" s="3127"/>
      <c r="R23" s="3129"/>
    </row>
    <row r="24" spans="1:29" s="3106" customFormat="1" ht="13.5" thickBot="1">
      <c r="A24" s="3144"/>
      <c r="B24" s="3098" t="s">
        <v>2888</v>
      </c>
      <c r="C24" s="3145" t="str">
        <f>C10</f>
        <v>城市支路—通福桥胡同</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7" zoomScaleNormal="100" zoomScaleSheetLayoutView="100" workbookViewId="0">
      <selection activeCell="B14" sqref="B14"/>
    </sheetView>
  </sheetViews>
  <sheetFormatPr defaultColWidth="14.6328125" defaultRowHeight="14"/>
  <cols>
    <col min="1" max="1" width="24.36328125" style="2585" customWidth="1"/>
    <col min="2" max="16384" width="14.6328125" style="2585"/>
  </cols>
  <sheetData>
    <row r="1" spans="1:9" ht="16.5">
      <c r="A1" s="2583" t="s">
        <v>1212</v>
      </c>
      <c r="B1" s="2583">
        <f>SUM(B14:B23)</f>
        <v>54.91</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44062</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195.18860000000001</v>
      </c>
      <c r="C5" s="2583">
        <f ca="1">ROUND(B5*10000/$B$1,0)</f>
        <v>35547</v>
      </c>
      <c r="D5" s="2583" t="e">
        <f ca="1">ROUND(B5*10000/$B$2,0)</f>
        <v>#DIV/0!</v>
      </c>
      <c r="E5" s="1634"/>
      <c r="F5" s="2584"/>
      <c r="G5" s="2584"/>
    </row>
    <row r="6" spans="1:9" ht="16.5">
      <c r="A6" s="2583" t="s">
        <v>1220</v>
      </c>
      <c r="B6" s="2583">
        <f ca="1">SUM(G14:G23)</f>
        <v>195.18860000000001</v>
      </c>
      <c r="C6" s="2583">
        <f t="shared" ref="C6:C8" ca="1" si="0">ROUND(B6*10000/$B$1,0)</f>
        <v>35547</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2893</v>
      </c>
      <c r="B14" s="2919">
        <f>项目基本情况!C12</f>
        <v>54.91</v>
      </c>
      <c r="C14" s="2919">
        <f>项目基本情况!C13</f>
        <v>0</v>
      </c>
      <c r="D14" s="2919">
        <f ca="1">IF('数据-取费表'!B3="万元",IF(A14="估价对象1（结果表）",结果表!H121,'结果表 (1修多)'!H125),IF(A14="估价对象1（结果表）",结果表!H121,'结果表 (1修多)'!H125)/10000)</f>
        <v>195.18860000000001</v>
      </c>
      <c r="E14" s="2919">
        <f ca="1">ROUND(D14*10000/B14,0)</f>
        <v>35547</v>
      </c>
      <c r="F14" s="2919" t="e">
        <f ca="1">ROUND(D14*10000/C14,0)</f>
        <v>#DIV/0!</v>
      </c>
      <c r="G14" s="2919">
        <f ca="1">IF('数据-取费表'!B3="万元",IF(A14="估价对象1（结果表）",结果表!D125,'结果表 (1修多)'!D129),IF(A14="估价对象1（结果表）",结果表!D125,'结果表 (1修多)'!D129)/10000)</f>
        <v>195.18860000000001</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Normal="100" zoomScaleSheetLayoutView="100" zoomScalePageLayoutView="80" workbookViewId="0">
      <selection activeCell="G23" sqref="G23"/>
    </sheetView>
  </sheetViews>
  <sheetFormatPr defaultColWidth="12.6328125" defaultRowHeight="21.75" customHeight="1"/>
  <cols>
    <col min="1" max="2" width="12.6328125" style="1462"/>
    <col min="3" max="4" width="12.6328125" style="1462" customWidth="1"/>
    <col min="5" max="9" width="12.6328125" style="1462"/>
    <col min="10" max="10" width="3.6328125" style="2845" customWidth="1"/>
    <col min="11" max="12" width="12.6328125" style="659" customWidth="1"/>
    <col min="13" max="13" width="12.6328125" style="659"/>
    <col min="14" max="14" width="14.08984375" style="659" bestFit="1" customWidth="1"/>
    <col min="15" max="27" width="12.6328125" style="659"/>
    <col min="28" max="36" width="12.6328125" style="1308"/>
    <col min="37" max="16384" width="12.6328125" style="1462"/>
  </cols>
  <sheetData>
    <row r="1" spans="1:15" ht="21.75" customHeight="1">
      <c r="A1" s="1460" t="s">
        <v>1717</v>
      </c>
      <c r="B1" s="1461"/>
      <c r="C1" s="1461"/>
      <c r="D1" s="1461"/>
      <c r="E1" s="1461"/>
      <c r="F1" s="1461"/>
      <c r="G1" s="1461"/>
      <c r="H1" s="1461"/>
      <c r="I1" s="1461"/>
    </row>
    <row r="2" spans="1:15" ht="21.75" customHeight="1">
      <c r="A2" s="3310" t="str">
        <f>项目基本情况!B1</f>
        <v>北京市房地产市场价值预评估</v>
      </c>
      <c r="B2" s="3310"/>
      <c r="C2" s="3310"/>
      <c r="D2" s="3310"/>
      <c r="E2" s="3310"/>
      <c r="F2" s="3310"/>
      <c r="G2" s="3310"/>
      <c r="H2" s="3310"/>
      <c r="I2" s="3310"/>
      <c r="J2" s="2846"/>
    </row>
    <row r="3" spans="1:15" ht="13">
      <c r="A3" s="3313" t="s">
        <v>1718</v>
      </c>
      <c r="B3" s="3314"/>
      <c r="C3" s="3314"/>
      <c r="D3" s="3314"/>
      <c r="E3" s="3314"/>
      <c r="F3" s="3314"/>
      <c r="G3" s="3314"/>
      <c r="H3" s="3314"/>
      <c r="I3" s="3314"/>
      <c r="J3" s="2847"/>
    </row>
    <row r="4" spans="1:15" ht="14">
      <c r="A4" s="2715" t="s">
        <v>1719</v>
      </c>
      <c r="B4" s="2715" t="s">
        <v>1720</v>
      </c>
      <c r="C4" s="2716" t="s">
        <v>2926</v>
      </c>
      <c r="D4" s="2716" t="s">
        <v>2913</v>
      </c>
      <c r="E4" s="3259" t="s">
        <v>1721</v>
      </c>
      <c r="F4" s="3297"/>
      <c r="G4" s="3297"/>
      <c r="H4" s="3297"/>
      <c r="I4" s="3298"/>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3">
      <c r="A5" s="3290" t="s">
        <v>1722</v>
      </c>
      <c r="B5" s="3290">
        <v>25</v>
      </c>
      <c r="C5" s="3299">
        <v>6</v>
      </c>
      <c r="D5" s="3312">
        <v>4</v>
      </c>
      <c r="E5" s="12" t="s">
        <v>1723</v>
      </c>
      <c r="F5" s="2089"/>
      <c r="G5" s="2089"/>
      <c r="H5" s="2089"/>
      <c r="I5" s="2084"/>
      <c r="J5" s="2848"/>
    </row>
    <row r="6" spans="1:15" ht="13">
      <c r="A6" s="3290"/>
      <c r="B6" s="3290"/>
      <c r="C6" s="3315"/>
      <c r="D6" s="3312"/>
      <c r="E6" s="12" t="s">
        <v>1724</v>
      </c>
      <c r="F6" s="2089"/>
      <c r="G6" s="2089"/>
      <c r="H6" s="2089"/>
      <c r="I6" s="2084"/>
      <c r="J6" s="2848"/>
    </row>
    <row r="7" spans="1:15" ht="13">
      <c r="A7" s="3290"/>
      <c r="B7" s="3290"/>
      <c r="C7" s="3300"/>
      <c r="D7" s="3312"/>
      <c r="E7" s="12" t="s">
        <v>1725</v>
      </c>
      <c r="F7" s="2089"/>
      <c r="G7" s="2089"/>
      <c r="H7" s="2089"/>
      <c r="I7" s="2084"/>
      <c r="J7" s="2848"/>
    </row>
    <row r="8" spans="1:15" ht="13">
      <c r="A8" s="3290" t="s">
        <v>1726</v>
      </c>
      <c r="B8" s="3290">
        <v>15</v>
      </c>
      <c r="C8" s="3299"/>
      <c r="D8" s="3312"/>
      <c r="E8" s="12" t="s">
        <v>1727</v>
      </c>
      <c r="F8" s="2089"/>
      <c r="G8" s="2089"/>
      <c r="H8" s="2089"/>
      <c r="I8" s="2084"/>
      <c r="J8" s="2848"/>
    </row>
    <row r="9" spans="1:15" ht="13">
      <c r="A9" s="3290"/>
      <c r="B9" s="3290"/>
      <c r="C9" s="3300"/>
      <c r="D9" s="3312"/>
      <c r="E9" s="12" t="s">
        <v>1728</v>
      </c>
      <c r="F9" s="2089"/>
      <c r="G9" s="2089"/>
      <c r="H9" s="2089"/>
      <c r="I9" s="2084"/>
      <c r="J9" s="2848"/>
    </row>
    <row r="10" spans="1:15" ht="13">
      <c r="A10" s="3290" t="s">
        <v>1729</v>
      </c>
      <c r="B10" s="3290">
        <v>15</v>
      </c>
      <c r="C10" s="3299"/>
      <c r="D10" s="3312"/>
      <c r="E10" s="12" t="s">
        <v>1730</v>
      </c>
      <c r="F10" s="2089"/>
      <c r="G10" s="2089"/>
      <c r="H10" s="2089"/>
      <c r="I10" s="2084"/>
      <c r="J10" s="2848"/>
    </row>
    <row r="11" spans="1:15" ht="13">
      <c r="A11" s="3290"/>
      <c r="B11" s="3290"/>
      <c r="C11" s="3300"/>
      <c r="D11" s="3312"/>
      <c r="E11" s="12" t="s">
        <v>1731</v>
      </c>
      <c r="F11" s="2089"/>
      <c r="G11" s="2089"/>
      <c r="H11" s="2089"/>
      <c r="I11" s="2084"/>
      <c r="J11" s="2848"/>
    </row>
    <row r="12" spans="1:15" ht="13">
      <c r="A12" s="3290" t="s">
        <v>1732</v>
      </c>
      <c r="B12" s="3290">
        <v>15</v>
      </c>
      <c r="C12" s="3299"/>
      <c r="D12" s="3312"/>
      <c r="E12" s="12" t="s">
        <v>1733</v>
      </c>
      <c r="F12" s="2089"/>
      <c r="G12" s="2089"/>
      <c r="H12" s="2089"/>
      <c r="I12" s="2084"/>
      <c r="J12" s="2848"/>
    </row>
    <row r="13" spans="1:15" ht="13">
      <c r="A13" s="3290"/>
      <c r="B13" s="3290"/>
      <c r="C13" s="3300"/>
      <c r="D13" s="3312"/>
      <c r="E13" s="12" t="s">
        <v>1734</v>
      </c>
      <c r="F13" s="2089"/>
      <c r="G13" s="2089"/>
      <c r="H13" s="2089"/>
      <c r="I13" s="2084"/>
      <c r="J13" s="2848"/>
    </row>
    <row r="14" spans="1:15" ht="13">
      <c r="A14" s="3290" t="s">
        <v>1735</v>
      </c>
      <c r="B14" s="3290">
        <v>30</v>
      </c>
      <c r="C14" s="3299"/>
      <c r="D14" s="3312"/>
      <c r="E14" s="12" t="s">
        <v>1736</v>
      </c>
      <c r="F14" s="2089"/>
      <c r="G14" s="2089"/>
      <c r="H14" s="2089"/>
      <c r="I14" s="2084"/>
      <c r="J14" s="2848"/>
    </row>
    <row r="15" spans="1:15" ht="13">
      <c r="A15" s="3290"/>
      <c r="B15" s="3290"/>
      <c r="C15" s="3315"/>
      <c r="D15" s="3312"/>
      <c r="E15" s="12" t="s">
        <v>1737</v>
      </c>
      <c r="F15" s="2089"/>
      <c r="G15" s="2089"/>
      <c r="H15" s="2089"/>
      <c r="I15" s="2084"/>
      <c r="J15" s="2848"/>
    </row>
    <row r="16" spans="1:15" ht="13">
      <c r="A16" s="3290"/>
      <c r="B16" s="3290"/>
      <c r="C16" s="3300"/>
      <c r="D16" s="3312"/>
      <c r="E16" s="12" t="s">
        <v>1738</v>
      </c>
      <c r="F16" s="2089"/>
      <c r="G16" s="2089"/>
      <c r="H16" s="2089"/>
      <c r="I16" s="2084"/>
      <c r="J16" s="2848"/>
    </row>
    <row r="17" spans="1:36" ht="14">
      <c r="A17" s="2717" t="s">
        <v>1739</v>
      </c>
      <c r="B17" s="2094"/>
      <c r="C17" s="2718">
        <f>SUM(C5:C16)</f>
        <v>6</v>
      </c>
      <c r="D17" s="2718">
        <f>SUM(D5:D16)</f>
        <v>4</v>
      </c>
      <c r="E17" s="2565"/>
      <c r="F17" s="2565"/>
      <c r="G17" s="2565"/>
      <c r="H17" s="2565"/>
      <c r="I17" s="2565"/>
      <c r="J17" s="2849"/>
    </row>
    <row r="18" spans="1:36" ht="30" customHeight="1" thickBot="1">
      <c r="A18" s="2719" t="s">
        <v>1740</v>
      </c>
      <c r="B18" s="2720"/>
      <c r="C18" s="2721">
        <f>ROUND(C17/SUM(C17:D17),2)</f>
        <v>0.6</v>
      </c>
      <c r="D18" s="2721">
        <f>1-C18</f>
        <v>0.4</v>
      </c>
      <c r="E18" s="3308" t="s">
        <v>2825</v>
      </c>
      <c r="F18" s="3309"/>
      <c r="G18" s="3309"/>
      <c r="H18" s="3309"/>
      <c r="I18" s="3309"/>
      <c r="J18" s="2849"/>
    </row>
    <row r="19" spans="1:36" ht="14">
      <c r="A19" s="2722" t="s">
        <v>1741</v>
      </c>
      <c r="B19" s="2723" t="s">
        <v>1742</v>
      </c>
      <c r="C19" s="2724">
        <f ca="1">SUMIF(INDIRECT("'"&amp;C4&amp;"'"&amp;"!A:A"),结果表!B19,INDIRECT("'"&amp;C4&amp;"'"&amp;"!B:B"))</f>
        <v>2125017</v>
      </c>
      <c r="D19" s="2725">
        <f ca="1">SUMIF(INDIRECT("'"&amp;D4&amp;"'"&amp;"!A:A"),结果表!B19,INDIRECT("'"&amp;D4&amp;"'"&amp;"!B:B"))</f>
        <v>1692218</v>
      </c>
      <c r="E19" s="2722" t="s">
        <v>1743</v>
      </c>
      <c r="F19" s="2723" t="s">
        <v>1742</v>
      </c>
      <c r="G19" s="2726">
        <f ca="1">ROUND(C19*$C$18+D19*$D$18,0)</f>
        <v>1951897</v>
      </c>
      <c r="H19" s="2727" t="str">
        <f>'数据-取费表'!B3</f>
        <v>元</v>
      </c>
      <c r="I19" s="2775"/>
      <c r="J19" s="2850"/>
    </row>
    <row r="20" spans="1:36" ht="14">
      <c r="A20" s="2728"/>
      <c r="B20" s="1694" t="s">
        <v>1744</v>
      </c>
      <c r="C20" s="1919">
        <f ca="1">SUMIF(INDIRECT("'"&amp;C4&amp;"'"&amp;"!A:A"),结果表!B20,INDIRECT("'"&amp;C4&amp;"'"&amp;"!B:B"))</f>
        <v>38700</v>
      </c>
      <c r="D20" s="1922">
        <f ca="1">SUMIF(INDIRECT("'"&amp;D4&amp;"'"&amp;"!A:A"),结果表!B20,INDIRECT("'"&amp;D4&amp;"'"&amp;"!B:B"))</f>
        <v>30818</v>
      </c>
      <c r="E20" s="2728"/>
      <c r="F20" s="1694" t="s">
        <v>1744</v>
      </c>
      <c r="G20" s="2093">
        <f ca="1">ROUND(C20*$C$18+D20*$D$18,0)</f>
        <v>35547</v>
      </c>
      <c r="H20" s="2729" t="s">
        <v>1745</v>
      </c>
      <c r="I20" s="2565"/>
      <c r="J20" s="2849"/>
    </row>
    <row r="21" spans="1:36" ht="15" customHeight="1" thickBot="1">
      <c r="A21" s="2730"/>
      <c r="B21" s="2731"/>
      <c r="C21" s="2731"/>
      <c r="D21" s="2732"/>
      <c r="E21" s="2730"/>
      <c r="F21" s="2731"/>
      <c r="G21" s="2733"/>
      <c r="H21" s="2734"/>
      <c r="I21" s="2565"/>
      <c r="J21" s="2849"/>
    </row>
    <row r="22" spans="1:36" ht="14.5" thickBot="1">
      <c r="A22" s="2735" t="s">
        <v>1746</v>
      </c>
      <c r="B22" s="2736"/>
      <c r="C22" s="2649"/>
      <c r="D22" s="2737">
        <f ca="1">IF(C19&lt;D19,D19/C19-1,C19/D19-1)</f>
        <v>0.25575841883256167</v>
      </c>
      <c r="E22" s="947"/>
      <c r="F22" s="947"/>
      <c r="G22" s="947"/>
      <c r="H22" s="947"/>
      <c r="I22" s="947"/>
      <c r="J22" s="2849"/>
    </row>
    <row r="23" spans="1:36" ht="13" thickBot="1">
      <c r="A23" s="2565"/>
      <c r="B23" s="2565"/>
      <c r="C23" s="2565"/>
      <c r="D23" s="2565"/>
      <c r="E23" s="947"/>
      <c r="F23" s="947"/>
      <c r="G23" s="3152">
        <f ca="1">G20*项目基本情况!C12</f>
        <v>1951885.7699999998</v>
      </c>
      <c r="H23" s="947"/>
      <c r="I23" s="947"/>
      <c r="J23" s="2849"/>
    </row>
    <row r="24" spans="1:36" ht="21.75" customHeight="1">
      <c r="A24" s="3301" t="s">
        <v>1747</v>
      </c>
      <c r="B24" s="2723" t="s">
        <v>1742</v>
      </c>
      <c r="C24" s="2726">
        <f>D30</f>
        <v>0</v>
      </c>
      <c r="D24" s="2678"/>
      <c r="E24" s="947"/>
      <c r="F24" s="947"/>
      <c r="G24" s="3152"/>
      <c r="H24" s="947"/>
      <c r="I24" s="947"/>
      <c r="J24" s="2849"/>
    </row>
    <row r="25" spans="1:36" ht="21.75" customHeight="1">
      <c r="A25" s="3318"/>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
      <c r="A27" s="2743"/>
      <c r="B27" s="2741">
        <v>0</v>
      </c>
      <c r="C27" s="2741">
        <v>0</v>
      </c>
      <c r="D27" s="2742">
        <f>ROUND(C27*B27/10000,0)</f>
        <v>0</v>
      </c>
      <c r="E27" s="947"/>
      <c r="F27" s="947"/>
      <c r="G27" s="947"/>
      <c r="H27" s="947"/>
      <c r="I27" s="947"/>
      <c r="J27" s="2849"/>
    </row>
    <row r="28" spans="1:36" ht="14">
      <c r="A28" s="2740"/>
      <c r="B28" s="2741"/>
      <c r="C28" s="2741"/>
      <c r="D28" s="2742">
        <f t="shared" ref="D28:D29" si="0">ROUND(C28*B28/10000,0)</f>
        <v>0</v>
      </c>
      <c r="E28" s="947"/>
      <c r="F28" s="947"/>
      <c r="G28" s="947"/>
      <c r="H28" s="947"/>
      <c r="I28" s="947"/>
      <c r="J28" s="2849"/>
    </row>
    <row r="29" spans="1:36" ht="14">
      <c r="A29" s="2740"/>
      <c r="B29" s="2741"/>
      <c r="C29" s="2741"/>
      <c r="D29" s="2742">
        <f t="shared" si="0"/>
        <v>0</v>
      </c>
      <c r="E29" s="947"/>
      <c r="F29" s="947"/>
      <c r="G29" s="947"/>
      <c r="H29" s="947"/>
      <c r="I29" s="947"/>
      <c r="J29" s="2849"/>
    </row>
    <row r="30" spans="1:36" ht="14.5" thickBot="1">
      <c r="A30" s="2777" t="s">
        <v>1752</v>
      </c>
      <c r="B30" s="2777"/>
      <c r="C30" s="2777"/>
      <c r="D30" s="2777"/>
      <c r="E30" s="2744" t="s">
        <v>2829</v>
      </c>
      <c r="F30" s="2565"/>
      <c r="G30" s="2565"/>
      <c r="H30" s="2565"/>
      <c r="I30" s="2565"/>
      <c r="J30" s="2849"/>
    </row>
    <row r="31" spans="1:36" s="2842" customFormat="1" ht="26.5"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 thickTop="1" thickBot="1">
      <c r="A32" s="2830" t="s">
        <v>1753</v>
      </c>
      <c r="B32" s="2831" t="str">
        <f>'数据-取费表'!B4</f>
        <v>楼面单价</v>
      </c>
      <c r="C32" s="2832">
        <f ca="1">IF(B32="总价",G19-C24,G20-C25)</f>
        <v>35547</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
      <c r="A33" s="2745" t="s">
        <v>1754</v>
      </c>
      <c r="B33" s="255"/>
      <c r="C33" s="2746"/>
      <c r="D33" s="2747"/>
      <c r="E33" s="2748" t="s">
        <v>1755</v>
      </c>
      <c r="F33" s="2749" t="str">
        <f>IF(B32="楼面单价","取值（单价）","取值（总价）")</f>
        <v>取值（单价）</v>
      </c>
      <c r="G33" s="947"/>
      <c r="H33" s="947"/>
      <c r="I33" s="947"/>
      <c r="J33" s="2849"/>
    </row>
    <row r="34" spans="1:17" ht="14">
      <c r="A34" s="1466"/>
      <c r="B34" s="2750" t="s">
        <v>1756</v>
      </c>
      <c r="C34" s="2751">
        <f ca="1">IF(D33="自定义",F34,C32-C35)</f>
        <v>57195</v>
      </c>
      <c r="D34" s="2752">
        <f ca="1">IF(D33="自定义",ROUND(C34/C32,3),1-D35)</f>
        <v>1.609</v>
      </c>
      <c r="E34" s="1435" t="s">
        <v>1757</v>
      </c>
      <c r="F34" s="2753">
        <v>2000</v>
      </c>
      <c r="G34" s="947"/>
      <c r="H34" s="947"/>
      <c r="I34" s="947"/>
      <c r="J34" s="2849"/>
    </row>
    <row r="35" spans="1:17" ht="14.5" thickBot="1">
      <c r="A35" s="1467"/>
      <c r="B35" s="2754" t="s">
        <v>1758</v>
      </c>
      <c r="C35" s="2755">
        <f ca="1">IF(D33="自定义",F35,ROUND(C32*D35,0))</f>
        <v>-21648</v>
      </c>
      <c r="D35" s="2756">
        <f ca="1">IF(D33="自定义",ROUND(C35/C32,3),IF(D33="成本法成本比率",成本法!C56,IF(D33="收益法收益比率",收益法!J38,收益法!J41)))</f>
        <v>-0.60899999999999999</v>
      </c>
      <c r="E35" s="2757" t="s">
        <v>1759</v>
      </c>
      <c r="F35" s="2758">
        <v>4460</v>
      </c>
      <c r="G35" s="947"/>
      <c r="H35" s="947"/>
      <c r="I35" s="947"/>
      <c r="J35" s="2849"/>
    </row>
    <row r="36" spans="1:17" ht="14.5" thickBot="1">
      <c r="A36" s="3301" t="s">
        <v>1760</v>
      </c>
      <c r="B36" s="1468" t="s">
        <v>1761</v>
      </c>
      <c r="C36" s="2759">
        <v>0</v>
      </c>
      <c r="D36" s="2760"/>
      <c r="E36" s="1680"/>
      <c r="F36" s="1680"/>
      <c r="G36" s="947"/>
      <c r="H36" s="947"/>
      <c r="I36" s="947"/>
      <c r="J36" s="2849"/>
    </row>
    <row r="37" spans="1:17" ht="14.5" thickBot="1">
      <c r="A37" s="3302"/>
      <c r="B37" s="2094" t="s">
        <v>1762</v>
      </c>
      <c r="C37" s="2761">
        <v>0</v>
      </c>
      <c r="D37" s="1311"/>
      <c r="E37" s="1311"/>
      <c r="F37" s="1680"/>
      <c r="G37" s="1311"/>
      <c r="H37" s="1311"/>
      <c r="I37" s="1311"/>
      <c r="J37" s="2853"/>
    </row>
    <row r="38" spans="1:17" ht="14.5" thickBot="1">
      <c r="A38" s="3303"/>
      <c r="B38" s="1469" t="s">
        <v>1763</v>
      </c>
      <c r="C38" s="2762">
        <v>0</v>
      </c>
      <c r="D38" s="2763" t="s">
        <v>1764</v>
      </c>
      <c r="E38" s="1311"/>
      <c r="F38" s="1680"/>
      <c r="G38" s="1311"/>
      <c r="H38" s="1311"/>
      <c r="I38" s="1311"/>
      <c r="J38" s="2853"/>
    </row>
    <row r="39" spans="1:17" ht="14">
      <c r="A39" s="2728" t="s">
        <v>1765</v>
      </c>
      <c r="B39" s="2764" t="s">
        <v>1749</v>
      </c>
      <c r="C39" s="2765" t="s">
        <v>1750</v>
      </c>
      <c r="D39" s="2765" t="s">
        <v>1766</v>
      </c>
      <c r="E39" s="2766" t="s">
        <v>1751</v>
      </c>
      <c r="F39" s="1680"/>
      <c r="G39" s="1311"/>
      <c r="H39" s="1311"/>
      <c r="I39" s="1311"/>
      <c r="J39" s="2853"/>
    </row>
    <row r="40" spans="1:17" ht="14">
      <c r="A40" s="2767" t="s">
        <v>1767</v>
      </c>
      <c r="B40" s="2768"/>
      <c r="C40" s="2769"/>
      <c r="D40" s="2769"/>
      <c r="E40" s="2770"/>
      <c r="F40" s="1680"/>
      <c r="G40" s="1311"/>
      <c r="H40" s="1311"/>
      <c r="I40" s="1311"/>
      <c r="J40" s="2853"/>
    </row>
    <row r="41" spans="1:17" ht="14">
      <c r="A41" s="2767" t="s">
        <v>1768</v>
      </c>
      <c r="B41" s="2768"/>
      <c r="C41" s="2769"/>
      <c r="D41" s="2769"/>
      <c r="E41" s="2770"/>
      <c r="F41" s="1680"/>
      <c r="G41" s="1311"/>
      <c r="H41" s="1311"/>
      <c r="I41" s="1311"/>
      <c r="J41" s="2853"/>
    </row>
    <row r="42" spans="1:17" ht="14.5" thickBot="1">
      <c r="A42" s="2771"/>
      <c r="B42" s="2772"/>
      <c r="C42" s="2773"/>
      <c r="D42" s="2773"/>
      <c r="E42" s="2758"/>
      <c r="F42" s="1680"/>
      <c r="G42" s="1311"/>
      <c r="H42" s="1311"/>
      <c r="I42" s="1311"/>
      <c r="J42" s="2853"/>
    </row>
    <row r="43" spans="1:17" ht="12.5">
      <c r="A43" s="2979"/>
      <c r="B43" s="2979"/>
      <c r="C43" s="2979"/>
      <c r="D43" s="2979"/>
      <c r="E43" s="2979"/>
      <c r="F43" s="2978"/>
      <c r="G43" s="2978"/>
      <c r="H43" s="2978"/>
      <c r="I43" s="2665"/>
      <c r="J43" s="2854"/>
    </row>
    <row r="44" spans="1:17" ht="18">
      <c r="A44" s="1471" t="s">
        <v>1769</v>
      </c>
      <c r="B44" s="1472"/>
      <c r="C44" s="1472"/>
      <c r="D44" s="1473"/>
      <c r="E44" s="1473"/>
      <c r="F44" s="1474"/>
      <c r="G44" s="1474"/>
      <c r="H44" s="1474"/>
      <c r="I44" s="2843" t="s">
        <v>2824</v>
      </c>
      <c r="J44" s="2855"/>
      <c r="K44" s="1475" t="s">
        <v>1770</v>
      </c>
      <c r="L44" s="1476"/>
      <c r="M44" s="1476"/>
      <c r="N44" s="1476"/>
      <c r="O44" s="1476"/>
      <c r="P44" s="1476"/>
      <c r="Q44" s="1308"/>
    </row>
    <row r="45" spans="1:17" ht="14.25" customHeight="1" thickBot="1">
      <c r="A45" s="3305" t="s">
        <v>1771</v>
      </c>
      <c r="B45" s="3306"/>
      <c r="C45" s="3265"/>
      <c r="D45" s="246">
        <f ca="1">ROUND(I102*F45,0)</f>
        <v>1951886</v>
      </c>
      <c r="E45" s="1542" t="s">
        <v>1772</v>
      </c>
      <c r="F45" s="2563">
        <v>1</v>
      </c>
      <c r="G45" s="2564" t="s">
        <v>1773</v>
      </c>
      <c r="H45" s="947"/>
      <c r="I45" s="947"/>
      <c r="J45" s="2849"/>
      <c r="K45" s="3359" t="s">
        <v>2754</v>
      </c>
      <c r="L45" s="3359"/>
      <c r="M45" s="3359"/>
      <c r="N45" s="3359"/>
      <c r="O45" s="3359"/>
      <c r="P45" s="3359"/>
      <c r="Q45" s="1308"/>
    </row>
    <row r="46" spans="1:17" ht="14.25" customHeight="1">
      <c r="A46" s="3294" t="s">
        <v>1775</v>
      </c>
      <c r="B46" s="3295"/>
      <c r="C46" s="3295"/>
      <c r="D46" s="3295"/>
      <c r="E46" s="3295"/>
      <c r="F46" s="3295"/>
      <c r="G46" s="3296"/>
      <c r="H46" s="2981"/>
      <c r="I46" s="947"/>
      <c r="J46" s="2849"/>
      <c r="K46" s="2538">
        <v>1</v>
      </c>
      <c r="L46" s="3360" t="s">
        <v>2755</v>
      </c>
      <c r="M46" s="3360"/>
      <c r="N46" s="3361" t="str">
        <f>项目基本情况!B1</f>
        <v>北京市房地产市场价值预评估</v>
      </c>
      <c r="O46" s="3361"/>
      <c r="P46" s="3361"/>
      <c r="Q46" s="1308"/>
    </row>
    <row r="47" spans="1:17" ht="12" customHeight="1">
      <c r="A47" s="38" t="s">
        <v>1777</v>
      </c>
      <c r="B47" s="39"/>
      <c r="C47" s="40"/>
      <c r="D47" s="1099" t="s">
        <v>1778</v>
      </c>
      <c r="E47" s="235" t="s">
        <v>1779</v>
      </c>
      <c r="F47" s="41" t="s">
        <v>1780</v>
      </c>
      <c r="G47" s="2566" t="s">
        <v>1781</v>
      </c>
      <c r="H47" s="2981"/>
      <c r="I47" s="947"/>
      <c r="J47" s="2849"/>
      <c r="K47" s="2538">
        <v>2</v>
      </c>
      <c r="L47" s="3360" t="s">
        <v>2756</v>
      </c>
      <c r="M47" s="3360"/>
      <c r="N47" s="3362">
        <f>'数据-取费表'!B2</f>
        <v>44062</v>
      </c>
      <c r="O47" s="3362"/>
      <c r="P47" s="3362"/>
      <c r="Q47" s="1308"/>
    </row>
    <row r="48" spans="1:17" ht="26">
      <c r="A48" s="3304" t="s">
        <v>1783</v>
      </c>
      <c r="B48" s="3258"/>
      <c r="C48" s="3258"/>
      <c r="D48" s="12">
        <f ca="1">IF(H48="情况1",0,IF(H48="情况2",D52,IF(H48="情况3",D53,IF(H48="情况4",D54))))</f>
        <v>102242</v>
      </c>
      <c r="E48" s="2092" t="str">
        <f>IF(H48="情况4","(销售额-原购置价)×税（费）率","销售额×税（费）率")</f>
        <v>销售额×税（费）率</v>
      </c>
      <c r="F48" s="2567">
        <f>IF(H48="情况1","免征",'数据-取费表'!E29)</f>
        <v>5.5000000000000007E-2</v>
      </c>
      <c r="G48" s="2568" t="s">
        <v>1784</v>
      </c>
      <c r="H48" s="2569" t="s">
        <v>1785</v>
      </c>
      <c r="I48" s="2981"/>
      <c r="J48" s="2856"/>
      <c r="K48" s="2538">
        <v>3</v>
      </c>
      <c r="L48" s="3360" t="s">
        <v>2757</v>
      </c>
      <c r="M48" s="3360"/>
      <c r="N48" s="3361">
        <f ca="1">I102</f>
        <v>1951886</v>
      </c>
      <c r="O48" s="3361"/>
      <c r="P48" s="3361"/>
      <c r="Q48" s="1308"/>
    </row>
    <row r="49" spans="1:17" ht="25.5" customHeight="1">
      <c r="A49" s="2091" t="s">
        <v>1787</v>
      </c>
      <c r="B49" s="3297" t="s">
        <v>1788</v>
      </c>
      <c r="C49" s="3297"/>
      <c r="D49" s="2570">
        <v>0</v>
      </c>
      <c r="E49" s="261" t="s">
        <v>1789</v>
      </c>
      <c r="F49" s="2571" t="s">
        <v>48</v>
      </c>
      <c r="G49" s="3354"/>
      <c r="H49" s="2572" t="s">
        <v>2831</v>
      </c>
      <c r="I49" s="2573"/>
      <c r="J49" s="2857"/>
      <c r="K49" s="2538">
        <v>4</v>
      </c>
      <c r="L49" s="3360" t="str">
        <f>IF(项目基本情况!F5="房地产抵押价值","房地产抵押价值","抵押担保权已注销时的房地产抵押价值")</f>
        <v>抵押担保权已注销时的房地产抵押价值</v>
      </c>
      <c r="M49" s="3360"/>
      <c r="N49" s="3361" t="str">
        <f>IF(项目基本情况!F5="房地产抵押价值",I110,I112)</f>
        <v>——</v>
      </c>
      <c r="O49" s="3361"/>
      <c r="P49" s="3361"/>
      <c r="Q49" s="1308"/>
    </row>
    <row r="50" spans="1:17" ht="25.5" customHeight="1">
      <c r="A50" s="2081"/>
      <c r="B50" s="3297" t="s">
        <v>1790</v>
      </c>
      <c r="C50" s="3297"/>
      <c r="D50" s="2574"/>
      <c r="E50" s="269"/>
      <c r="F50" s="2571"/>
      <c r="G50" s="3355"/>
      <c r="H50" s="2575" t="s">
        <v>2750</v>
      </c>
      <c r="I50" s="2573"/>
      <c r="J50" s="2857"/>
      <c r="K50" s="3360" t="s">
        <v>2758</v>
      </c>
      <c r="L50" s="3360"/>
      <c r="M50" s="3360"/>
      <c r="N50" s="3360"/>
      <c r="O50" s="3360"/>
      <c r="P50" s="3360"/>
      <c r="Q50" s="1308"/>
    </row>
    <row r="51" spans="1:17" ht="20.5" customHeight="1">
      <c r="A51" s="2576"/>
      <c r="B51" s="3297" t="s">
        <v>1792</v>
      </c>
      <c r="C51" s="3297"/>
      <c r="D51" s="1099"/>
      <c r="E51" s="264"/>
      <c r="F51" s="2571"/>
      <c r="G51" s="3356"/>
      <c r="H51" s="2575" t="s">
        <v>2751</v>
      </c>
      <c r="I51" s="2573"/>
      <c r="J51" s="2857"/>
      <c r="K51" s="2539" t="s">
        <v>2759</v>
      </c>
      <c r="L51" s="3360" t="s">
        <v>2760</v>
      </c>
      <c r="M51" s="3360"/>
      <c r="N51" s="2539" t="s">
        <v>2761</v>
      </c>
      <c r="O51" s="2539" t="s">
        <v>2762</v>
      </c>
      <c r="P51" s="2539" t="s">
        <v>2763</v>
      </c>
      <c r="Q51" s="1308"/>
    </row>
    <row r="52" spans="1:17" ht="24" customHeight="1">
      <c r="A52" s="2082" t="s">
        <v>1798</v>
      </c>
      <c r="B52" s="3297" t="s">
        <v>1799</v>
      </c>
      <c r="C52" s="3297"/>
      <c r="D52" s="1099">
        <f ca="1">ROUND(D45*'数据-取费表'!E29/(1+'数据-取费表'!F30),0)</f>
        <v>102242</v>
      </c>
      <c r="E52" s="2092" t="s">
        <v>1800</v>
      </c>
      <c r="F52" s="2577">
        <f>'数据-取费表'!E29</f>
        <v>5.5000000000000007E-2</v>
      </c>
      <c r="G52" s="2578"/>
      <c r="H52" s="947"/>
      <c r="I52" s="2982"/>
      <c r="J52" s="2857"/>
      <c r="K52" s="2538">
        <v>1</v>
      </c>
      <c r="L52" s="3327" t="s">
        <v>2764</v>
      </c>
      <c r="M52" s="3327"/>
      <c r="N52" s="2540">
        <f ca="1">D48</f>
        <v>102242</v>
      </c>
      <c r="O52" s="2538" t="str">
        <f>E48</f>
        <v>销售额×税（费）率</v>
      </c>
      <c r="P52" s="2541">
        <f>F48</f>
        <v>5.5000000000000007E-2</v>
      </c>
      <c r="Q52" s="1308"/>
    </row>
    <row r="53" spans="1:17" ht="12" customHeight="1">
      <c r="A53" s="2082" t="s">
        <v>1802</v>
      </c>
      <c r="B53" s="3259" t="s">
        <v>2843</v>
      </c>
      <c r="C53" s="3298"/>
      <c r="D53" s="1099">
        <f ca="1">ROUND(D45*'数据-取费表'!E29/(1+'数据-取费表'!F30),0)</f>
        <v>102242</v>
      </c>
      <c r="E53" s="2092" t="s">
        <v>1800</v>
      </c>
      <c r="F53" s="2577">
        <f>'数据-取费表'!E29</f>
        <v>5.5000000000000007E-2</v>
      </c>
      <c r="G53" s="2578"/>
      <c r="H53" s="947"/>
      <c r="I53" s="2982"/>
      <c r="J53" s="2857"/>
      <c r="K53" s="2538">
        <v>2</v>
      </c>
      <c r="L53" s="3327" t="s">
        <v>2765</v>
      </c>
      <c r="M53" s="3327"/>
      <c r="N53" s="2540">
        <f t="shared" ref="N53:P54" si="1">D55</f>
        <v>0</v>
      </c>
      <c r="O53" s="2538" t="str">
        <f t="shared" si="1"/>
        <v>销售额×税（费）率</v>
      </c>
      <c r="P53" s="2541" t="str">
        <f t="shared" si="1"/>
        <v>免征</v>
      </c>
      <c r="Q53" s="1308"/>
    </row>
    <row r="54" spans="1:17" ht="12" customHeight="1">
      <c r="A54" s="2082" t="s">
        <v>1804</v>
      </c>
      <c r="B54" s="3259" t="s">
        <v>2844</v>
      </c>
      <c r="C54" s="3298"/>
      <c r="D54" s="1099">
        <f ca="1">C68</f>
        <v>102242</v>
      </c>
      <c r="E54" s="264" t="s">
        <v>1805</v>
      </c>
      <c r="F54" s="2577">
        <f>'数据-取费表'!E29</f>
        <v>5.5000000000000007E-2</v>
      </c>
      <c r="G54" s="2578"/>
      <c r="H54" s="2983"/>
      <c r="I54" s="2982"/>
      <c r="J54" s="2857"/>
      <c r="K54" s="2538">
        <v>3</v>
      </c>
      <c r="L54" s="3327" t="s">
        <v>2766</v>
      </c>
      <c r="M54" s="3327"/>
      <c r="N54" s="2540">
        <f t="shared" si="1"/>
        <v>0</v>
      </c>
      <c r="O54" s="2538" t="str">
        <f t="shared" si="1"/>
        <v>增值额×税（费）率</v>
      </c>
      <c r="P54" s="2542" t="str">
        <f t="shared" si="1"/>
        <v>免征</v>
      </c>
      <c r="Q54" s="1308"/>
    </row>
    <row r="55" spans="1:17" ht="24" customHeight="1">
      <c r="A55" s="3257" t="s">
        <v>1807</v>
      </c>
      <c r="B55" s="3258"/>
      <c r="C55" s="3258"/>
      <c r="D55" s="12">
        <f>IF(H55="个人住宅",0,ROUND(D45*I55,0))</f>
        <v>0</v>
      </c>
      <c r="E55" s="2092" t="s">
        <v>1808</v>
      </c>
      <c r="F55" s="2577" t="str">
        <f>IF(H55="正常",I55,"免征")</f>
        <v>免征</v>
      </c>
      <c r="G55" s="2578"/>
      <c r="H55" s="2569" t="s">
        <v>2747</v>
      </c>
      <c r="I55" s="74">
        <f>'数据-取费表'!E37</f>
        <v>5.0000000000000001E-4</v>
      </c>
      <c r="J55" s="2857"/>
      <c r="K55" s="2538" t="str">
        <f>IF(H59="非个人房产","",4)</f>
        <v/>
      </c>
      <c r="L55" s="3327" t="str">
        <f>IF(H59="非个人房产","——","个人所得税")</f>
        <v>——</v>
      </c>
      <c r="M55" s="3327"/>
      <c r="N55" s="2543" t="str">
        <f>D59</f>
        <v>——</v>
      </c>
      <c r="O55" s="2544" t="str">
        <f>E59</f>
        <v>——</v>
      </c>
      <c r="P55" s="2545" t="str">
        <f>F59</f>
        <v>——</v>
      </c>
      <c r="Q55" s="1308"/>
    </row>
    <row r="56" spans="1:17" ht="26">
      <c r="A56" s="3257" t="s">
        <v>1810</v>
      </c>
      <c r="B56" s="3258"/>
      <c r="C56" s="3258"/>
      <c r="D56" s="12">
        <f>IF(H56="个人住宅",D57,D58)</f>
        <v>0</v>
      </c>
      <c r="E56" s="2092" t="s">
        <v>1811</v>
      </c>
      <c r="F56" s="2577" t="str">
        <f>IF(H56="正常",F58,"免征")</f>
        <v>免征</v>
      </c>
      <c r="G56" s="2579" t="s">
        <v>1812</v>
      </c>
      <c r="H56" s="2580" t="s">
        <v>2747</v>
      </c>
      <c r="I56" s="2984"/>
      <c r="J56" s="2857"/>
      <c r="K56" s="2538" t="str">
        <f>IF(项目基本情况!I6="上海银行",IF(K55="",4,K55+1),"")</f>
        <v/>
      </c>
      <c r="L56" s="3341" t="str">
        <f>IF(项目基本情况!I6="上海银行","其他处置费用","")</f>
        <v/>
      </c>
      <c r="M56" s="3342"/>
      <c r="N56" s="2540" t="str">
        <f>IF(项目基本情况!I6="上海银行",N69,"")</f>
        <v/>
      </c>
      <c r="O56" s="3341" t="str">
        <f>IF(项目基本情况!I6="上海银行","包含处置中涉及的律师、诉讼、拍卖、评估等费用","")</f>
        <v/>
      </c>
      <c r="P56" s="3353"/>
      <c r="Q56" s="1308"/>
    </row>
    <row r="57" spans="1:17" ht="13">
      <c r="A57" s="2082" t="s">
        <v>1787</v>
      </c>
      <c r="B57" s="3259" t="s">
        <v>1813</v>
      </c>
      <c r="C57" s="3298"/>
      <c r="D57" s="2570">
        <v>0</v>
      </c>
      <c r="E57" s="261" t="s">
        <v>1789</v>
      </c>
      <c r="F57" s="235"/>
      <c r="G57" s="2578"/>
      <c r="H57" s="2984"/>
      <c r="I57" s="2984"/>
      <c r="J57" s="2857"/>
      <c r="K57" s="3327">
        <f>IF(AND(K55="",K56=""),4,IF(项目基本情况!I6="上海银行",K56+1,K55+1))</f>
        <v>4</v>
      </c>
      <c r="L57" s="3327" t="s">
        <v>2767</v>
      </c>
      <c r="M57" s="2546" t="s">
        <v>2768</v>
      </c>
      <c r="N57" s="2547"/>
      <c r="O57" s="2548">
        <f ca="1">SUMIF(N52:N56,"&lt;9e307")</f>
        <v>102242</v>
      </c>
      <c r="P57" s="2549"/>
      <c r="Q57" s="1306" t="e">
        <f ca="1">O57/N49</f>
        <v>#VALUE!</v>
      </c>
    </row>
    <row r="58" spans="1:17" ht="26">
      <c r="A58" s="2082" t="s">
        <v>1798</v>
      </c>
      <c r="B58" s="3259" t="s">
        <v>1816</v>
      </c>
      <c r="C58" s="3297"/>
      <c r="D58" s="12">
        <f ca="1">IF(H58="转让取得",C81,C97)</f>
        <v>1106533</v>
      </c>
      <c r="E58" s="2092" t="s">
        <v>1811</v>
      </c>
      <c r="F58" s="235" t="s">
        <v>48</v>
      </c>
      <c r="G58" s="2578"/>
      <c r="H58" s="2580" t="s">
        <v>1817</v>
      </c>
      <c r="I58" s="2984"/>
      <c r="J58" s="2857"/>
      <c r="K58" s="3327"/>
      <c r="L58" s="3327"/>
      <c r="M58" s="2546" t="s">
        <v>2769</v>
      </c>
      <c r="N58" s="2550"/>
      <c r="O58" s="2551" t="str">
        <f ca="1">IF(H19="元",NUMBERSTRING(INT(O57),2)&amp;"元整",NUMBERSTRING(INT(O57*10000),2)&amp;"元整")</f>
        <v>壹拾万贰仟贰佰肆拾贰元整</v>
      </c>
      <c r="P58" s="2552"/>
      <c r="Q58" s="1308"/>
    </row>
    <row r="59" spans="1:17" ht="26.5" thickBot="1">
      <c r="A59" s="3281" t="s">
        <v>1819</v>
      </c>
      <c r="B59" s="3282"/>
      <c r="C59" s="3282"/>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2822</v>
      </c>
      <c r="H59" s="2096" t="s">
        <v>2832</v>
      </c>
      <c r="I59" s="2886" t="s">
        <v>2833</v>
      </c>
      <c r="J59" s="2857"/>
      <c r="K59" s="3325">
        <f>K57+1</f>
        <v>5</v>
      </c>
      <c r="L59" s="3327" t="s">
        <v>2770</v>
      </c>
      <c r="M59" s="2538" t="s">
        <v>2768</v>
      </c>
      <c r="N59" s="2553"/>
      <c r="O59" s="2554" t="e">
        <f ca="1">N49-O57</f>
        <v>#VALUE!</v>
      </c>
      <c r="P59" s="2555"/>
      <c r="Q59" s="1308"/>
    </row>
    <row r="60" spans="1:17" ht="12" customHeight="1">
      <c r="A60" s="1457"/>
      <c r="B60" s="1461"/>
      <c r="C60" s="1461"/>
      <c r="D60" s="1461"/>
      <c r="E60" s="812"/>
      <c r="F60" s="2985"/>
      <c r="G60" s="2985"/>
      <c r="H60" s="2986"/>
      <c r="I60" s="31"/>
      <c r="K60" s="3326"/>
      <c r="L60" s="3327"/>
      <c r="M60" s="2546" t="s">
        <v>2769</v>
      </c>
      <c r="N60" s="2550"/>
      <c r="O60" s="2551" t="e">
        <f ca="1">IF(H19="元",NUMBERSTRING(INT(O59),2)&amp;"元整",NUMBERSTRING(INT(O59*10000),2)&amp;"元整")</f>
        <v>#VALUE!</v>
      </c>
      <c r="P60" s="2552"/>
      <c r="Q60" s="1308"/>
    </row>
    <row r="61" spans="1:17" ht="13.5" thickBot="1">
      <c r="A61" s="3307" t="s">
        <v>1821</v>
      </c>
      <c r="B61" s="3307"/>
      <c r="C61" s="3307"/>
      <c r="D61" s="3307"/>
      <c r="E61" s="3307"/>
      <c r="F61" s="2985"/>
      <c r="G61" s="2985"/>
      <c r="H61" s="2987"/>
      <c r="I61" s="31"/>
      <c r="K61" s="2538">
        <f>K59+1</f>
        <v>6</v>
      </c>
      <c r="L61" s="3327" t="s">
        <v>2771</v>
      </c>
      <c r="M61" s="3327"/>
      <c r="N61" s="2556"/>
      <c r="O61" s="2557" t="e">
        <f ca="1">IF(H19="元",ROUND(O59/项目基本情况!C12,0),ROUND(O59*10000/项目基本情况!C12,0))</f>
        <v>#VALUE!</v>
      </c>
      <c r="P61" s="2558"/>
      <c r="Q61" s="1308"/>
    </row>
    <row r="62" spans="1:17" ht="13">
      <c r="A62" s="3316" t="s">
        <v>1823</v>
      </c>
      <c r="B62" s="3317"/>
      <c r="C62" s="1607"/>
      <c r="D62" s="1607" t="s">
        <v>1824</v>
      </c>
      <c r="E62" s="45" t="s">
        <v>1825</v>
      </c>
      <c r="F62" s="2985"/>
      <c r="G62" s="2985"/>
      <c r="H62" s="2987"/>
      <c r="I62" s="31"/>
      <c r="K62" s="2559"/>
      <c r="L62" s="2559"/>
      <c r="M62" s="2559"/>
      <c r="N62" s="2559"/>
      <c r="O62" s="2559"/>
      <c r="P62" s="2559"/>
      <c r="Q62" s="1308"/>
    </row>
    <row r="63" spans="1:17" ht="13">
      <c r="A63" s="46">
        <v>1</v>
      </c>
      <c r="B63" s="47" t="s">
        <v>1826</v>
      </c>
      <c r="C63" s="2788">
        <f ca="1">ROUND((C64+C65)/(1+'数据-取费表'!F30),0)</f>
        <v>1858939</v>
      </c>
      <c r="D63" s="47"/>
      <c r="E63" s="48"/>
      <c r="F63" s="2985"/>
      <c r="G63" s="2985"/>
      <c r="H63" s="2987"/>
      <c r="I63" s="31"/>
      <c r="K63" s="3343" t="s">
        <v>2772</v>
      </c>
      <c r="L63" s="2560" t="s">
        <v>2773</v>
      </c>
      <c r="M63" s="2560" t="e">
        <f>IF(N49&gt;10000,N49*0.5%,IF(AND(N49&gt;1000,N49&lt;=10000),N49*1%,IF(AND(N49&gt;100,N49&lt;=1000),N49*3%,IF(AND(N49&gt;10,N49&lt;=100),N49*5%,N49*8%))))</f>
        <v>#VALUE!</v>
      </c>
      <c r="N63" s="2561" t="e">
        <f>ROUND(M63,1)</f>
        <v>#VALUE!</v>
      </c>
      <c r="O63" s="2559"/>
      <c r="P63" s="2559"/>
      <c r="Q63" s="1308"/>
    </row>
    <row r="64" spans="1:17" ht="13">
      <c r="A64" s="49" t="s">
        <v>71</v>
      </c>
      <c r="B64" s="50" t="s">
        <v>1829</v>
      </c>
      <c r="C64" s="2789">
        <f ca="1">D45</f>
        <v>1951886</v>
      </c>
      <c r="D64" s="50" t="s">
        <v>41</v>
      </c>
      <c r="E64" s="52"/>
      <c r="F64" s="2985"/>
      <c r="G64" s="2985"/>
      <c r="H64" s="2987"/>
      <c r="I64" s="31"/>
      <c r="K64" s="3343"/>
      <c r="L64" s="2560" t="s">
        <v>2774</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2775</v>
      </c>
      <c r="P64" s="2559"/>
      <c r="Q64" s="1308"/>
    </row>
    <row r="65" spans="1:36" ht="13">
      <c r="A65" s="49" t="s">
        <v>72</v>
      </c>
      <c r="B65" s="50" t="s">
        <v>1832</v>
      </c>
      <c r="C65" s="2790"/>
      <c r="D65" s="50"/>
      <c r="E65" s="52"/>
      <c r="F65" s="2985"/>
      <c r="G65" s="2985"/>
      <c r="H65" s="2987"/>
      <c r="I65" s="31"/>
      <c r="K65" s="3343"/>
      <c r="L65" s="2560" t="s">
        <v>2776</v>
      </c>
      <c r="M65" s="2560" t="e">
        <f>IF(N49&gt;1000,N49*0.1%,IF(AND(N49&gt;500,N49&lt;=1000),N49*0.5%,IF(AND(N49&gt;50,N49&lt;=500),N49*1%,IF(AND(N49&gt;1,N49&lt;=50),N49*1.5%))))</f>
        <v>#VALUE!</v>
      </c>
      <c r="N65" s="2561" t="e">
        <f t="shared" si="2"/>
        <v>#VALUE!</v>
      </c>
      <c r="O65" s="2559" t="s">
        <v>2775</v>
      </c>
      <c r="P65" s="2559"/>
      <c r="Q65" s="1308"/>
    </row>
    <row r="66" spans="1:36" ht="13.5">
      <c r="A66" s="53" t="s">
        <v>47</v>
      </c>
      <c r="B66" s="54" t="s">
        <v>1834</v>
      </c>
      <c r="C66" s="2791"/>
      <c r="D66" s="54" t="s">
        <v>41</v>
      </c>
      <c r="E66" s="1316" t="s">
        <v>1835</v>
      </c>
      <c r="F66" s="2985"/>
      <c r="G66" s="2985"/>
      <c r="H66" s="2987"/>
      <c r="I66" s="31"/>
      <c r="K66" s="3343"/>
      <c r="L66" s="2560" t="s">
        <v>2777</v>
      </c>
      <c r="M66" s="2560" t="e">
        <f>N49*0.5%</f>
        <v>#VALUE!</v>
      </c>
      <c r="N66" s="2561" t="e">
        <f>IF(M66&gt;0.5,0.5,ROUND(M66,0))</f>
        <v>#VALUE!</v>
      </c>
      <c r="O66" s="2559" t="s">
        <v>2778</v>
      </c>
      <c r="P66" s="2559"/>
      <c r="Q66" s="1308"/>
    </row>
    <row r="67" spans="1:36" ht="13">
      <c r="A67" s="53" t="s">
        <v>42</v>
      </c>
      <c r="B67" s="54" t="s">
        <v>1838</v>
      </c>
      <c r="C67" s="2792">
        <f ca="1">C63-C66</f>
        <v>1858939</v>
      </c>
      <c r="D67" s="50" t="s">
        <v>41</v>
      </c>
      <c r="E67" s="52"/>
      <c r="F67" s="2985"/>
      <c r="G67" s="2985"/>
      <c r="H67" s="2987"/>
      <c r="I67" s="31"/>
      <c r="K67" s="3343"/>
      <c r="L67" s="2560" t="s">
        <v>2779</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102242</v>
      </c>
      <c r="D68" s="2244">
        <f>'数据-取费表'!E29</f>
        <v>5.5000000000000007E-2</v>
      </c>
      <c r="E68" s="57"/>
      <c r="F68" s="2985"/>
      <c r="G68" s="2985"/>
      <c r="H68" s="2987"/>
      <c r="I68" s="31"/>
      <c r="K68" s="3343"/>
      <c r="L68" s="2560" t="s">
        <v>2780</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343"/>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5" thickBot="1">
      <c r="A70" s="3319" t="s">
        <v>1843</v>
      </c>
      <c r="B70" s="3320"/>
      <c r="C70" s="3320"/>
      <c r="D70" s="3320"/>
      <c r="E70" s="3320"/>
      <c r="F70" s="3320"/>
      <c r="G70" s="3320"/>
      <c r="H70" s="3320"/>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
      <c r="A71" s="3316" t="s">
        <v>1823</v>
      </c>
      <c r="B71" s="3317"/>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
      <c r="A72" s="61">
        <v>1</v>
      </c>
      <c r="B72" s="54" t="s">
        <v>1844</v>
      </c>
      <c r="C72" s="2792">
        <f ca="1">ROUND(D45/(1+'数据-取费表'!F30),0)</f>
        <v>1858939</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
      <c r="A73" s="63">
        <v>2</v>
      </c>
      <c r="B73" s="41" t="s">
        <v>1846</v>
      </c>
      <c r="C73" s="2792">
        <f ca="1">C74+C78</f>
        <v>9295</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6">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259" t="s">
        <v>1853</v>
      </c>
      <c r="F76" s="3297"/>
      <c r="G76" s="3297"/>
      <c r="H76" s="3311"/>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9295</v>
      </c>
      <c r="D78" s="2801">
        <f>'数据-取费表'!E31</f>
        <v>5.000000000000001E-3</v>
      </c>
      <c r="E78" s="3291" t="s">
        <v>1858</v>
      </c>
      <c r="F78" s="3292"/>
      <c r="G78" s="3292"/>
      <c r="H78" s="3293"/>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
      <c r="A79" s="53" t="s">
        <v>42</v>
      </c>
      <c r="B79" s="54" t="s">
        <v>1859</v>
      </c>
      <c r="C79" s="2792">
        <f ca="1">C72-C73</f>
        <v>1849644</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6">
      <c r="A80" s="53" t="s">
        <v>43</v>
      </c>
      <c r="B80" s="54" t="s">
        <v>1860</v>
      </c>
      <c r="C80" s="2802">
        <f ca="1">IF(C79&lt;=0,0,C79/C73)</f>
        <v>198.99343733189886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6.5" thickBot="1">
      <c r="A81" s="55" t="s">
        <v>44</v>
      </c>
      <c r="B81" s="56" t="s">
        <v>1861</v>
      </c>
      <c r="C81" s="2803">
        <f ca="1">ROUND(IF(C79&lt;=0,0,IF(C80&gt;=200%,C79*60%-C73*35%,IF(C80&gt;=100%,C79*50%-C73*15%,IF(C80&gt;=50%,C79*40%-C73*5%,IF(C80&lt;50%,C79*30%,0))))),0)</f>
        <v>1106533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5" thickBot="1">
      <c r="A83" s="3319" t="s">
        <v>1862</v>
      </c>
      <c r="B83" s="3320"/>
      <c r="C83" s="3320"/>
      <c r="D83" s="3320"/>
      <c r="E83" s="3320"/>
      <c r="F83" s="3320"/>
      <c r="G83" s="3320"/>
      <c r="H83" s="3320"/>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
      <c r="A84" s="3316" t="s">
        <v>1823</v>
      </c>
      <c r="B84" s="3317"/>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6">
      <c r="A85" s="61">
        <v>1</v>
      </c>
      <c r="B85" s="54" t="s">
        <v>1844</v>
      </c>
      <c r="C85" s="2792">
        <f ca="1">ROUND(D45/(1+'数据-取费表'!F30),0)</f>
        <v>1858939</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
      <c r="A86" s="63">
        <v>2</v>
      </c>
      <c r="B86" s="41" t="s">
        <v>1846</v>
      </c>
      <c r="C86" s="2792">
        <f ca="1">IF(H88="仅含出让金",C87+C90+C91+C92+C93+C94,C87+C91+C92+C93+C94)</f>
        <v>9295</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
      <c r="A88" s="49" t="s">
        <v>74</v>
      </c>
      <c r="B88" s="50" t="s">
        <v>1864</v>
      </c>
      <c r="C88" s="2805"/>
      <c r="D88" s="2801"/>
      <c r="E88" s="74" t="s">
        <v>1865</v>
      </c>
      <c r="F88" s="2086"/>
      <c r="G88" s="75" t="s">
        <v>1866</v>
      </c>
      <c r="H88" s="1488"/>
      <c r="I88" s="9"/>
      <c r="J88" s="2860"/>
      <c r="K88" s="2976" t="s">
        <v>2826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352" t="s">
        <v>2742</v>
      </c>
      <c r="H90" s="3352"/>
      <c r="I90" s="9"/>
      <c r="J90" s="2860"/>
      <c r="K90" s="2976" t="s">
        <v>2827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91" t="s">
        <v>1870</v>
      </c>
      <c r="F91" s="3292"/>
      <c r="G91" s="3292"/>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91" t="s">
        <v>1873</v>
      </c>
      <c r="F92" s="3292"/>
      <c r="G92" s="3292"/>
      <c r="H92" s="3293"/>
      <c r="I92" s="9"/>
      <c r="J92" s="2860"/>
      <c r="K92" s="2977" t="s">
        <v>2828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9295</v>
      </c>
      <c r="D93" s="2801">
        <f>'数据-取费表'!E31</f>
        <v>5.000000000000001E-3</v>
      </c>
      <c r="E93" s="3291" t="s">
        <v>1858</v>
      </c>
      <c r="F93" s="3292"/>
      <c r="G93" s="3292"/>
      <c r="H93" s="3293"/>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91" t="s">
        <v>1875</v>
      </c>
      <c r="F94" s="3292"/>
      <c r="G94" s="3292"/>
      <c r="H94" s="3293"/>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
      <c r="A95" s="53" t="s">
        <v>42</v>
      </c>
      <c r="B95" s="54" t="s">
        <v>1859</v>
      </c>
      <c r="C95" s="2792">
        <f ca="1">ROUND(C85-C86,0)</f>
        <v>1849644</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6">
      <c r="A96" s="53" t="s">
        <v>43</v>
      </c>
      <c r="B96" s="54" t="s">
        <v>1860</v>
      </c>
      <c r="C96" s="2802">
        <f ca="1">IF(C95&lt;=0,0,C95/C86)</f>
        <v>198.99343733189886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6.5" thickBot="1">
      <c r="A97" s="55" t="s">
        <v>44</v>
      </c>
      <c r="B97" s="56" t="s">
        <v>1861</v>
      </c>
      <c r="C97" s="2803">
        <f ca="1">ROUND(IF(C95&lt;=0,0,IF(C96&gt;=200%,C95*60%-C86*35%,IF(C96&gt;=100%,C95*50%-C86*15%,IF(C96&gt;=50%,C95*40%-C86*5%,IF(C96&lt;50%,C95*30%,0))))),0)</f>
        <v>1106533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5">
      <c r="A99" s="3338" t="s">
        <v>1877</v>
      </c>
      <c r="B99" s="3339"/>
      <c r="C99" s="3339"/>
      <c r="D99" s="3340"/>
      <c r="E99" s="1461"/>
      <c r="F99" s="3347" t="s">
        <v>1878</v>
      </c>
      <c r="G99" s="3348"/>
      <c r="H99" s="3348"/>
      <c r="I99" s="3349"/>
      <c r="J99" s="2863"/>
    </row>
    <row r="100" spans="1:36" ht="15.5">
      <c r="A100" s="3350" t="s">
        <v>1879</v>
      </c>
      <c r="B100" s="3351"/>
      <c r="C100" s="1307" t="str">
        <f>C4</f>
        <v>比较法-住宅</v>
      </c>
      <c r="D100" s="2811" t="str">
        <f>D4</f>
        <v>成本法</v>
      </c>
      <c r="E100" s="1461"/>
      <c r="F100" s="3262" t="s">
        <v>2786</v>
      </c>
      <c r="G100" s="3263"/>
      <c r="H100" s="3262" t="s">
        <v>2787</v>
      </c>
      <c r="I100" s="3261"/>
      <c r="J100" s="2864"/>
    </row>
    <row r="101" spans="1:36" ht="13">
      <c r="A101" s="3330" t="s">
        <v>2819</v>
      </c>
      <c r="B101" s="2309" t="str">
        <f>IF(H19="元","总价（元）","总价（万元）")</f>
        <v>总价（元）</v>
      </c>
      <c r="C101" s="1307">
        <f ca="1">C19</f>
        <v>2125017</v>
      </c>
      <c r="D101" s="2811">
        <f ca="1">D19</f>
        <v>1692218</v>
      </c>
      <c r="E101" s="1461"/>
      <c r="F101" s="3262" t="str">
        <f>项目基本情况!I1</f>
        <v>北京市房地产</v>
      </c>
      <c r="G101" s="3263"/>
      <c r="H101" s="3260">
        <f>项目基本情况!C12</f>
        <v>54.91</v>
      </c>
      <c r="I101" s="3261"/>
      <c r="J101" s="2864"/>
    </row>
    <row r="102" spans="1:36" ht="13">
      <c r="A102" s="3330"/>
      <c r="B102" s="2309" t="s">
        <v>2820</v>
      </c>
      <c r="C102" s="2812">
        <f ca="1">C20</f>
        <v>38700</v>
      </c>
      <c r="D102" s="2813">
        <f ca="1">D20</f>
        <v>30818</v>
      </c>
      <c r="E102" s="1461"/>
      <c r="F102" s="3272" t="s">
        <v>2816</v>
      </c>
      <c r="G102" s="3273"/>
      <c r="H102" s="2821" t="str">
        <f>C106</f>
        <v>总价（元）</v>
      </c>
      <c r="I102" s="2822">
        <f ca="1">H121</f>
        <v>1951886</v>
      </c>
      <c r="J102" s="2864"/>
    </row>
    <row r="103" spans="1:36" ht="13">
      <c r="A103" s="3330" t="s">
        <v>2821</v>
      </c>
      <c r="B103" s="2247" t="str">
        <f>B101</f>
        <v>总价（元）</v>
      </c>
      <c r="C103" s="2816">
        <f ca="1">H121</f>
        <v>1951886</v>
      </c>
      <c r="D103" s="2814"/>
      <c r="E103" s="1461"/>
      <c r="F103" s="3272"/>
      <c r="G103" s="3273"/>
      <c r="H103" s="2821" t="s">
        <v>2789</v>
      </c>
      <c r="I103" s="52">
        <f ca="1">I121</f>
        <v>35547</v>
      </c>
      <c r="J103" s="2848"/>
    </row>
    <row r="104" spans="1:36" ht="13.5" thickBot="1">
      <c r="A104" s="3331"/>
      <c r="B104" s="2818" t="s">
        <v>2820</v>
      </c>
      <c r="C104" s="2819">
        <f ca="1">I121</f>
        <v>35547</v>
      </c>
      <c r="D104" s="2820"/>
      <c r="E104" s="1461"/>
      <c r="F104" s="3272"/>
      <c r="G104" s="3273"/>
      <c r="H104" s="3332"/>
      <c r="I104" s="3333"/>
      <c r="J104" s="2865"/>
    </row>
    <row r="105" spans="1:36" ht="14">
      <c r="A105" s="3338" t="s">
        <v>1880</v>
      </c>
      <c r="B105" s="3339"/>
      <c r="C105" s="3339"/>
      <c r="D105" s="3340"/>
      <c r="E105" s="1461"/>
      <c r="F105" s="3336" t="s">
        <v>2790</v>
      </c>
      <c r="G105" s="3337"/>
      <c r="H105" s="2823" t="str">
        <f>C108</f>
        <v>总额（元）</v>
      </c>
      <c r="I105" s="2822">
        <f>SUMIF(I106:I108,"&lt;9E307")</f>
        <v>0</v>
      </c>
      <c r="J105" s="2864"/>
    </row>
    <row r="106" spans="1:36" ht="14">
      <c r="A106" s="3272" t="s">
        <v>2813</v>
      </c>
      <c r="B106" s="3273"/>
      <c r="C106" s="2821" t="str">
        <f>B101</f>
        <v>总价（元）</v>
      </c>
      <c r="D106" s="2822">
        <f ca="1">H121</f>
        <v>1951886</v>
      </c>
      <c r="E106" s="1461"/>
      <c r="F106" s="3274" t="s">
        <v>2791</v>
      </c>
      <c r="G106" s="3275"/>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
      <c r="A107" s="3272"/>
      <c r="B107" s="3273"/>
      <c r="C107" s="2821" t="s">
        <v>2814</v>
      </c>
      <c r="D107" s="52">
        <f ca="1">I121</f>
        <v>35547</v>
      </c>
      <c r="E107" s="1461"/>
      <c r="F107" s="3274" t="s">
        <v>2792</v>
      </c>
      <c r="G107" s="3275"/>
      <c r="H107" s="2823" t="str">
        <f>C110</f>
        <v>总额（元）</v>
      </c>
      <c r="I107" s="52">
        <f>C37</f>
        <v>0</v>
      </c>
      <c r="J107" s="2848"/>
    </row>
    <row r="108" spans="1:36" ht="13">
      <c r="A108" s="3279" t="s">
        <v>2790</v>
      </c>
      <c r="B108" s="3280"/>
      <c r="C108" s="2823" t="str">
        <f>IF(H19="元","总额（元）","总额（万元）")</f>
        <v>总额（元）</v>
      </c>
      <c r="D108" s="2822">
        <f>IF(D36="正常操作",I106+I107+I108,I107+I108)</f>
        <v>0</v>
      </c>
      <c r="E108" s="1461"/>
      <c r="F108" s="3274" t="s">
        <v>2817</v>
      </c>
      <c r="G108" s="3275"/>
      <c r="H108" s="2823" t="str">
        <f>C111</f>
        <v>总额（元）</v>
      </c>
      <c r="I108" s="52">
        <f>C38</f>
        <v>0</v>
      </c>
      <c r="J108" s="2848"/>
    </row>
    <row r="109" spans="1:36" ht="13">
      <c r="A109" s="3274" t="s">
        <v>2791</v>
      </c>
      <c r="B109" s="3275"/>
      <c r="C109" s="2823" t="str">
        <f>C108</f>
        <v>总额（元）</v>
      </c>
      <c r="D109" s="52">
        <f>IF(D36="同一抵押权人同一抵押物续贷",C36&amp;"（未扣减，详见特别提示）",C36)</f>
        <v>0</v>
      </c>
      <c r="E109" s="1461"/>
      <c r="F109" s="3272"/>
      <c r="G109" s="3273"/>
      <c r="H109" s="3334"/>
      <c r="I109" s="3335"/>
      <c r="J109" s="2866"/>
    </row>
    <row r="110" spans="1:36" ht="28.5" customHeight="1">
      <c r="A110" s="3274" t="s">
        <v>2815</v>
      </c>
      <c r="B110" s="3275"/>
      <c r="C110" s="2823" t="str">
        <f>C108</f>
        <v>总额（元）</v>
      </c>
      <c r="D110" s="52">
        <f>C37</f>
        <v>0</v>
      </c>
      <c r="E110" s="1461"/>
      <c r="F110" s="3264" t="str">
        <f>IF(项目基本情况!F5="已注销","——","3.房地产抵押价值")</f>
        <v>3.房地产抵押价值</v>
      </c>
      <c r="G110" s="3265"/>
      <c r="H110" s="2809" t="str">
        <f>C112</f>
        <v>总价（元）</v>
      </c>
      <c r="I110" s="2822">
        <f ca="1">IF(F110="——","——",I102-I105)</f>
        <v>1951886</v>
      </c>
      <c r="J110" s="2864"/>
    </row>
    <row r="111" spans="1:36" ht="13">
      <c r="A111" s="3274" t="s">
        <v>2794</v>
      </c>
      <c r="B111" s="3275"/>
      <c r="C111" s="2823" t="str">
        <f>C108</f>
        <v>总额（元）</v>
      </c>
      <c r="D111" s="52">
        <f>C38</f>
        <v>0</v>
      </c>
      <c r="E111" s="1461"/>
      <c r="F111" s="3363"/>
      <c r="G111" s="3364"/>
      <c r="H111" s="2821" t="s">
        <v>2789</v>
      </c>
      <c r="I111" s="2825">
        <f ca="1">D113</f>
        <v>35547</v>
      </c>
      <c r="J111" s="2867"/>
    </row>
    <row r="112" spans="1:36" ht="26.25" customHeight="1">
      <c r="A112" s="3272" t="str">
        <f>IF(项目基本情况!F5="已注销","——","3.房地产抵押价值")</f>
        <v>3.房地产抵押价值</v>
      </c>
      <c r="B112" s="3273"/>
      <c r="C112" s="2821" t="str">
        <f>B101</f>
        <v>总价（元）</v>
      </c>
      <c r="D112" s="2822">
        <f ca="1">IF(A112="——","——",D106-D108)</f>
        <v>1951886</v>
      </c>
      <c r="E112" s="1461"/>
      <c r="F112" s="3264" t="str">
        <f>IF(项目基本情况!F5="已注销及未注销","4.抵押担保权已注销时的房地产抵押价值",IF(项目基本情况!F5="已注销","3.抵押担保权已注销时的房地产抵押价值","——"))</f>
        <v>——</v>
      </c>
      <c r="G112" s="3265"/>
      <c r="H112" s="2809" t="str">
        <f>C114</f>
        <v>总价（元）</v>
      </c>
      <c r="I112" s="2822" t="str">
        <f>IF(F112="——","——",I102-I107-I108)</f>
        <v>——</v>
      </c>
      <c r="J112" s="2864"/>
    </row>
    <row r="113" spans="1:16" ht="13">
      <c r="A113" s="3272"/>
      <c r="B113" s="3273"/>
      <c r="C113" s="2821" t="s">
        <v>2782</v>
      </c>
      <c r="D113" s="52">
        <f ca="1">ROUND(IF(D112=D106,D107,IF(H19="元",D112/项目基本情况!C12,D112*10000/项目基本情况!C12)),0)</f>
        <v>35547</v>
      </c>
      <c r="E113" s="1461"/>
      <c r="F113" s="3363"/>
      <c r="G113" s="3364"/>
      <c r="H113" s="2821" t="s">
        <v>2818</v>
      </c>
      <c r="I113" s="52" t="str">
        <f>D115</f>
        <v>——</v>
      </c>
      <c r="J113" s="2848"/>
    </row>
    <row r="114" spans="1:16" ht="13">
      <c r="A114" s="3272" t="str">
        <f>IF(项目基本情况!F5="已注销及未注销","4.抵押担保权已注销时的房地产抵押价值",IF(项目基本情况!F5="已注销","3.抵押担保权已注销时的房地产抵押价值","——"))</f>
        <v>——</v>
      </c>
      <c r="B114" s="3273"/>
      <c r="C114" s="2821" t="str">
        <f>B101</f>
        <v>总价（元）</v>
      </c>
      <c r="D114" s="2822" t="str">
        <f>IF(A114="——","——",D106-D110-D111)</f>
        <v>——</v>
      </c>
      <c r="E114" s="1461"/>
      <c r="F114" s="3264" t="str">
        <f>IF(项目基本情况!G5="抵押净值",IF(OR(项目基本情况!F5="已注销",项目基本情况!F5="房地产抵押价值"),"4.抵押净值","5.抵押净值"),"——")</f>
        <v>——</v>
      </c>
      <c r="G114" s="3265"/>
      <c r="H114" s="2821" t="str">
        <f>C116</f>
        <v>总价（元）</v>
      </c>
      <c r="I114" s="2822" t="str">
        <f>IF(F114="——","——",O59)</f>
        <v>——</v>
      </c>
      <c r="J114" s="2864"/>
    </row>
    <row r="115" spans="1:16" ht="13.5" thickBot="1">
      <c r="A115" s="3272"/>
      <c r="B115" s="3273"/>
      <c r="C115" s="2821" t="s">
        <v>2782</v>
      </c>
      <c r="D115" s="52" t="str">
        <f>IF(A114="——","——",ROUND(IF(D114=D106,D107,IF(H19="元",D114/项目基本情况!C12,D114*10000/项目基本情况!C12)),0))</f>
        <v>——</v>
      </c>
      <c r="E115" s="1461"/>
      <c r="F115" s="3266"/>
      <c r="G115" s="3267"/>
      <c r="H115" s="2826" t="s">
        <v>2782</v>
      </c>
      <c r="I115" s="2810" t="str">
        <f ca="1">D117</f>
        <v>——</v>
      </c>
      <c r="J115" s="2848"/>
    </row>
    <row r="116" spans="1:16" ht="15.5">
      <c r="A116" s="3272" t="str">
        <f>IF(项目基本情况!G5="抵押净值",IF(OR(项目基本情况!F5="已注销",项目基本情况!F5="房地产抵押价值"),"4.抵押净值","5.抵押净值"),"——")</f>
        <v>——</v>
      </c>
      <c r="B116" s="3273"/>
      <c r="C116" s="2821" t="str">
        <f>B101</f>
        <v>总价（元）</v>
      </c>
      <c r="D116" s="2822" t="str">
        <f>IF(A116="——","——",O59)</f>
        <v>——</v>
      </c>
      <c r="E116" s="1461"/>
      <c r="F116" s="3358"/>
      <c r="G116" s="3358"/>
      <c r="H116" s="3322"/>
      <c r="I116" s="3322"/>
      <c r="J116" s="2868"/>
      <c r="O116" s="32"/>
      <c r="P116" s="32"/>
    </row>
    <row r="117" spans="1:16" ht="13.5" thickBot="1">
      <c r="A117" s="3277"/>
      <c r="B117" s="3278"/>
      <c r="C117" s="2826" t="s">
        <v>2782</v>
      </c>
      <c r="D117" s="2810" t="str">
        <f ca="1">IF(D116=D112,D113,IF(A116="——","——",O61))</f>
        <v>——</v>
      </c>
      <c r="E117" s="1461"/>
      <c r="F117" s="3256" t="str">
        <f>IF(B32="总价","（以上估价结果中单价为总价除以建筑面积得出）","（以上估价结果中总价为楼面单价乘以建筑面积得出）")</f>
        <v>（以上估价结果中总价为楼面单价乘以建筑面积得出）</v>
      </c>
      <c r="G117" s="3256"/>
      <c r="H117" s="3256"/>
      <c r="I117" s="3256"/>
      <c r="J117" s="2869"/>
      <c r="O117" s="32"/>
      <c r="P117" s="32"/>
    </row>
    <row r="118" spans="1:16" ht="14">
      <c r="A118" s="3323" t="s">
        <v>1881</v>
      </c>
      <c r="B118" s="3324"/>
      <c r="C118" s="3324"/>
      <c r="D118" s="3324"/>
      <c r="E118" s="3324"/>
      <c r="F118" s="3324"/>
      <c r="G118" s="3324"/>
      <c r="H118" s="3324"/>
      <c r="I118" s="3324"/>
      <c r="J118" s="2870"/>
    </row>
    <row r="119" spans="1:16" ht="12.5">
      <c r="A119" s="3257" t="s">
        <v>2800</v>
      </c>
      <c r="B119" s="3283" t="s">
        <v>2810</v>
      </c>
      <c r="C119" s="3283" t="s">
        <v>2811</v>
      </c>
      <c r="D119" s="3345" t="s">
        <v>2802</v>
      </c>
      <c r="E119" s="3346"/>
      <c r="F119" s="3258" t="s">
        <v>2812</v>
      </c>
      <c r="G119" s="3258"/>
      <c r="H119" s="3258" t="s">
        <v>2803</v>
      </c>
      <c r="I119" s="3344"/>
      <c r="J119" s="2848"/>
    </row>
    <row r="120" spans="1:16" ht="13">
      <c r="A120" s="3257"/>
      <c r="B120" s="3284"/>
      <c r="C120" s="3284"/>
      <c r="D120" s="2092" t="s">
        <v>2804</v>
      </c>
      <c r="E120" s="2092" t="s">
        <v>2809</v>
      </c>
      <c r="F120" s="2092" t="s">
        <v>2804</v>
      </c>
      <c r="G120" s="2092" t="s">
        <v>2805</v>
      </c>
      <c r="H120" s="2092" t="s">
        <v>2804</v>
      </c>
      <c r="I120" s="52" t="s">
        <v>2805</v>
      </c>
      <c r="J120" s="2848"/>
    </row>
    <row r="121" spans="1:16" ht="12.5">
      <c r="A121" s="2082" t="str">
        <f>项目基本情况!I1</f>
        <v>北京市房地产</v>
      </c>
      <c r="B121" s="2092">
        <f>项目基本情况!C12</f>
        <v>54.91</v>
      </c>
      <c r="C121" s="2092">
        <f>项目基本情况!C13</f>
        <v>0</v>
      </c>
      <c r="D121" s="2092">
        <f ca="1">ROUND(IF(B32="总价",C34,IF('数据-取费表'!B3="万元",E121*B121/10000,E121*B121)),0)</f>
        <v>3140577</v>
      </c>
      <c r="E121" s="2092">
        <f ca="1">ROUND(IF(B32="楼面单价",C34,IF(H19="元",D121/B121,D121*10000/B121)),0)</f>
        <v>57195</v>
      </c>
      <c r="F121" s="2092">
        <f ca="1">ROUND(IF(B32="总价",C35,IF('数据-取费表'!B3="万元",G121*B121/10000,G121*B121)),0)</f>
        <v>-1188692</v>
      </c>
      <c r="G121" s="2092">
        <f ca="1">ROUND(IF(B32="楼面单价",C35,IF(H19="元",F121/B121,F121*10000/B121)),0)</f>
        <v>-21648</v>
      </c>
      <c r="H121" s="2092">
        <f ca="1">ROUND(IF(B32="总价",C32,IF('数据-取费表'!B3="万元",I121*B121/10000,I121*B121)),0)</f>
        <v>1951886</v>
      </c>
      <c r="I121" s="52">
        <f ca="1">ROUND(IF(B32="楼面单价",C32,IF(H19="元",H121/B121,H121*10000/B121)),0)</f>
        <v>35547</v>
      </c>
      <c r="J121" s="2848"/>
    </row>
    <row r="122" spans="1:16" ht="12.5">
      <c r="A122" s="3257" t="s">
        <v>2806</v>
      </c>
      <c r="B122" s="3258"/>
      <c r="C122" s="3258"/>
      <c r="D122" s="3285" t="str">
        <f ca="1">IF(H19="元",NUMBERSTRING(INT(D121),2)&amp;"元整",NUMBERSTRING(INT(D121*10000),2)&amp;"元整")</f>
        <v>叁佰壹拾肆万零伍佰柒拾柒元整</v>
      </c>
      <c r="E122" s="3328"/>
      <c r="F122" s="3285" t="e">
        <f ca="1">IF(H19="元",NUMBERSTRING(INT(F121),2)&amp;"元整",NUMBERSTRING(INT(F121*10000),2)&amp;"元整")</f>
        <v>#NUM!</v>
      </c>
      <c r="G122" s="3328"/>
      <c r="H122" s="3285" t="str">
        <f ca="1">IF(H19="元",NUMBERSTRING(INT(H121),2)&amp;"元整",NUMBERSTRING(INT(H121*10000),2)&amp;"元整")</f>
        <v>壹佰玖拾伍万壹仟捌佰捌拾陆元整</v>
      </c>
      <c r="I122" s="3286"/>
      <c r="J122" s="2871"/>
    </row>
    <row r="123" spans="1:16" ht="13">
      <c r="A123" s="3262" t="str">
        <f>IF(项目基本情况!D5="房地产市场价值","——",MID(A108,3,LEN(A108)-2))</f>
        <v>——</v>
      </c>
      <c r="B123" s="3268"/>
      <c r="C123" s="3263"/>
      <c r="D123" s="3260">
        <f>I105</f>
        <v>0</v>
      </c>
      <c r="E123" s="3268"/>
      <c r="F123" s="3268"/>
      <c r="G123" s="3268"/>
      <c r="H123" s="3268"/>
      <c r="I123" s="3261"/>
      <c r="J123" s="2864"/>
    </row>
    <row r="124" spans="1:16" ht="12.5">
      <c r="A124" s="3329" t="s">
        <v>2806</v>
      </c>
      <c r="B124" s="3297"/>
      <c r="C124" s="3298"/>
      <c r="D124" s="3269">
        <f>H109</f>
        <v>0</v>
      </c>
      <c r="E124" s="3270"/>
      <c r="F124" s="3270"/>
      <c r="G124" s="3270"/>
      <c r="H124" s="3270"/>
      <c r="I124" s="3271"/>
      <c r="J124" s="2872"/>
    </row>
    <row r="125" spans="1:16" ht="13">
      <c r="A125" s="3272" t="str">
        <f>IF(项目基本情况!D5="房地产市场价值","——",MID(A112,3,LEN(A112)-2))</f>
        <v>——</v>
      </c>
      <c r="B125" s="3273"/>
      <c r="C125" s="3273"/>
      <c r="D125" s="3260">
        <f ca="1">I110</f>
        <v>1951886</v>
      </c>
      <c r="E125" s="3268"/>
      <c r="F125" s="3268"/>
      <c r="G125" s="3268"/>
      <c r="H125" s="3268"/>
      <c r="I125" s="3261"/>
      <c r="J125" s="2864"/>
    </row>
    <row r="126" spans="1:16" ht="12.5">
      <c r="A126" s="3257" t="s">
        <v>2806</v>
      </c>
      <c r="B126" s="3258"/>
      <c r="C126" s="3258"/>
      <c r="D126" s="3269">
        <f ca="1">I111</f>
        <v>35547</v>
      </c>
      <c r="E126" s="3270"/>
      <c r="F126" s="3270"/>
      <c r="G126" s="3270"/>
      <c r="H126" s="3270"/>
      <c r="I126" s="3271"/>
      <c r="J126" s="2872"/>
    </row>
    <row r="127" spans="1:16" ht="13.5" thickBot="1">
      <c r="A127" s="3272" t="str">
        <f>IF(项目基本情况!D5="房地产市场价值","——",MID(A114,3,LEN(A114)-2))</f>
        <v>——</v>
      </c>
      <c r="B127" s="3273"/>
      <c r="C127" s="3273"/>
      <c r="D127" s="3305" t="str">
        <f>I112</f>
        <v>——</v>
      </c>
      <c r="E127" s="3306"/>
      <c r="F127" s="3306"/>
      <c r="G127" s="3306"/>
      <c r="H127" s="3306"/>
      <c r="I127" s="3357"/>
      <c r="J127" s="2864"/>
    </row>
    <row r="128" spans="1:16" ht="13.5" thickTop="1" thickBot="1">
      <c r="A128" s="3257" t="s">
        <v>2806</v>
      </c>
      <c r="B128" s="3258"/>
      <c r="C128" s="3259"/>
      <c r="D128" s="3321" t="str">
        <f>I113</f>
        <v>——</v>
      </c>
      <c r="E128" s="3321"/>
      <c r="F128" s="3321"/>
      <c r="G128" s="3321"/>
      <c r="H128" s="3321"/>
      <c r="I128" s="3321"/>
      <c r="J128" s="2872"/>
    </row>
    <row r="129" spans="1:10" ht="14" thickTop="1" thickBot="1">
      <c r="A129" s="3272" t="str">
        <f>IF(项目基本情况!D5="房地产市场价值","——",MID(F114,3,LEN(F114)-2))</f>
        <v>——</v>
      </c>
      <c r="B129" s="3273"/>
      <c r="C129" s="3260"/>
      <c r="D129" s="3276" t="str">
        <f>I114</f>
        <v>——</v>
      </c>
      <c r="E129" s="3276"/>
      <c r="F129" s="3276"/>
      <c r="G129" s="3276"/>
      <c r="H129" s="3276"/>
      <c r="I129" s="3276"/>
      <c r="J129" s="2864"/>
    </row>
    <row r="130" spans="1:10" ht="13.5" thickTop="1" thickBot="1">
      <c r="A130" s="3281" t="s">
        <v>2806</v>
      </c>
      <c r="B130" s="3282"/>
      <c r="C130" s="3282"/>
      <c r="D130" s="3287">
        <f>H116</f>
        <v>0</v>
      </c>
      <c r="E130" s="3288"/>
      <c r="F130" s="3288"/>
      <c r="G130" s="3288"/>
      <c r="H130" s="3288"/>
      <c r="I130" s="3289"/>
      <c r="J130" s="2872"/>
    </row>
    <row r="131" spans="1:10" ht="12.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 thickBot="1">
      <c r="A132" s="3255" t="str">
        <f>IF(B32="总价","（以上估价结果中楼面单价为总价除以建筑面积得出）","（以上估价结果中总价为楼面单价乘以建筑面积得出）")</f>
        <v>（以上估价结果中总价为楼面单价乘以建筑面积得出）</v>
      </c>
      <c r="B132" s="3255"/>
      <c r="C132" s="3255"/>
      <c r="D132" s="3255"/>
      <c r="E132" s="3255"/>
      <c r="F132" s="3255"/>
      <c r="G132" s="3255"/>
      <c r="H132" s="3255"/>
      <c r="I132" s="3255"/>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328125" defaultRowHeight="21.75" customHeight="1"/>
  <cols>
    <col min="1" max="1" width="12.6328125" style="1462"/>
    <col min="2" max="2" width="17.6328125" style="1462" customWidth="1"/>
    <col min="3" max="4" width="12.6328125" style="1462" customWidth="1"/>
    <col min="5" max="9" width="12.6328125" style="1462"/>
    <col min="10" max="10" width="4.08984375" style="2845" customWidth="1"/>
    <col min="11" max="12" width="12.6328125" style="659" customWidth="1"/>
    <col min="13" max="13" width="12.6328125" style="659"/>
    <col min="14" max="14" width="14.08984375" style="659" bestFit="1" customWidth="1"/>
    <col min="15" max="27" width="12.6328125" style="659"/>
    <col min="28" max="36" width="12.6328125" style="1308"/>
    <col min="37" max="16384" width="12.6328125" style="1462"/>
  </cols>
  <sheetData>
    <row r="1" spans="1:15" ht="21.75" customHeight="1">
      <c r="A1" s="1460" t="s">
        <v>1889</v>
      </c>
      <c r="B1" s="1461"/>
      <c r="C1" s="1461"/>
      <c r="D1" s="1461"/>
      <c r="E1" s="1461"/>
      <c r="F1" s="1461"/>
      <c r="G1" s="1461"/>
      <c r="H1" s="1461"/>
      <c r="I1" s="1461"/>
    </row>
    <row r="2" spans="1:15" ht="21.75" customHeight="1">
      <c r="A2" s="3389" t="s">
        <v>1890</v>
      </c>
      <c r="B2" s="3389"/>
      <c r="C2" s="3389"/>
      <c r="D2" s="3389"/>
      <c r="E2" s="3389"/>
      <c r="F2" s="3389"/>
      <c r="G2" s="3389"/>
      <c r="H2" s="3389"/>
      <c r="I2" s="3389"/>
      <c r="J2" s="2877"/>
    </row>
    <row r="3" spans="1:15" ht="13">
      <c r="A3" s="3313" t="s">
        <v>1718</v>
      </c>
      <c r="B3" s="3314"/>
      <c r="C3" s="3314"/>
      <c r="D3" s="3314"/>
      <c r="E3" s="3314"/>
      <c r="F3" s="3314"/>
      <c r="G3" s="3314"/>
      <c r="H3" s="3314"/>
      <c r="I3" s="3314"/>
      <c r="J3" s="2847"/>
    </row>
    <row r="4" spans="1:15" ht="14">
      <c r="A4" s="2715" t="s">
        <v>1719</v>
      </c>
      <c r="B4" s="2715" t="s">
        <v>1720</v>
      </c>
      <c r="C4" s="2716"/>
      <c r="D4" s="2716"/>
      <c r="E4" s="3259" t="s">
        <v>1891</v>
      </c>
      <c r="F4" s="3297"/>
      <c r="G4" s="3297"/>
      <c r="H4" s="3297"/>
      <c r="I4" s="3298"/>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
      <c r="A5" s="3290" t="s">
        <v>1722</v>
      </c>
      <c r="B5" s="3290">
        <v>25</v>
      </c>
      <c r="C5" s="3299"/>
      <c r="D5" s="3312"/>
      <c r="E5" s="12" t="s">
        <v>1723</v>
      </c>
      <c r="F5" s="2089"/>
      <c r="G5" s="2089"/>
      <c r="H5" s="2089"/>
      <c r="I5" s="2084"/>
      <c r="J5" s="2848"/>
    </row>
    <row r="6" spans="1:15" ht="13">
      <c r="A6" s="3290"/>
      <c r="B6" s="3290"/>
      <c r="C6" s="3315"/>
      <c r="D6" s="3312"/>
      <c r="E6" s="12" t="s">
        <v>1724</v>
      </c>
      <c r="F6" s="2089"/>
      <c r="G6" s="2089"/>
      <c r="H6" s="2089"/>
      <c r="I6" s="2084"/>
      <c r="J6" s="2848"/>
    </row>
    <row r="7" spans="1:15" ht="13">
      <c r="A7" s="3290"/>
      <c r="B7" s="3290"/>
      <c r="C7" s="3300"/>
      <c r="D7" s="3312"/>
      <c r="E7" s="12" t="s">
        <v>1725</v>
      </c>
      <c r="F7" s="2089"/>
      <c r="G7" s="2089"/>
      <c r="H7" s="2089"/>
      <c r="I7" s="2084"/>
      <c r="J7" s="2848"/>
    </row>
    <row r="8" spans="1:15" ht="13">
      <c r="A8" s="3290" t="s">
        <v>1726</v>
      </c>
      <c r="B8" s="3290">
        <v>15</v>
      </c>
      <c r="C8" s="3299"/>
      <c r="D8" s="3312"/>
      <c r="E8" s="12" t="s">
        <v>1727</v>
      </c>
      <c r="F8" s="2089"/>
      <c r="G8" s="2089"/>
      <c r="H8" s="2089"/>
      <c r="I8" s="2084"/>
      <c r="J8" s="2848"/>
    </row>
    <row r="9" spans="1:15" ht="13">
      <c r="A9" s="3290"/>
      <c r="B9" s="3290"/>
      <c r="C9" s="3300"/>
      <c r="D9" s="3312"/>
      <c r="E9" s="12" t="s">
        <v>1728</v>
      </c>
      <c r="F9" s="2089"/>
      <c r="G9" s="2089"/>
      <c r="H9" s="2089"/>
      <c r="I9" s="2084"/>
      <c r="J9" s="2848"/>
    </row>
    <row r="10" spans="1:15" ht="13">
      <c r="A10" s="3290" t="s">
        <v>1729</v>
      </c>
      <c r="B10" s="3290">
        <v>15</v>
      </c>
      <c r="C10" s="3299"/>
      <c r="D10" s="3312"/>
      <c r="E10" s="12" t="s">
        <v>1730</v>
      </c>
      <c r="F10" s="2089"/>
      <c r="G10" s="2089"/>
      <c r="H10" s="2089"/>
      <c r="I10" s="2084"/>
      <c r="J10" s="2848"/>
    </row>
    <row r="11" spans="1:15" ht="13">
      <c r="A11" s="3290"/>
      <c r="B11" s="3290"/>
      <c r="C11" s="3300"/>
      <c r="D11" s="3312"/>
      <c r="E11" s="12" t="s">
        <v>1731</v>
      </c>
      <c r="F11" s="2089"/>
      <c r="G11" s="2089"/>
      <c r="H11" s="2089"/>
      <c r="I11" s="2084"/>
      <c r="J11" s="2848"/>
    </row>
    <row r="12" spans="1:15" ht="13">
      <c r="A12" s="3290" t="s">
        <v>1732</v>
      </c>
      <c r="B12" s="3290">
        <v>15</v>
      </c>
      <c r="C12" s="3299"/>
      <c r="D12" s="3312"/>
      <c r="E12" s="12" t="s">
        <v>1733</v>
      </c>
      <c r="F12" s="2089"/>
      <c r="G12" s="2089"/>
      <c r="H12" s="2089"/>
      <c r="I12" s="2084"/>
      <c r="J12" s="2848"/>
    </row>
    <row r="13" spans="1:15" ht="13">
      <c r="A13" s="3290"/>
      <c r="B13" s="3290"/>
      <c r="C13" s="3300"/>
      <c r="D13" s="3312"/>
      <c r="E13" s="12" t="s">
        <v>1734</v>
      </c>
      <c r="F13" s="2089"/>
      <c r="G13" s="2089"/>
      <c r="H13" s="2089"/>
      <c r="I13" s="2084"/>
      <c r="J13" s="2848"/>
    </row>
    <row r="14" spans="1:15" ht="13">
      <c r="A14" s="3290" t="s">
        <v>1735</v>
      </c>
      <c r="B14" s="3290">
        <v>30</v>
      </c>
      <c r="C14" s="3299"/>
      <c r="D14" s="3312"/>
      <c r="E14" s="12" t="s">
        <v>1736</v>
      </c>
      <c r="F14" s="2089"/>
      <c r="G14" s="2089"/>
      <c r="H14" s="2089"/>
      <c r="I14" s="2084"/>
      <c r="J14" s="2848"/>
    </row>
    <row r="15" spans="1:15" ht="13">
      <c r="A15" s="3290"/>
      <c r="B15" s="3290"/>
      <c r="C15" s="3315"/>
      <c r="D15" s="3312"/>
      <c r="E15" s="12" t="s">
        <v>1737</v>
      </c>
      <c r="F15" s="2089"/>
      <c r="G15" s="2089"/>
      <c r="H15" s="2089"/>
      <c r="I15" s="2084"/>
      <c r="J15" s="2848"/>
    </row>
    <row r="16" spans="1:15" ht="13">
      <c r="A16" s="3290"/>
      <c r="B16" s="3290"/>
      <c r="C16" s="3300"/>
      <c r="D16" s="3312"/>
      <c r="E16" s="12" t="s">
        <v>1738</v>
      </c>
      <c r="F16" s="2089"/>
      <c r="G16" s="2089"/>
      <c r="H16" s="2089"/>
      <c r="I16" s="2084"/>
      <c r="J16" s="2848"/>
    </row>
    <row r="17" spans="1:36" ht="14">
      <c r="A17" s="2717" t="s">
        <v>1739</v>
      </c>
      <c r="B17" s="2094"/>
      <c r="C17" s="2718">
        <f>SUM(C5:C16)</f>
        <v>0</v>
      </c>
      <c r="D17" s="2718">
        <f>SUM(D5:D16)</f>
        <v>0</v>
      </c>
      <c r="E17" s="2565"/>
      <c r="F17" s="2565"/>
      <c r="G17" s="2565"/>
      <c r="H17" s="2565"/>
      <c r="I17" s="2565"/>
      <c r="J17" s="2849"/>
    </row>
    <row r="18" spans="1:36" ht="32.5" customHeight="1" thickBot="1">
      <c r="A18" s="2719" t="s">
        <v>1740</v>
      </c>
      <c r="B18" s="2720"/>
      <c r="C18" s="2721" t="e">
        <f>ROUND(C17/SUM(C17:D17),2)</f>
        <v>#DIV/0!</v>
      </c>
      <c r="D18" s="2721" t="e">
        <f>1-C18</f>
        <v>#DIV/0!</v>
      </c>
      <c r="E18" s="3308" t="s">
        <v>2825</v>
      </c>
      <c r="F18" s="3309"/>
      <c r="G18" s="3309"/>
      <c r="H18" s="3309"/>
      <c r="I18" s="3309"/>
      <c r="J18" s="2849"/>
    </row>
    <row r="19" spans="1:36" ht="1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4">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4.5" thickBot="1">
      <c r="A22" s="2735" t="s">
        <v>1746</v>
      </c>
      <c r="B22" s="2736"/>
      <c r="C22" s="2649"/>
      <c r="D22" s="2737" t="e">
        <f ca="1">IF(C19&lt;D19,D19/C19-1,C19/D19-1)</f>
        <v>#REF!</v>
      </c>
      <c r="E22" s="947"/>
      <c r="F22" s="947"/>
      <c r="G22" s="947"/>
      <c r="H22" s="947"/>
      <c r="I22" s="947"/>
      <c r="J22" s="2849"/>
    </row>
    <row r="23" spans="1:36" ht="13" thickBot="1">
      <c r="A23" s="2565"/>
      <c r="B23" s="2565"/>
      <c r="C23" s="2565"/>
      <c r="D23" s="2565"/>
      <c r="E23" s="947"/>
      <c r="F23" s="947"/>
      <c r="G23" s="947"/>
      <c r="H23" s="947"/>
      <c r="I23" s="947"/>
      <c r="J23" s="2849"/>
    </row>
    <row r="24" spans="1:36" ht="21.75" customHeight="1">
      <c r="A24" s="3301" t="s">
        <v>1747</v>
      </c>
      <c r="B24" s="2723" t="s">
        <v>1742</v>
      </c>
      <c r="C24" s="2726">
        <f>D30</f>
        <v>0</v>
      </c>
      <c r="D24" s="2678"/>
      <c r="E24" s="947"/>
      <c r="F24" s="947"/>
      <c r="G24" s="947"/>
      <c r="H24" s="947"/>
      <c r="I24" s="947"/>
      <c r="J24" s="2849"/>
    </row>
    <row r="25" spans="1:36" ht="21.75" customHeight="1">
      <c r="A25" s="3318"/>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
      <c r="A27" s="2743" t="s">
        <v>1892</v>
      </c>
      <c r="B27" s="2741">
        <v>0</v>
      </c>
      <c r="C27" s="2741">
        <v>0</v>
      </c>
      <c r="D27" s="2742">
        <f>ROUND(C27*B27/10000,0)</f>
        <v>0</v>
      </c>
      <c r="E27" s="947"/>
      <c r="F27" s="947"/>
      <c r="G27" s="947"/>
      <c r="H27" s="947"/>
      <c r="I27" s="947"/>
      <c r="J27" s="2849"/>
    </row>
    <row r="28" spans="1:36" ht="14">
      <c r="A28" s="2740"/>
      <c r="B28" s="2741"/>
      <c r="C28" s="2741"/>
      <c r="D28" s="2742">
        <f>ROUND(C28*B28/10000,0)</f>
        <v>0</v>
      </c>
      <c r="E28" s="947"/>
      <c r="F28" s="947"/>
      <c r="G28" s="947"/>
      <c r="H28" s="947"/>
      <c r="I28" s="947"/>
      <c r="J28" s="2849"/>
    </row>
    <row r="29" spans="1:36" ht="14">
      <c r="A29" s="2740"/>
      <c r="B29" s="2741"/>
      <c r="C29" s="2741"/>
      <c r="D29" s="2742">
        <f t="shared" ref="D29" si="0">ROUND(C29*B29/10000,0)</f>
        <v>0</v>
      </c>
      <c r="E29" s="947"/>
      <c r="F29" s="947"/>
      <c r="G29" s="947"/>
      <c r="H29" s="947"/>
      <c r="I29" s="947"/>
      <c r="J29" s="2849"/>
    </row>
    <row r="30" spans="1:36" ht="14.5" thickBot="1">
      <c r="A30" s="2776" t="s">
        <v>1893</v>
      </c>
      <c r="B30" s="2777"/>
      <c r="C30" s="2777"/>
      <c r="D30" s="2777"/>
      <c r="E30" s="2744" t="s">
        <v>2829</v>
      </c>
      <c r="F30" s="2565"/>
      <c r="G30" s="2565"/>
      <c r="H30" s="2565"/>
      <c r="I30" s="2565"/>
      <c r="J30" s="2849"/>
    </row>
    <row r="31" spans="1:36" s="2842" customFormat="1" ht="27.65"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 thickTop="1" thickBot="1">
      <c r="A32" s="3366" t="s">
        <v>1894</v>
      </c>
      <c r="B32" s="3366"/>
      <c r="C32" s="3366"/>
      <c r="D32" s="3366"/>
      <c r="E32" s="3366"/>
      <c r="F32" s="3366"/>
      <c r="G32" s="3366"/>
      <c r="H32" s="3366"/>
      <c r="I32" s="3366"/>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
      <c r="A33" s="1511"/>
      <c r="B33" s="2778" t="s">
        <v>1895</v>
      </c>
      <c r="C33" s="2779">
        <f>典型户型修正!R27</f>
        <v>0</v>
      </c>
      <c r="D33" s="2565" t="s">
        <v>1896</v>
      </c>
      <c r="E33" s="947"/>
      <c r="F33" s="947"/>
      <c r="G33" s="947"/>
      <c r="H33" s="947"/>
      <c r="I33" s="947"/>
      <c r="J33" s="2849"/>
    </row>
    <row r="34" spans="1:16" ht="14">
      <c r="A34" s="1512" t="s">
        <v>1897</v>
      </c>
      <c r="B34" s="2780" t="s">
        <v>1898</v>
      </c>
      <c r="C34" s="2781">
        <f>典型户型修正!B2</f>
        <v>0</v>
      </c>
      <c r="D34" s="2782" t="str">
        <f>IF('数据-取费表'!B3="万元","万元","元")</f>
        <v>元</v>
      </c>
      <c r="E34" s="947"/>
      <c r="F34" s="947"/>
      <c r="G34" s="947"/>
      <c r="H34" s="947"/>
      <c r="I34" s="947"/>
      <c r="J34" s="2849"/>
    </row>
    <row r="35" spans="1:16" ht="14.5" thickBot="1">
      <c r="A35" s="1513"/>
      <c r="B35" s="2783" t="s">
        <v>1899</v>
      </c>
      <c r="C35" s="2732" t="e">
        <f>典型户型修正!B3</f>
        <v>#DIV/0!</v>
      </c>
      <c r="D35" s="2565" t="s">
        <v>1900</v>
      </c>
      <c r="E35" s="947"/>
      <c r="F35" s="947"/>
      <c r="G35" s="947"/>
      <c r="H35" s="947"/>
      <c r="I35" s="947"/>
      <c r="J35" s="2849"/>
    </row>
    <row r="36" spans="1:16" ht="14">
      <c r="A36" s="1514"/>
      <c r="B36" s="1468" t="s">
        <v>1901</v>
      </c>
      <c r="C36" s="2784">
        <f>IF('数据-取费表'!B3="万元",典型户型修正!V25,典型户型修正!U25)</f>
        <v>0</v>
      </c>
      <c r="D36" s="2565" t="str">
        <f>D34</f>
        <v>元</v>
      </c>
      <c r="E36" s="947"/>
      <c r="F36" s="947"/>
      <c r="G36" s="947"/>
      <c r="H36" s="947"/>
      <c r="I36" s="947"/>
      <c r="J36" s="2849"/>
    </row>
    <row r="37" spans="1:16" ht="14.5" thickBot="1">
      <c r="A37" s="1467"/>
      <c r="B37" s="1469" t="s">
        <v>1902</v>
      </c>
      <c r="C37" s="2785">
        <f>IF('数据-取费表'!B3="万元",典型户型修正!Y25,典型户型修正!X25)</f>
        <v>0</v>
      </c>
      <c r="D37" s="2565" t="str">
        <f>D34</f>
        <v>元</v>
      </c>
      <c r="E37" s="947"/>
      <c r="F37" s="947"/>
      <c r="G37" s="947"/>
      <c r="H37" s="947"/>
      <c r="I37" s="947"/>
      <c r="J37" s="2849"/>
    </row>
    <row r="38" spans="1:16" ht="14.5" thickBot="1">
      <c r="A38" s="3301" t="s">
        <v>1903</v>
      </c>
      <c r="B38" s="1468" t="s">
        <v>1904</v>
      </c>
      <c r="C38" s="2759"/>
      <c r="D38" s="2760"/>
      <c r="E38" s="1680"/>
      <c r="F38" s="1680"/>
      <c r="G38" s="947"/>
      <c r="H38" s="947"/>
      <c r="I38" s="947"/>
      <c r="J38" s="2849"/>
    </row>
    <row r="39" spans="1:16" ht="14.5" thickBot="1">
      <c r="A39" s="3302"/>
      <c r="B39" s="2094" t="s">
        <v>1905</v>
      </c>
      <c r="C39" s="2761"/>
      <c r="D39" s="1311"/>
      <c r="E39" s="1311"/>
      <c r="F39" s="1680"/>
      <c r="G39" s="1311"/>
      <c r="H39" s="1311"/>
      <c r="I39" s="1311"/>
      <c r="J39" s="2853"/>
    </row>
    <row r="40" spans="1:16" ht="14.5" thickBot="1">
      <c r="A40" s="3303"/>
      <c r="B40" s="1469" t="s">
        <v>1906</v>
      </c>
      <c r="C40" s="2762"/>
      <c r="D40" s="2763" t="s">
        <v>1907</v>
      </c>
      <c r="E40" s="1311"/>
      <c r="F40" s="1680"/>
      <c r="G40" s="1311"/>
      <c r="H40" s="1311"/>
      <c r="I40" s="1311"/>
      <c r="J40" s="2853"/>
    </row>
    <row r="41" spans="1:16" ht="14">
      <c r="A41" s="2728" t="s">
        <v>1908</v>
      </c>
      <c r="B41" s="2764" t="s">
        <v>1909</v>
      </c>
      <c r="C41" s="2765" t="s">
        <v>1910</v>
      </c>
      <c r="D41" s="2765" t="s">
        <v>1911</v>
      </c>
      <c r="E41" s="2766" t="s">
        <v>1912</v>
      </c>
      <c r="F41" s="1680"/>
      <c r="G41" s="1311"/>
      <c r="H41" s="1311"/>
      <c r="I41" s="1311"/>
      <c r="J41" s="2853"/>
    </row>
    <row r="42" spans="1:16" ht="14">
      <c r="A42" s="2767" t="s">
        <v>1913</v>
      </c>
      <c r="B42" s="2768"/>
      <c r="C42" s="2769"/>
      <c r="D42" s="2769"/>
      <c r="E42" s="2770"/>
      <c r="F42" s="1680"/>
      <c r="G42" s="1311"/>
      <c r="H42" s="1311"/>
      <c r="I42" s="1311"/>
      <c r="J42" s="2853"/>
    </row>
    <row r="43" spans="1:16" ht="14">
      <c r="A43" s="2767" t="s">
        <v>1914</v>
      </c>
      <c r="B43" s="2768"/>
      <c r="C43" s="2769"/>
      <c r="D43" s="2769"/>
      <c r="E43" s="2770"/>
      <c r="F43" s="1680"/>
      <c r="G43" s="1311"/>
      <c r="H43" s="1311"/>
      <c r="I43" s="1311"/>
      <c r="J43" s="2853"/>
    </row>
    <row r="44" spans="1:16" ht="14.5" thickBot="1">
      <c r="A44" s="2771"/>
      <c r="B44" s="2772"/>
      <c r="C44" s="2773"/>
      <c r="D44" s="2773"/>
      <c r="E44" s="2758"/>
      <c r="F44" s="1680"/>
      <c r="G44" s="1311"/>
      <c r="H44" s="1311"/>
      <c r="I44" s="1311"/>
      <c r="J44" s="2853"/>
    </row>
    <row r="45" spans="1:16" ht="12.5">
      <c r="A45" s="1481"/>
      <c r="B45" s="1481"/>
      <c r="C45" s="1481"/>
      <c r="D45" s="1481"/>
      <c r="E45" s="1481"/>
      <c r="F45" s="1437"/>
      <c r="G45" s="1437"/>
      <c r="H45" s="1437"/>
      <c r="I45" s="2774"/>
      <c r="J45" s="2854"/>
    </row>
    <row r="46" spans="1:16" ht="18">
      <c r="A46" s="1471" t="s">
        <v>1915</v>
      </c>
      <c r="B46" s="1472"/>
      <c r="C46" s="1472"/>
      <c r="D46" s="2786"/>
      <c r="E46" s="2786"/>
      <c r="F46" s="2786"/>
      <c r="G46" s="2786"/>
      <c r="H46" s="2786"/>
      <c r="I46" s="2843" t="s">
        <v>2824</v>
      </c>
      <c r="J46" s="2879"/>
      <c r="K46" s="1475" t="s">
        <v>1770</v>
      </c>
      <c r="L46" s="1476"/>
      <c r="M46" s="1476"/>
      <c r="N46" s="1476"/>
      <c r="O46" s="1476"/>
      <c r="P46" s="1476"/>
    </row>
    <row r="47" spans="1:16" ht="14.25" customHeight="1" thickBot="1">
      <c r="A47" s="3305" t="s">
        <v>1916</v>
      </c>
      <c r="B47" s="3306"/>
      <c r="C47" s="3265"/>
      <c r="D47" s="246">
        <f>ROUND(I104*F47,0)</f>
        <v>0</v>
      </c>
      <c r="E47" s="1542" t="s">
        <v>1917</v>
      </c>
      <c r="F47" s="2563">
        <v>1</v>
      </c>
      <c r="G47" s="2564" t="s">
        <v>1918</v>
      </c>
      <c r="H47" s="947"/>
      <c r="I47" s="947"/>
      <c r="J47" s="2849"/>
      <c r="K47" s="3391" t="s">
        <v>1774</v>
      </c>
      <c r="L47" s="3391"/>
      <c r="M47" s="3391"/>
      <c r="N47" s="3391"/>
      <c r="O47" s="3391"/>
      <c r="P47" s="3391"/>
    </row>
    <row r="48" spans="1:16" ht="14.25" customHeight="1">
      <c r="A48" s="3294" t="s">
        <v>1775</v>
      </c>
      <c r="B48" s="3295"/>
      <c r="C48" s="3295"/>
      <c r="D48" s="3295"/>
      <c r="E48" s="3295"/>
      <c r="F48" s="3295"/>
      <c r="G48" s="3296"/>
      <c r="H48" s="2981"/>
      <c r="I48" s="947"/>
      <c r="J48" s="2849"/>
      <c r="K48" s="2515">
        <v>1</v>
      </c>
      <c r="L48" s="3386" t="s">
        <v>1776</v>
      </c>
      <c r="M48" s="3386"/>
      <c r="N48" s="3392"/>
      <c r="O48" s="3392"/>
      <c r="P48" s="3392"/>
    </row>
    <row r="49" spans="1:17" ht="12" customHeight="1">
      <c r="A49" s="38" t="s">
        <v>1777</v>
      </c>
      <c r="B49" s="39"/>
      <c r="C49" s="40"/>
      <c r="D49" s="1099" t="s">
        <v>1778</v>
      </c>
      <c r="E49" s="235" t="s">
        <v>1779</v>
      </c>
      <c r="F49" s="41" t="s">
        <v>1780</v>
      </c>
      <c r="G49" s="2566" t="s">
        <v>1781</v>
      </c>
      <c r="H49" s="2981"/>
      <c r="I49" s="947"/>
      <c r="J49" s="2849"/>
      <c r="K49" s="2515">
        <v>2</v>
      </c>
      <c r="L49" s="3386" t="s">
        <v>1782</v>
      </c>
      <c r="M49" s="3386"/>
      <c r="N49" s="3393">
        <f>'数据-取费表'!B2</f>
        <v>44062</v>
      </c>
      <c r="O49" s="3393"/>
      <c r="P49" s="3393"/>
    </row>
    <row r="50" spans="1:17" ht="26">
      <c r="A50" s="3304" t="s">
        <v>1783</v>
      </c>
      <c r="B50" s="3258"/>
      <c r="C50" s="3258"/>
      <c r="D50" s="12">
        <f>IF(H50="情况1",0,IF(H50="情况2",D54,IF(H50="情况3",D55,IF(H50="情况4",D56))))</f>
        <v>0</v>
      </c>
      <c r="E50" s="2092" t="str">
        <f>IF(H50="情况4","(销售额-原购置价)×税（费）率","销售额×税（费）率")</f>
        <v>销售额×税（费）率</v>
      </c>
      <c r="F50" s="2567">
        <f>IF(H50="情况1","免征",'数据-取费表'!E29)</f>
        <v>5.5000000000000007E-2</v>
      </c>
      <c r="G50" s="2568" t="s">
        <v>1784</v>
      </c>
      <c r="H50" s="2569" t="s">
        <v>1785</v>
      </c>
      <c r="I50" s="2981"/>
      <c r="J50" s="2856"/>
      <c r="K50" s="2515">
        <v>3</v>
      </c>
      <c r="L50" s="3386" t="s">
        <v>1786</v>
      </c>
      <c r="M50" s="3386"/>
      <c r="N50" s="3387">
        <f>I104</f>
        <v>0</v>
      </c>
      <c r="O50" s="3387"/>
      <c r="P50" s="3387"/>
    </row>
    <row r="51" spans="1:17" ht="25.5" customHeight="1">
      <c r="A51" s="2091" t="s">
        <v>1787</v>
      </c>
      <c r="B51" s="3297" t="s">
        <v>1788</v>
      </c>
      <c r="C51" s="3297"/>
      <c r="D51" s="2570">
        <v>0</v>
      </c>
      <c r="E51" s="261" t="s">
        <v>1789</v>
      </c>
      <c r="F51" s="2571" t="s">
        <v>48</v>
      </c>
      <c r="G51" s="3354"/>
      <c r="H51" s="2572" t="s">
        <v>2749</v>
      </c>
      <c r="I51" s="2573"/>
      <c r="J51" s="2857"/>
      <c r="K51" s="2515">
        <v>4</v>
      </c>
      <c r="L51" s="3386" t="str">
        <f>IF(项目基本情况!F5="房地产抵押价值","房地产抵押价值","抵押担保权已注销时的房地产抵押价值")</f>
        <v>抵押担保权已注销时的房地产抵押价值</v>
      </c>
      <c r="M51" s="3386"/>
      <c r="N51" s="3387" t="str">
        <f>IF(项目基本情况!F5="房地产抵押价值",I112,I114)</f>
        <v>——</v>
      </c>
      <c r="O51" s="3387"/>
      <c r="P51" s="3387"/>
    </row>
    <row r="52" spans="1:17" ht="25.5" customHeight="1">
      <c r="A52" s="2081"/>
      <c r="B52" s="3297" t="s">
        <v>1790</v>
      </c>
      <c r="C52" s="3297"/>
      <c r="D52" s="2574"/>
      <c r="E52" s="269"/>
      <c r="F52" s="2571"/>
      <c r="G52" s="3355"/>
      <c r="H52" s="2575" t="s">
        <v>2750</v>
      </c>
      <c r="I52" s="2573"/>
      <c r="J52" s="2857"/>
      <c r="K52" s="3386" t="s">
        <v>1791</v>
      </c>
      <c r="L52" s="3386"/>
      <c r="M52" s="3386"/>
      <c r="N52" s="3386"/>
      <c r="O52" s="3386"/>
      <c r="P52" s="3386"/>
    </row>
    <row r="53" spans="1:17" ht="20.5" customHeight="1">
      <c r="A53" s="2576"/>
      <c r="B53" s="3297" t="s">
        <v>1792</v>
      </c>
      <c r="C53" s="3297"/>
      <c r="D53" s="1099"/>
      <c r="E53" s="264"/>
      <c r="F53" s="2571"/>
      <c r="G53" s="3356"/>
      <c r="H53" s="2575" t="s">
        <v>2751</v>
      </c>
      <c r="I53" s="2573"/>
      <c r="J53" s="2857"/>
      <c r="K53" s="2516" t="s">
        <v>1793</v>
      </c>
      <c r="L53" s="3386" t="s">
        <v>1794</v>
      </c>
      <c r="M53" s="3386"/>
      <c r="N53" s="2516" t="s">
        <v>1795</v>
      </c>
      <c r="O53" s="2516" t="s">
        <v>1796</v>
      </c>
      <c r="P53" s="2516" t="s">
        <v>1797</v>
      </c>
    </row>
    <row r="54" spans="1:17" ht="24" customHeight="1">
      <c r="A54" s="2082" t="s">
        <v>1798</v>
      </c>
      <c r="B54" s="3297" t="s">
        <v>1799</v>
      </c>
      <c r="C54" s="3297"/>
      <c r="D54" s="1099">
        <f>ROUND(D47*'数据-取费表'!E29/(1+'数据-取费表'!F30),0)</f>
        <v>0</v>
      </c>
      <c r="E54" s="2092" t="s">
        <v>1800</v>
      </c>
      <c r="F54" s="2577">
        <f>'数据-取费表'!E29</f>
        <v>5.5000000000000007E-2</v>
      </c>
      <c r="G54" s="2578"/>
      <c r="H54" s="947"/>
      <c r="I54" s="2982"/>
      <c r="J54" s="2857"/>
      <c r="K54" s="2515">
        <v>1</v>
      </c>
      <c r="L54" s="3382" t="s">
        <v>1801</v>
      </c>
      <c r="M54" s="3382"/>
      <c r="N54" s="2517">
        <f>D50</f>
        <v>0</v>
      </c>
      <c r="O54" s="2515" t="str">
        <f>E50</f>
        <v>销售额×税（费）率</v>
      </c>
      <c r="P54" s="2518">
        <f>F50</f>
        <v>5.5000000000000007E-2</v>
      </c>
    </row>
    <row r="55" spans="1:17" ht="12" customHeight="1">
      <c r="A55" s="2082" t="s">
        <v>1802</v>
      </c>
      <c r="B55" s="3259" t="s">
        <v>2843</v>
      </c>
      <c r="C55" s="3298"/>
      <c r="D55" s="1099">
        <f>ROUND(D47*'数据-取费表'!E29/(1+'数据-取费表'!F30),0)</f>
        <v>0</v>
      </c>
      <c r="E55" s="2092" t="s">
        <v>1800</v>
      </c>
      <c r="F55" s="2577">
        <f>'数据-取费表'!E29</f>
        <v>5.5000000000000007E-2</v>
      </c>
      <c r="G55" s="2578"/>
      <c r="H55" s="947"/>
      <c r="I55" s="2982"/>
      <c r="J55" s="2857"/>
      <c r="K55" s="2515">
        <v>2</v>
      </c>
      <c r="L55" s="3382" t="s">
        <v>1803</v>
      </c>
      <c r="M55" s="3382"/>
      <c r="N55" s="2517">
        <f t="shared" ref="N55:P56" si="1">D57</f>
        <v>0</v>
      </c>
      <c r="O55" s="2515" t="str">
        <f t="shared" si="1"/>
        <v>销售额×税（费）率</v>
      </c>
      <c r="P55" s="2518">
        <f t="shared" si="1"/>
        <v>5.0000000000000001E-4</v>
      </c>
    </row>
    <row r="56" spans="1:17" ht="12" customHeight="1">
      <c r="A56" s="2082" t="s">
        <v>1804</v>
      </c>
      <c r="B56" s="3259" t="s">
        <v>2844</v>
      </c>
      <c r="C56" s="3298"/>
      <c r="D56" s="1099">
        <f>C70</f>
        <v>0</v>
      </c>
      <c r="E56" s="264" t="s">
        <v>1805</v>
      </c>
      <c r="F56" s="2577">
        <f>'数据-取费表'!E29</f>
        <v>5.5000000000000007E-2</v>
      </c>
      <c r="G56" s="2578"/>
      <c r="H56" s="2983"/>
      <c r="I56" s="2982"/>
      <c r="J56" s="2857"/>
      <c r="K56" s="2515">
        <v>3</v>
      </c>
      <c r="L56" s="3382" t="s">
        <v>1806</v>
      </c>
      <c r="M56" s="3382"/>
      <c r="N56" s="2517">
        <f t="shared" si="1"/>
        <v>0</v>
      </c>
      <c r="O56" s="2515" t="str">
        <f t="shared" si="1"/>
        <v>增值额×税（费）率</v>
      </c>
      <c r="P56" s="2519" t="str">
        <f t="shared" si="1"/>
        <v>——</v>
      </c>
    </row>
    <row r="57" spans="1:17" ht="24" customHeight="1">
      <c r="A57" s="3257" t="s">
        <v>1807</v>
      </c>
      <c r="B57" s="3258"/>
      <c r="C57" s="3258"/>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82" t="str">
        <f>IF(H61="非个人房产","——","个人所得税")</f>
        <v>个人所得税</v>
      </c>
      <c r="M57" s="3382"/>
      <c r="N57" s="2520">
        <f>D61</f>
        <v>0</v>
      </c>
      <c r="O57" s="2521" t="str">
        <f>E61</f>
        <v>销售额×税（费）率</v>
      </c>
      <c r="P57" s="2522">
        <f>F61</f>
        <v>0.01</v>
      </c>
    </row>
    <row r="58" spans="1:17" ht="26">
      <c r="A58" s="3257" t="s">
        <v>1810</v>
      </c>
      <c r="B58" s="3258"/>
      <c r="C58" s="3258"/>
      <c r="D58" s="12">
        <f>IF(H58="个人住宅",D59,D60)</f>
        <v>0</v>
      </c>
      <c r="E58" s="2092" t="s">
        <v>1811</v>
      </c>
      <c r="F58" s="2577" t="str">
        <f>IF(H58="正常",F60,"免征")</f>
        <v>——</v>
      </c>
      <c r="G58" s="2579" t="s">
        <v>1812</v>
      </c>
      <c r="H58" s="2580" t="s">
        <v>1809</v>
      </c>
      <c r="I58" s="2984"/>
      <c r="J58" s="2857"/>
      <c r="K58" s="2515" t="str">
        <f>IF(项目基本情况!I6="上海银行",IF(K57="",4,K57+1),"")</f>
        <v/>
      </c>
      <c r="L58" s="3384" t="str">
        <f>IF(项目基本情况!I6="上海银行","其他处置费用","")</f>
        <v/>
      </c>
      <c r="M58" s="3385"/>
      <c r="N58" s="2517" t="str">
        <f>IF(项目基本情况!I6="上海银行",N71,"")</f>
        <v/>
      </c>
      <c r="O58" s="3384" t="str">
        <f>IF(项目基本情况!I6="上海银行","包含处置中涉及的律师、诉讼、拍卖、评估等费用","")</f>
        <v/>
      </c>
      <c r="P58" s="3388"/>
    </row>
    <row r="59" spans="1:17" ht="13">
      <c r="A59" s="2082" t="s">
        <v>1787</v>
      </c>
      <c r="B59" s="3259" t="s">
        <v>1813</v>
      </c>
      <c r="C59" s="3298"/>
      <c r="D59" s="2570">
        <v>0</v>
      </c>
      <c r="E59" s="261" t="s">
        <v>1789</v>
      </c>
      <c r="F59" s="235"/>
      <c r="G59" s="2578"/>
      <c r="H59" s="2984"/>
      <c r="I59" s="2984"/>
      <c r="J59" s="2857"/>
      <c r="K59" s="3382">
        <f>IF(AND(K57="",K58=""),4,IF(项目基本情况!I6="上海银行",K58+1,K57+1))</f>
        <v>5</v>
      </c>
      <c r="L59" s="3382" t="s">
        <v>1814</v>
      </c>
      <c r="M59" s="2523" t="s">
        <v>1815</v>
      </c>
      <c r="N59" s="2524"/>
      <c r="O59" s="2525">
        <f>SUMIF(N54:N58,"&lt;9e307")</f>
        <v>0</v>
      </c>
      <c r="P59" s="2526"/>
      <c r="Q59" s="1306" t="e">
        <f>O59/N51</f>
        <v>#VALUE!</v>
      </c>
    </row>
    <row r="60" spans="1:17" ht="26">
      <c r="A60" s="2082" t="s">
        <v>1798</v>
      </c>
      <c r="B60" s="3259" t="s">
        <v>1816</v>
      </c>
      <c r="C60" s="3297"/>
      <c r="D60" s="12">
        <f>IF(H60="转让取得",C83,C99)</f>
        <v>0</v>
      </c>
      <c r="E60" s="2092" t="s">
        <v>1811</v>
      </c>
      <c r="F60" s="235" t="s">
        <v>48</v>
      </c>
      <c r="G60" s="2578"/>
      <c r="H60" s="2580" t="s">
        <v>1817</v>
      </c>
      <c r="I60" s="2984"/>
      <c r="J60" s="2857"/>
      <c r="K60" s="3382"/>
      <c r="L60" s="3382"/>
      <c r="M60" s="2523" t="s">
        <v>1818</v>
      </c>
      <c r="N60" s="2527"/>
      <c r="O60" s="2528" t="str">
        <f>IF(H19="元",NUMBERSTRING(INT(O59),2)&amp;"元整",NUMBERSTRING(INT(O59*10000),2)&amp;"元整")</f>
        <v>零元整</v>
      </c>
      <c r="P60" s="2529"/>
    </row>
    <row r="61" spans="1:17" ht="26.5" thickBot="1">
      <c r="A61" s="3281" t="s">
        <v>1819</v>
      </c>
      <c r="B61" s="3282"/>
      <c r="C61" s="328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2822</v>
      </c>
      <c r="H61" s="2096" t="s">
        <v>2748</v>
      </c>
      <c r="I61" s="2885" t="s">
        <v>2834</v>
      </c>
      <c r="J61" s="2857"/>
      <c r="K61" s="3380">
        <f>K59+1</f>
        <v>6</v>
      </c>
      <c r="L61" s="3382" t="s">
        <v>1820</v>
      </c>
      <c r="M61" s="2515" t="s">
        <v>1815</v>
      </c>
      <c r="N61" s="2530"/>
      <c r="O61" s="2531" t="e">
        <f>N51-O59</f>
        <v>#VALUE!</v>
      </c>
      <c r="P61" s="2532"/>
    </row>
    <row r="62" spans="1:17" ht="12" customHeight="1">
      <c r="A62" s="1457"/>
      <c r="B62" s="2565"/>
      <c r="C62" s="2565"/>
      <c r="D62" s="2565"/>
      <c r="E62" s="1457"/>
      <c r="F62" s="2984"/>
      <c r="G62" s="2984"/>
      <c r="H62" s="2979"/>
      <c r="I62" s="947"/>
      <c r="J62" s="2857"/>
      <c r="K62" s="3381"/>
      <c r="L62" s="3382"/>
      <c r="M62" s="2523" t="s">
        <v>1818</v>
      </c>
      <c r="N62" s="2527"/>
      <c r="O62" s="2528" t="e">
        <f>IF(H19="元",NUMBERSTRING(INT(O61),2)&amp;"元整",NUMBERSTRING(INT(O61*10000),2)&amp;"元整")</f>
        <v>#VALUE!</v>
      </c>
      <c r="P62" s="2529"/>
    </row>
    <row r="63" spans="1:17" ht="13.5" thickBot="1">
      <c r="A63" s="3383" t="s">
        <v>1821</v>
      </c>
      <c r="B63" s="3383"/>
      <c r="C63" s="3383"/>
      <c r="D63" s="3383"/>
      <c r="E63" s="3383"/>
      <c r="F63" s="2984"/>
      <c r="G63" s="2984"/>
      <c r="H63" s="2979"/>
      <c r="I63" s="947"/>
      <c r="J63" s="2849"/>
      <c r="K63" s="2515">
        <f>K61+1</f>
        <v>7</v>
      </c>
      <c r="L63" s="3382" t="s">
        <v>1822</v>
      </c>
      <c r="M63" s="3382"/>
      <c r="N63" s="2533"/>
      <c r="O63" s="2534" t="e">
        <f>IF(H19="元",ROUND(O61/项目基本情况!C12,0),ROUND(O61*10000/项目基本情况!C12,0))</f>
        <v>#VALUE!</v>
      </c>
      <c r="P63" s="2535"/>
    </row>
    <row r="64" spans="1:17" ht="13">
      <c r="A64" s="3316" t="s">
        <v>1823</v>
      </c>
      <c r="B64" s="3317"/>
      <c r="C64" s="1607"/>
      <c r="D64" s="1607" t="s">
        <v>1824</v>
      </c>
      <c r="E64" s="45" t="s">
        <v>1825</v>
      </c>
      <c r="F64" s="2984"/>
      <c r="G64" s="2984"/>
      <c r="H64" s="2979"/>
      <c r="I64" s="947"/>
      <c r="J64" s="2849"/>
      <c r="K64" s="1308"/>
      <c r="L64" s="1308"/>
      <c r="M64" s="1308"/>
      <c r="N64" s="1308"/>
      <c r="O64" s="1308"/>
    </row>
    <row r="65" spans="1:36" ht="13">
      <c r="A65" s="46">
        <v>1</v>
      </c>
      <c r="B65" s="47" t="s">
        <v>1826</v>
      </c>
      <c r="C65" s="2788">
        <f>ROUND((C66+C67)/(1+'数据-取费表'!F30),0)</f>
        <v>0</v>
      </c>
      <c r="D65" s="47"/>
      <c r="E65" s="48"/>
      <c r="F65" s="2984"/>
      <c r="G65" s="2984"/>
      <c r="H65" s="2979"/>
      <c r="I65" s="947"/>
      <c r="J65" s="2849"/>
      <c r="K65" s="3390" t="s">
        <v>1827</v>
      </c>
      <c r="L65" s="1307" t="s">
        <v>1828</v>
      </c>
      <c r="M65" s="1307" t="e">
        <f>IF(N51&gt;10000,N51*0.5%,IF(AND(N51&gt;1000,N51&lt;=10000),N51*1%,IF(AND(N51&gt;100,N51&lt;=1000),N51*3%,IF(AND(N51&gt;10,N51&lt;=100),N51*5%,N51*8%))))</f>
        <v>#VALUE!</v>
      </c>
      <c r="N65" s="235" t="e">
        <f>ROUND(M65,1)</f>
        <v>#VALUE!</v>
      </c>
      <c r="O65" s="2536"/>
    </row>
    <row r="66" spans="1:36" ht="13">
      <c r="A66" s="49" t="s">
        <v>71</v>
      </c>
      <c r="B66" s="50" t="s">
        <v>1829</v>
      </c>
      <c r="C66" s="2789">
        <f>D47</f>
        <v>0</v>
      </c>
      <c r="D66" s="50" t="s">
        <v>41</v>
      </c>
      <c r="E66" s="52"/>
      <c r="F66" s="2984"/>
      <c r="G66" s="2984"/>
      <c r="H66" s="2979"/>
      <c r="I66" s="947"/>
      <c r="J66" s="2849"/>
      <c r="K66" s="3390"/>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
      <c r="A67" s="49" t="s">
        <v>72</v>
      </c>
      <c r="B67" s="50" t="s">
        <v>1832</v>
      </c>
      <c r="C67" s="2790"/>
      <c r="D67" s="50"/>
      <c r="E67" s="52"/>
      <c r="F67" s="2984"/>
      <c r="G67" s="2984"/>
      <c r="H67" s="2979"/>
      <c r="I67" s="947"/>
      <c r="J67" s="2849"/>
      <c r="K67" s="3390"/>
      <c r="L67" s="1307" t="s">
        <v>1833</v>
      </c>
      <c r="M67" s="1307" t="e">
        <f>IF(N51&gt;1000,N51*0.1%,IF(AND(N51&gt;500,N51&lt;=1000),N51*0.5%,IF(AND(N51&gt;50,N51&lt;=500),N51*1%,IF(AND(N51&gt;1,N51&lt;=50),N51*1.5%))))</f>
        <v>#VALUE!</v>
      </c>
      <c r="N67" s="235" t="e">
        <f t="shared" si="2"/>
        <v>#VALUE!</v>
      </c>
      <c r="O67" s="2536" t="s">
        <v>1831</v>
      </c>
    </row>
    <row r="68" spans="1:36" ht="13.5">
      <c r="A68" s="53" t="s">
        <v>47</v>
      </c>
      <c r="B68" s="54" t="s">
        <v>1834</v>
      </c>
      <c r="C68" s="2791"/>
      <c r="D68" s="54" t="s">
        <v>41</v>
      </c>
      <c r="E68" s="1316" t="s">
        <v>1835</v>
      </c>
      <c r="F68" s="2984"/>
      <c r="G68" s="2984"/>
      <c r="H68" s="2979"/>
      <c r="I68" s="947"/>
      <c r="J68" s="2849"/>
      <c r="K68" s="3390"/>
      <c r="L68" s="1307" t="s">
        <v>1836</v>
      </c>
      <c r="M68" s="1307" t="e">
        <f>N51*0.5%</f>
        <v>#VALUE!</v>
      </c>
      <c r="N68" s="235" t="e">
        <f>IF(M68&gt;0.5,0.5,ROUND(M68,0))</f>
        <v>#VALUE!</v>
      </c>
      <c r="O68" s="2536" t="s">
        <v>1837</v>
      </c>
    </row>
    <row r="69" spans="1:36" ht="13">
      <c r="A69" s="53" t="s">
        <v>42</v>
      </c>
      <c r="B69" s="54" t="s">
        <v>1838</v>
      </c>
      <c r="C69" s="2792">
        <f>C65-C68</f>
        <v>0</v>
      </c>
      <c r="D69" s="50" t="s">
        <v>41</v>
      </c>
      <c r="E69" s="52"/>
      <c r="F69" s="2984"/>
      <c r="G69" s="2984"/>
      <c r="H69" s="2979"/>
      <c r="I69" s="947"/>
      <c r="J69" s="2849"/>
      <c r="K69" s="3390"/>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5.5000000000000007E-2</v>
      </c>
      <c r="E70" s="57"/>
      <c r="F70" s="2984"/>
      <c r="G70" s="2984"/>
      <c r="H70" s="2979"/>
      <c r="I70" s="947"/>
      <c r="J70" s="2849"/>
      <c r="K70" s="3390"/>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90"/>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5" thickBot="1">
      <c r="A72" s="3377" t="s">
        <v>1843</v>
      </c>
      <c r="B72" s="3378"/>
      <c r="C72" s="3378"/>
      <c r="D72" s="3378"/>
      <c r="E72" s="3378"/>
      <c r="F72" s="3378"/>
      <c r="G72" s="3378"/>
      <c r="H72" s="3378"/>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
      <c r="A73" s="3316" t="s">
        <v>1823</v>
      </c>
      <c r="B73" s="3317"/>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259" t="s">
        <v>1853</v>
      </c>
      <c r="F78" s="3297"/>
      <c r="G78" s="3297"/>
      <c r="H78" s="3311"/>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5.000000000000001E-3</v>
      </c>
      <c r="E80" s="3291" t="s">
        <v>1858</v>
      </c>
      <c r="F80" s="3292"/>
      <c r="G80" s="3292"/>
      <c r="H80" s="3293"/>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6">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5" thickBot="1">
      <c r="A85" s="3377" t="s">
        <v>1862</v>
      </c>
      <c r="B85" s="3378"/>
      <c r="C85" s="3378"/>
      <c r="D85" s="3378"/>
      <c r="E85" s="3378"/>
      <c r="F85" s="3378"/>
      <c r="G85" s="3378"/>
      <c r="H85" s="3378"/>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
      <c r="A86" s="3316" t="s">
        <v>1823</v>
      </c>
      <c r="B86" s="3317"/>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
      <c r="A90" s="49" t="s">
        <v>74</v>
      </c>
      <c r="B90" s="50" t="s">
        <v>1864</v>
      </c>
      <c r="C90" s="2805"/>
      <c r="D90" s="2801"/>
      <c r="E90" s="74" t="s">
        <v>1865</v>
      </c>
      <c r="F90" s="2086"/>
      <c r="G90" s="75" t="s">
        <v>1866</v>
      </c>
      <c r="H90" s="1488"/>
      <c r="I90" s="608"/>
      <c r="J90" s="2881"/>
      <c r="K90" s="2976" t="s">
        <v>2826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
      <c r="A92" s="49" t="s">
        <v>77</v>
      </c>
      <c r="B92" s="50" t="s">
        <v>1868</v>
      </c>
      <c r="C92" s="2805"/>
      <c r="D92" s="2801"/>
      <c r="E92" s="74" t="str">
        <f>IF(H90="-","土地取得成本中已包含该笔费用"," ")</f>
        <v xml:space="preserve"> </v>
      </c>
      <c r="F92" s="2086"/>
      <c r="G92" s="3352" t="s">
        <v>2743</v>
      </c>
      <c r="H92" s="3379"/>
      <c r="I92" s="608"/>
      <c r="J92" s="2881"/>
      <c r="K92" s="2976" t="s">
        <v>2827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91" t="s">
        <v>1870</v>
      </c>
      <c r="F93" s="3292"/>
      <c r="G93" s="3292"/>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91" t="s">
        <v>1873</v>
      </c>
      <c r="F94" s="3292"/>
      <c r="G94" s="3292"/>
      <c r="H94" s="3293"/>
      <c r="I94" s="608"/>
      <c r="J94" s="2881"/>
      <c r="K94" s="2977" t="s">
        <v>2828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5.000000000000001E-3</v>
      </c>
      <c r="E95" s="3291" t="s">
        <v>1858</v>
      </c>
      <c r="F95" s="3292"/>
      <c r="G95" s="3292"/>
      <c r="H95" s="3293"/>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91" t="s">
        <v>1875</v>
      </c>
      <c r="F96" s="3292"/>
      <c r="G96" s="3292"/>
      <c r="H96" s="3293"/>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6">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4">
      <c r="A101" s="3338" t="s">
        <v>1877</v>
      </c>
      <c r="B101" s="3339"/>
      <c r="C101" s="3339"/>
      <c r="D101" s="3340"/>
      <c r="E101" s="1461"/>
      <c r="F101" s="3374" t="s">
        <v>2785</v>
      </c>
      <c r="G101" s="3375"/>
      <c r="H101" s="3375"/>
      <c r="I101" s="3376"/>
      <c r="J101" s="2884"/>
    </row>
    <row r="102" spans="1:36" ht="15.5">
      <c r="A102" s="3350" t="s">
        <v>1879</v>
      </c>
      <c r="B102" s="3351"/>
      <c r="C102" s="2807">
        <f>C4</f>
        <v>0</v>
      </c>
      <c r="D102" s="2808">
        <f>D4</f>
        <v>0</v>
      </c>
      <c r="E102" s="1461"/>
      <c r="F102" s="3262" t="s">
        <v>2786</v>
      </c>
      <c r="G102" s="3263"/>
      <c r="H102" s="3268" t="s">
        <v>2787</v>
      </c>
      <c r="I102" s="3261"/>
      <c r="J102" s="2864"/>
    </row>
    <row r="103" spans="1:36" ht="13">
      <c r="A103" s="3371" t="s">
        <v>2781</v>
      </c>
      <c r="B103" s="2309" t="str">
        <f>IF(H19="元","总价（元）","总价（万元）")</f>
        <v>总价（元）</v>
      </c>
      <c r="C103" s="1307" t="e">
        <f ca="1">C19</f>
        <v>#REF!</v>
      </c>
      <c r="D103" s="2811" t="e">
        <f ca="1">D19</f>
        <v>#REF!</v>
      </c>
      <c r="E103" s="1461"/>
      <c r="F103" s="3372"/>
      <c r="G103" s="3373"/>
      <c r="H103" s="3260">
        <f>典型户型修正!B25</f>
        <v>0</v>
      </c>
      <c r="I103" s="3261"/>
      <c r="J103" s="2864"/>
    </row>
    <row r="104" spans="1:36" ht="13">
      <c r="A104" s="3371"/>
      <c r="B104" s="2309" t="s">
        <v>2782</v>
      </c>
      <c r="C104" s="2812" t="e">
        <f ca="1">C20</f>
        <v>#REF!</v>
      </c>
      <c r="D104" s="2813" t="e">
        <f ca="1">D20</f>
        <v>#REF!</v>
      </c>
      <c r="E104" s="1461"/>
      <c r="F104" s="3272" t="s">
        <v>2788</v>
      </c>
      <c r="G104" s="3273"/>
      <c r="H104" s="2821" t="str">
        <f>C110</f>
        <v>总价（元）</v>
      </c>
      <c r="I104" s="2822">
        <f>H125</f>
        <v>0</v>
      </c>
      <c r="J104" s="2864"/>
    </row>
    <row r="105" spans="1:36" ht="13">
      <c r="A105" s="3371" t="s">
        <v>2783</v>
      </c>
      <c r="B105" s="2247" t="str">
        <f>B103</f>
        <v>总价（元）</v>
      </c>
      <c r="C105" s="12" t="e">
        <f ca="1">ROUND(IF('数据-取费表'!B4="总价",G19,IF(H19="元",G20*'数据-取费表'!E5,G20*'数据-取费表'!E5/10000)),0)</f>
        <v>#REF!</v>
      </c>
      <c r="D105" s="2814"/>
      <c r="E105" s="1461"/>
      <c r="F105" s="3272"/>
      <c r="G105" s="3273"/>
      <c r="H105" s="2821" t="s">
        <v>2789</v>
      </c>
      <c r="I105" s="52" t="e">
        <f>I125</f>
        <v>#DIV/0!</v>
      </c>
      <c r="J105" s="2848"/>
    </row>
    <row r="106" spans="1:36" ht="13">
      <c r="A106" s="3371"/>
      <c r="B106" s="2309" t="s">
        <v>2782</v>
      </c>
      <c r="C106" s="1481" t="e">
        <f ca="1">ROUND(IF('数据-取费表'!B4="楼面单价",G20,IF(H19="元",G19/'数据-取费表'!E5,G19*10000/'数据-取费表'!E5)),0)</f>
        <v>#REF!</v>
      </c>
      <c r="D106" s="2814"/>
      <c r="E106" s="1461"/>
      <c r="F106" s="3272"/>
      <c r="G106" s="3273"/>
      <c r="H106" s="3332"/>
      <c r="I106" s="3333"/>
      <c r="J106" s="2865"/>
    </row>
    <row r="107" spans="1:36" ht="13">
      <c r="A107" s="3365" t="s">
        <v>2784</v>
      </c>
      <c r="B107" s="2815" t="str">
        <f>B103</f>
        <v>总价（元）</v>
      </c>
      <c r="C107" s="2816">
        <f>H125</f>
        <v>0</v>
      </c>
      <c r="D107" s="2817"/>
      <c r="E107" s="1461"/>
      <c r="F107" s="3336" t="s">
        <v>2790</v>
      </c>
      <c r="G107" s="3337"/>
      <c r="H107" s="2823" t="str">
        <f>C112</f>
        <v>总额（元）</v>
      </c>
      <c r="I107" s="2822">
        <f>SUMIF(I108:I110,"&lt;9E307")</f>
        <v>0</v>
      </c>
      <c r="J107" s="2864"/>
    </row>
    <row r="108" spans="1:36" ht="14.5" thickBot="1">
      <c r="A108" s="3331"/>
      <c r="B108" s="2818" t="s">
        <v>2782</v>
      </c>
      <c r="C108" s="2819" t="e">
        <f>I125</f>
        <v>#DIV/0!</v>
      </c>
      <c r="D108" s="2820"/>
      <c r="E108" s="1461"/>
      <c r="F108" s="3274" t="s">
        <v>2791</v>
      </c>
      <c r="G108" s="3275"/>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4">
      <c r="A109" s="3368" t="s">
        <v>1880</v>
      </c>
      <c r="B109" s="3369"/>
      <c r="C109" s="3369"/>
      <c r="D109" s="3370"/>
      <c r="E109" s="1461"/>
      <c r="F109" s="3274" t="s">
        <v>2792</v>
      </c>
      <c r="G109" s="3275"/>
      <c r="H109" s="2823" t="str">
        <f>C114</f>
        <v>总额（元）</v>
      </c>
      <c r="I109" s="52">
        <f>C39</f>
        <v>0</v>
      </c>
      <c r="J109" s="2848"/>
    </row>
    <row r="110" spans="1:36" ht="13">
      <c r="A110" s="3272" t="s">
        <v>2795</v>
      </c>
      <c r="B110" s="3273"/>
      <c r="C110" s="2821" t="str">
        <f>B103</f>
        <v>总价（元）</v>
      </c>
      <c r="D110" s="2822">
        <f>H125</f>
        <v>0</v>
      </c>
      <c r="E110" s="1461"/>
      <c r="F110" s="3274" t="s">
        <v>2793</v>
      </c>
      <c r="G110" s="3275"/>
      <c r="H110" s="2823" t="str">
        <f>C115</f>
        <v>总额（元）</v>
      </c>
      <c r="I110" s="52">
        <f>C40</f>
        <v>0</v>
      </c>
      <c r="J110" s="2848"/>
    </row>
    <row r="111" spans="1:36" ht="13">
      <c r="A111" s="3272"/>
      <c r="B111" s="3273"/>
      <c r="C111" s="2821" t="s">
        <v>2796</v>
      </c>
      <c r="D111" s="52" t="e">
        <f>I125</f>
        <v>#DIV/0!</v>
      </c>
      <c r="E111" s="1461"/>
      <c r="F111" s="3272"/>
      <c r="G111" s="3273"/>
      <c r="H111" s="3334"/>
      <c r="I111" s="3335"/>
      <c r="J111" s="2866"/>
    </row>
    <row r="112" spans="1:36" ht="28.5" customHeight="1">
      <c r="A112" s="3279" t="s">
        <v>2790</v>
      </c>
      <c r="B112" s="3280"/>
      <c r="C112" s="2823" t="str">
        <f>IF(H19="元","总额（元）","总额（万元）")</f>
        <v>总额（元）</v>
      </c>
      <c r="D112" s="2822">
        <f>IF(D38="正常操作",I108+I109+I110,I109+I110)</f>
        <v>0</v>
      </c>
      <c r="E112" s="1461"/>
      <c r="F112" s="3264" t="str">
        <f>IF(项目基本情况!F5="已注销","——","3.房地产抵押价值")</f>
        <v>3.房地产抵押价值</v>
      </c>
      <c r="G112" s="3265"/>
      <c r="H112" s="1481" t="str">
        <f>C116</f>
        <v>总价（元）</v>
      </c>
      <c r="I112" s="2822">
        <f>IF(F112="——","——",I104-I107)</f>
        <v>0</v>
      </c>
      <c r="J112" s="2864"/>
    </row>
    <row r="113" spans="1:27" ht="13">
      <c r="A113" s="3274" t="s">
        <v>2797</v>
      </c>
      <c r="B113" s="3275"/>
      <c r="C113" s="2823" t="str">
        <f>C112</f>
        <v>总额（元）</v>
      </c>
      <c r="D113" s="52">
        <f>IF(D38="同一抵押权人同一抵押物续贷",C38&amp;"（未扣减，详见特别提示）",C38)</f>
        <v>0</v>
      </c>
      <c r="E113" s="1461"/>
      <c r="F113" s="3363"/>
      <c r="G113" s="3364"/>
      <c r="H113" s="2821" t="s">
        <v>2789</v>
      </c>
      <c r="I113" s="2825" t="e">
        <f>D117</f>
        <v>#DIV/0!</v>
      </c>
      <c r="J113" s="2867"/>
    </row>
    <row r="114" spans="1:27" ht="13">
      <c r="A114" s="3274" t="s">
        <v>2798</v>
      </c>
      <c r="B114" s="3275"/>
      <c r="C114" s="2823" t="str">
        <f>C112</f>
        <v>总额（元）</v>
      </c>
      <c r="D114" s="52">
        <f>C39</f>
        <v>0</v>
      </c>
      <c r="E114" s="1461"/>
      <c r="F114" s="3264" t="str">
        <f>IF(项目基本情况!F5="已注销及未注销","4.抵押担保权已注销时的房地产抵押价值",IF(项目基本情况!F5="已注销","3.抵押担保权已注销时的房地产抵押价值","——"))</f>
        <v>——</v>
      </c>
      <c r="G114" s="3265"/>
      <c r="H114" s="1481" t="str">
        <f>C118</f>
        <v>总价（元）</v>
      </c>
      <c r="I114" s="2822" t="str">
        <f>IF(F114="——","——",I104-I109-I110)</f>
        <v>——</v>
      </c>
      <c r="J114" s="2864"/>
    </row>
    <row r="115" spans="1:27" ht="13">
      <c r="A115" s="3274" t="s">
        <v>2799</v>
      </c>
      <c r="B115" s="3275"/>
      <c r="C115" s="2823" t="str">
        <f>C112</f>
        <v>总额（元）</v>
      </c>
      <c r="D115" s="52">
        <f>C40</f>
        <v>0</v>
      </c>
      <c r="E115" s="1461"/>
      <c r="F115" s="3363"/>
      <c r="G115" s="3364"/>
      <c r="H115" s="2821" t="s">
        <v>2789</v>
      </c>
      <c r="I115" s="52" t="str">
        <f>D119</f>
        <v>——</v>
      </c>
      <c r="J115" s="2848"/>
    </row>
    <row r="116" spans="1:27" ht="13">
      <c r="A116" s="3272" t="str">
        <f>IF(项目基本情况!F5="已注销","——","3.房地产抵押价值")</f>
        <v>3.房地产抵押价值</v>
      </c>
      <c r="B116" s="3273"/>
      <c r="C116" s="2821" t="str">
        <f>B103</f>
        <v>总价（元）</v>
      </c>
      <c r="D116" s="2822">
        <f>IF(A116="——","——",D110-D112)</f>
        <v>0</v>
      </c>
      <c r="E116" s="1461"/>
      <c r="F116" s="3264" t="str">
        <f>IF(项目基本情况!G5="抵押净值",IF(OR(项目基本情况!F5="已注销",项目基本情况!F5="房地产抵押价值"),"4.抵押净值","5.抵押净值"),"——")</f>
        <v>——</v>
      </c>
      <c r="G116" s="3265"/>
      <c r="H116" s="2821" t="str">
        <f>C120</f>
        <v>总价（元）</v>
      </c>
      <c r="I116" s="2822" t="str">
        <f>IF(F116="——","——",O61)</f>
        <v>——</v>
      </c>
      <c r="J116" s="2864"/>
    </row>
    <row r="117" spans="1:27" ht="13.5" thickBot="1">
      <c r="A117" s="3272"/>
      <c r="B117" s="3273"/>
      <c r="C117" s="2821" t="s">
        <v>2796</v>
      </c>
      <c r="D117" s="52" t="e">
        <f>ROUND(IF(D116=D110,D111,IF(H19="元",D116/B125,D116*10000/B125)),0)</f>
        <v>#DIV/0!</v>
      </c>
      <c r="E117" s="1461"/>
      <c r="F117" s="3266"/>
      <c r="G117" s="3267"/>
      <c r="H117" s="2826" t="s">
        <v>2789</v>
      </c>
      <c r="I117" s="2810" t="str">
        <f>D121</f>
        <v>——</v>
      </c>
      <c r="J117" s="2848"/>
    </row>
    <row r="118" spans="1:27" ht="15.5">
      <c r="A118" s="3272" t="str">
        <f>IF(项目基本情况!F5="已注销及未注销","4.抵押担保权已注销时的房地产抵押价值",IF(项目基本情况!F5="已注销","3.抵押担保权已注销时的房地产抵押价值","——"))</f>
        <v>——</v>
      </c>
      <c r="B118" s="3273"/>
      <c r="C118" s="2821" t="str">
        <f>B103</f>
        <v>总价（元）</v>
      </c>
      <c r="D118" s="2822" t="str">
        <f>IF(A118="——","——",D110-D114-D115)</f>
        <v>——</v>
      </c>
      <c r="E118" s="1461"/>
      <c r="F118" s="3358"/>
      <c r="G118" s="3358"/>
      <c r="H118" s="3322"/>
      <c r="I118" s="3322"/>
      <c r="J118" s="2868"/>
      <c r="O118" s="32"/>
      <c r="P118" s="32"/>
    </row>
    <row r="119" spans="1:27" s="1308" customFormat="1" ht="13">
      <c r="A119" s="3272"/>
      <c r="B119" s="3273"/>
      <c r="C119" s="2821" t="s">
        <v>2796</v>
      </c>
      <c r="D119" s="52" t="str">
        <f>IF(A118="——","——",IF(H19="元",ROUND(D118/B125,0),ROUND(D118*10000/B125,0)))</f>
        <v>——</v>
      </c>
      <c r="E119" s="1461"/>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
      <c r="A120" s="3272" t="str">
        <f>IF(项目基本情况!G5="抵押净值",IF(OR(项目基本情况!F5="已注销",项目基本情况!F5="房地产抵押价值"),"4.抵押净值","5.抵押净值"),"——")</f>
        <v>——</v>
      </c>
      <c r="B120" s="3273"/>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7"/>
      <c r="B121" s="3278"/>
      <c r="C121" s="2826" t="s">
        <v>2796</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
      <c r="A122" s="3323" t="s">
        <v>1919</v>
      </c>
      <c r="B122" s="3324"/>
      <c r="C122" s="3324"/>
      <c r="D122" s="3324"/>
      <c r="E122" s="3324"/>
      <c r="F122" s="3324"/>
      <c r="G122" s="3324"/>
      <c r="H122" s="3324"/>
      <c r="I122" s="3324"/>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5">
      <c r="A123" s="3257" t="s">
        <v>2800</v>
      </c>
      <c r="B123" s="3283" t="s">
        <v>2801</v>
      </c>
      <c r="C123" s="3283" t="s">
        <v>2807</v>
      </c>
      <c r="D123" s="3345" t="s">
        <v>2802</v>
      </c>
      <c r="E123" s="3346"/>
      <c r="F123" s="3258" t="s">
        <v>2808</v>
      </c>
      <c r="G123" s="3258"/>
      <c r="H123" s="3258" t="s">
        <v>2803</v>
      </c>
      <c r="I123" s="3344"/>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
      <c r="A124" s="3257"/>
      <c r="B124" s="3284"/>
      <c r="C124" s="3284"/>
      <c r="D124" s="2092" t="s">
        <v>2804</v>
      </c>
      <c r="E124" s="2092" t="s">
        <v>2809</v>
      </c>
      <c r="F124" s="2092" t="s">
        <v>2804</v>
      </c>
      <c r="G124" s="2092" t="s">
        <v>2805</v>
      </c>
      <c r="H124" s="2092" t="s">
        <v>2804</v>
      </c>
      <c r="I124" s="52" t="s">
        <v>2805</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5">
      <c r="A126" s="3257" t="s">
        <v>2806</v>
      </c>
      <c r="B126" s="3258"/>
      <c r="C126" s="3258"/>
      <c r="D126" s="3285" t="str">
        <f>IF(H19="元",NUMBERSTRING(INT(D125),2)&amp;"元整",NUMBERSTRING(INT(D125*10000),2)&amp;"元整")</f>
        <v>零元整</v>
      </c>
      <c r="E126" s="3328"/>
      <c r="F126" s="3285" t="str">
        <f>IF(H19="元",NUMBERSTRING(INT(F125),2)&amp;"元整",NUMBERSTRING(INT(F125*10000),2)&amp;"元整")</f>
        <v>零元整</v>
      </c>
      <c r="G126" s="3328"/>
      <c r="H126" s="3285" t="str">
        <f>IF(H19="元",NUMBERSTRING(INT(H125),2)&amp;"元整",NUMBERSTRING(INT(H125*10000),2)&amp;"元整")</f>
        <v>零元整</v>
      </c>
      <c r="I126" s="3286"/>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
      <c r="A127" s="3262" t="str">
        <f>IF(项目基本情况!D5="房地产市场价值","——",MID(A112,3,LEN(A112)-2))</f>
        <v>——</v>
      </c>
      <c r="B127" s="3268"/>
      <c r="C127" s="3263"/>
      <c r="D127" s="3260">
        <f>I107</f>
        <v>0</v>
      </c>
      <c r="E127" s="3268"/>
      <c r="F127" s="3268"/>
      <c r="G127" s="3268"/>
      <c r="H127" s="3268"/>
      <c r="I127" s="3261"/>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5">
      <c r="A128" s="3329" t="s">
        <v>2806</v>
      </c>
      <c r="B128" s="3297"/>
      <c r="C128" s="3298"/>
      <c r="D128" s="3269">
        <f>H111</f>
        <v>0</v>
      </c>
      <c r="E128" s="3270"/>
      <c r="F128" s="3270"/>
      <c r="G128" s="3270"/>
      <c r="H128" s="3270"/>
      <c r="I128" s="3271"/>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
      <c r="A129" s="3272" t="str">
        <f>IF(项目基本情况!D5="房地产市场价值","——",MID(A116,3,LEN(A116)-2))</f>
        <v>——</v>
      </c>
      <c r="B129" s="3273"/>
      <c r="C129" s="3273"/>
      <c r="D129" s="3260">
        <f>I112</f>
        <v>0</v>
      </c>
      <c r="E129" s="3268"/>
      <c r="F129" s="3268"/>
      <c r="G129" s="3268"/>
      <c r="H129" s="3268"/>
      <c r="I129" s="3261"/>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5">
      <c r="A130" s="3257" t="s">
        <v>2806</v>
      </c>
      <c r="B130" s="3258"/>
      <c r="C130" s="3258"/>
      <c r="D130" s="3269" t="e">
        <f>I113</f>
        <v>#DIV/0!</v>
      </c>
      <c r="E130" s="3270"/>
      <c r="F130" s="3270"/>
      <c r="G130" s="3270"/>
      <c r="H130" s="3270"/>
      <c r="I130" s="3271"/>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2" t="str">
        <f>IF(项目基本情况!D5="房地产市场价值","——",MID(A118,3,LEN(A118)-2))</f>
        <v>——</v>
      </c>
      <c r="B131" s="3273"/>
      <c r="C131" s="3273"/>
      <c r="D131" s="3305" t="str">
        <f>I114</f>
        <v>——</v>
      </c>
      <c r="E131" s="3306"/>
      <c r="F131" s="3306"/>
      <c r="G131" s="3306"/>
      <c r="H131" s="3306"/>
      <c r="I131" s="3357"/>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3.5" thickTop="1" thickBot="1">
      <c r="A132" s="3257" t="s">
        <v>2806</v>
      </c>
      <c r="B132" s="3258"/>
      <c r="C132" s="3259"/>
      <c r="D132" s="3321" t="str">
        <f>I115</f>
        <v>——</v>
      </c>
      <c r="E132" s="3321"/>
      <c r="F132" s="3321"/>
      <c r="G132" s="3321"/>
      <c r="H132" s="3321"/>
      <c r="I132" s="3321"/>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 thickTop="1" thickBot="1">
      <c r="A133" s="3272" t="str">
        <f>IF(项目基本情况!D5="房地产市场价值","——",MID(F116,3,LEN(F116)-2))</f>
        <v>——</v>
      </c>
      <c r="B133" s="3273"/>
      <c r="C133" s="3260"/>
      <c r="D133" s="3276" t="str">
        <f>I116</f>
        <v>——</v>
      </c>
      <c r="E133" s="3276"/>
      <c r="F133" s="3276"/>
      <c r="G133" s="3276"/>
      <c r="H133" s="3276"/>
      <c r="I133" s="3276"/>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3.5" thickTop="1" thickBot="1">
      <c r="A134" s="3281" t="s">
        <v>2806</v>
      </c>
      <c r="B134" s="3282"/>
      <c r="C134" s="3282"/>
      <c r="D134" s="3287">
        <f>H118</f>
        <v>0</v>
      </c>
      <c r="E134" s="3288"/>
      <c r="F134" s="3288"/>
      <c r="G134" s="3288"/>
      <c r="H134" s="3288"/>
      <c r="I134" s="3289"/>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 thickBot="1">
      <c r="A136" s="3255" t="str">
        <f>IF(B33="总价","（以上估价结果中楼面单价为总价除以建筑面积得出）","（以上估价结果中总价为楼面单价乘以建筑面积得出）")</f>
        <v>（以上估价结果中总价为楼面单价乘以建筑面积得出）</v>
      </c>
      <c r="B136" s="3255"/>
      <c r="C136" s="3255"/>
      <c r="D136" s="3255"/>
      <c r="E136" s="3255"/>
      <c r="F136" s="3255"/>
      <c r="G136" s="3255"/>
      <c r="H136" s="3255"/>
      <c r="I136" s="3255"/>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92D050"/>
    <pageSetUpPr fitToPage="1"/>
  </sheetPr>
  <dimension ref="A1:AK75"/>
  <sheetViews>
    <sheetView view="pageBreakPreview" zoomScaleNormal="60" zoomScaleSheetLayoutView="100" workbookViewId="0">
      <selection activeCell="E3" sqref="E3"/>
    </sheetView>
  </sheetViews>
  <sheetFormatPr defaultColWidth="9" defaultRowHeight="15.5"/>
  <cols>
    <col min="1" max="1" width="9" style="225" customWidth="1"/>
    <col min="2" max="2" width="20.6328125" style="287" customWidth="1"/>
    <col min="3" max="3" width="11.90625" style="287" customWidth="1"/>
    <col min="4" max="4" width="40.453125" style="225" customWidth="1"/>
    <col min="5" max="5" width="15.7265625" style="225" customWidth="1"/>
    <col min="6" max="6" width="10.6328125" style="225" customWidth="1"/>
    <col min="7" max="7" width="4.90625" style="225" customWidth="1"/>
    <col min="8" max="8" width="8.453125" style="225" customWidth="1"/>
    <col min="9" max="9" width="21.26953125" style="225" customWidth="1"/>
    <col min="10" max="10" width="12.26953125" style="225" customWidth="1"/>
    <col min="11" max="11" width="40.08984375" style="277" customWidth="1"/>
    <col min="12" max="12" width="18.36328125" style="225" customWidth="1"/>
    <col min="13" max="13" width="13" style="225" customWidth="1"/>
    <col min="14" max="14" width="13.08984375" style="652" customWidth="1"/>
    <col min="15" max="15" width="5.26953125" style="652" customWidth="1"/>
    <col min="16" max="16" width="24.90625" style="652" customWidth="1"/>
    <col min="17" max="17" width="13.7265625" style="656" customWidth="1"/>
    <col min="18" max="18" width="26.08984375" style="652" customWidth="1"/>
    <col min="19" max="19" width="1.453125" style="652" customWidth="1"/>
    <col min="20" max="37" width="9" style="652"/>
    <col min="38" max="16384" width="9" style="225"/>
  </cols>
  <sheetData>
    <row r="1" spans="1:37" s="223" customFormat="1" ht="21">
      <c r="A1" s="221" t="s">
        <v>2011</v>
      </c>
      <c r="B1" s="222"/>
      <c r="C1" s="611"/>
      <c r="D1" s="1625" t="s">
        <v>2755</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-218135</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-3973</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2733</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2707</v>
      </c>
      <c r="E6" s="235" t="s">
        <v>2023</v>
      </c>
      <c r="F6" s="236">
        <f>'数据-取费表'!B30</f>
        <v>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132861</v>
      </c>
      <c r="D13" s="1094" t="s">
        <v>2038</v>
      </c>
      <c r="E13" s="1094" t="s">
        <v>2039</v>
      </c>
      <c r="F13" s="1095">
        <f>'数据-取费表'!E20</f>
        <v>0.75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109820</v>
      </c>
      <c r="D14" s="1328" t="s">
        <v>2042</v>
      </c>
      <c r="E14" s="1329"/>
      <c r="F14" s="799"/>
      <c r="G14" s="952"/>
      <c r="H14" s="253" t="s">
        <v>2021</v>
      </c>
      <c r="I14" s="235" t="s">
        <v>2043</v>
      </c>
      <c r="J14" s="13">
        <f ca="1">C29</f>
        <v>177148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3295</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5491</v>
      </c>
      <c r="D16" s="235" t="s">
        <v>2046</v>
      </c>
      <c r="E16" s="235" t="s">
        <v>2047</v>
      </c>
      <c r="F16" s="258">
        <f>IF('数据-取费表'!B10="住宅",'数据-取费表'!E22,0)</f>
        <v>0.05</v>
      </c>
      <c r="G16" s="952"/>
      <c r="H16" s="1092" t="s">
        <v>14</v>
      </c>
      <c r="I16" s="1093" t="s">
        <v>2052</v>
      </c>
      <c r="J16" s="243">
        <f ca="1">ROUND(J17+J22+J23+J24,0)</f>
        <v>3543</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10982</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1647</v>
      </c>
      <c r="D18" s="235" t="s">
        <v>2046</v>
      </c>
      <c r="E18" s="235" t="s">
        <v>2047</v>
      </c>
      <c r="F18" s="258">
        <f>'数据-取费表'!E24</f>
        <v>1.4999999999999999E-2</v>
      </c>
      <c r="G18" s="951"/>
      <c r="H18" s="253" t="s">
        <v>2064</v>
      </c>
      <c r="I18" s="235" t="s">
        <v>2065</v>
      </c>
      <c r="J18" s="13" t="str">
        <f>IF(项目基本情况!B7="自然人","——",ROUND(J6*M18/(1+'数据-取费表'!F30),0))</f>
        <v>——</v>
      </c>
      <c r="K18" s="1331" t="s">
        <v>2735</v>
      </c>
      <c r="L18" s="235" t="s">
        <v>2047</v>
      </c>
      <c r="M18" s="258">
        <f>'数据-取费表'!E29</f>
        <v>5.5000000000000007E-2</v>
      </c>
    </row>
    <row r="19" spans="1:37" s="257" customFormat="1" ht="18" customHeight="1">
      <c r="A19" s="253" t="s">
        <v>2058</v>
      </c>
      <c r="B19" s="235" t="s">
        <v>2066</v>
      </c>
      <c r="C19" s="13">
        <f>SUM(C14:C18)</f>
        <v>131235</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2625</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f ca="1">ROUND(J14*M22,0)</f>
        <v>3543</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2911</v>
      </c>
      <c r="D23" s="1432" t="str">
        <f>IF(F23&lt;=1,"(建造成本+管理费用)×利率×(建设周期÷2)","(建造成本+管理费用)×((1+利率)^(建设周期÷2)-1)")</f>
        <v>(建造成本+管理费用)×利率×(建设周期÷2)</v>
      </c>
      <c r="E23" s="235" t="s">
        <v>2086</v>
      </c>
      <c r="F23" s="262">
        <f>'数据-取费表'!B22</f>
        <v>1</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4.0000000000000002E-4</v>
      </c>
      <c r="D24" s="1432" t="str">
        <f>IF(F23&lt;=1,"销售费用×利率×(建设周期÷2)","销售费用×((1+利率)^(建设周期÷2)-1)")</f>
        <v>销售费用×利率×(建设周期÷2)</v>
      </c>
      <c r="E24" s="235" t="s">
        <v>2092</v>
      </c>
      <c r="F24" s="267">
        <f ca="1">'数据-取费表'!E27</f>
        <v>4.3499999999999997E-2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-3543</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26772</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177148</v>
      </c>
      <c r="D29" s="1105"/>
      <c r="E29" s="1103"/>
      <c r="F29" s="1106"/>
      <c r="G29" s="652"/>
      <c r="H29" s="271" t="s">
        <v>24</v>
      </c>
      <c r="I29" s="272" t="s">
        <v>2116</v>
      </c>
      <c r="J29" s="273">
        <f ca="1">ROUND(J26/(1+F40)^F41,0)</f>
        <v>0</v>
      </c>
      <c r="K29" s="274" t="s">
        <v>2117</v>
      </c>
      <c r="L29" s="275"/>
      <c r="M29" s="276">
        <f>IF(D1="仅计算典型户型",'数据-取费表'!E5,'数据-取费表'!B5)</f>
        <v>54.91</v>
      </c>
    </row>
    <row r="30" spans="1:37" ht="18" customHeight="1" thickTop="1">
      <c r="A30" s="1092" t="s">
        <v>14</v>
      </c>
      <c r="B30" s="1093" t="s">
        <v>2118</v>
      </c>
      <c r="C30" s="243">
        <f ca="1">ROUND(C31+C36+C37+C38,0)</f>
        <v>3809</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2734</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9965</v>
      </c>
      <c r="K34" s="945"/>
      <c r="L34" s="946"/>
      <c r="M34" s="946"/>
    </row>
    <row r="35" spans="1:18" ht="24.65" customHeight="1">
      <c r="A35" s="1061"/>
      <c r="B35" s="244"/>
      <c r="C35" s="17"/>
      <c r="D35" s="264"/>
      <c r="E35" s="235" t="s">
        <v>2080</v>
      </c>
      <c r="F35" s="236">
        <f>IF(D1="仅计算典型户型",'数据-取费表'!E6,'数据-取费表'!B6)</f>
        <v>0</v>
      </c>
      <c r="G35" s="652" t="s">
        <v>2823</v>
      </c>
      <c r="H35" s="931"/>
      <c r="I35" s="282" t="s">
        <v>2126</v>
      </c>
      <c r="J35" s="283">
        <f>'数据-取费表'!B18</f>
        <v>7.4999999999999997E-2</v>
      </c>
      <c r="K35" s="944"/>
      <c r="L35" s="943"/>
      <c r="M35" s="943"/>
    </row>
    <row r="36" spans="1:18" ht="18" customHeight="1">
      <c r="A36" s="1060" t="s">
        <v>2028</v>
      </c>
      <c r="B36" s="235" t="s">
        <v>2127</v>
      </c>
      <c r="C36" s="13">
        <f ca="1">ROUND(C29*F36,0)</f>
        <v>3543</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266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0.02</v>
      </c>
      <c r="G38" s="652"/>
      <c r="H38" s="943"/>
      <c r="I38" s="280" t="s">
        <v>2131</v>
      </c>
      <c r="J38" s="136">
        <f ca="1">ROUND(J34/C39,3)</f>
        <v>-2.6160000000000001</v>
      </c>
      <c r="K38" s="948"/>
      <c r="L38" s="943"/>
      <c r="M38" s="943"/>
    </row>
    <row r="39" spans="1:18" ht="18" customHeight="1" thickTop="1">
      <c r="A39" s="1092" t="s">
        <v>22</v>
      </c>
      <c r="B39" s="1107" t="s">
        <v>2132</v>
      </c>
      <c r="C39" s="243">
        <f ca="1">C5-C30</f>
        <v>-3809</v>
      </c>
      <c r="D39" s="1108" t="s">
        <v>2133</v>
      </c>
      <c r="E39" s="1109"/>
      <c r="F39" s="1110"/>
      <c r="G39" s="652"/>
      <c r="H39" s="943"/>
      <c r="I39" s="280" t="s">
        <v>2134</v>
      </c>
      <c r="J39" s="136">
        <f ca="1">1-J38</f>
        <v>3.6160000000000001</v>
      </c>
      <c r="K39" s="948"/>
      <c r="L39" s="943"/>
      <c r="M39" s="943"/>
    </row>
    <row r="40" spans="1:18" s="652" customFormat="1" ht="18" customHeight="1">
      <c r="A40" s="232" t="s">
        <v>23</v>
      </c>
      <c r="B40" s="233" t="s">
        <v>2135</v>
      </c>
      <c r="C40" s="234">
        <f ca="1">ROUND(C39*(1-((1+F42)/(1+F40))^F41)/(F40-F42),0)</f>
        <v>-218135</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70</v>
      </c>
      <c r="H41" s="950"/>
      <c r="I41" s="135" t="s">
        <v>2009</v>
      </c>
      <c r="J41" s="136">
        <f ca="1">ROUND(C13/C40,3)</f>
        <v>-0.60899999999999999</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1.609</v>
      </c>
      <c r="K42" s="947"/>
      <c r="L42" s="950"/>
      <c r="M42" s="950"/>
      <c r="Q42" s="656"/>
    </row>
    <row r="43" spans="1:18" s="652" customFormat="1" ht="18" customHeight="1" thickBot="1">
      <c r="A43" s="271" t="s">
        <v>24</v>
      </c>
      <c r="B43" s="272" t="s">
        <v>2138</v>
      </c>
      <c r="C43" s="273">
        <f ca="1">ROUND(C40/F43,0)</f>
        <v>-3973</v>
      </c>
      <c r="D43" s="274" t="s">
        <v>2139</v>
      </c>
      <c r="E43" s="275" t="s">
        <v>2140</v>
      </c>
      <c r="F43" s="276">
        <f>IF(D1="仅计算典型户型",'数据-取费表'!E5,'数据-取费表'!B5)</f>
        <v>54.91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-218135</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5" thickBot="1">
      <c r="A47" s="1527" t="s">
        <v>2150</v>
      </c>
      <c r="C47" s="992">
        <f ca="1">IF(C2="元",C69-C40,ROUND((C69-C40)/10000,0))</f>
        <v>129025</v>
      </c>
      <c r="D47" s="1528" t="str">
        <f>C2</f>
        <v>元</v>
      </c>
      <c r="E47" s="649"/>
      <c r="F47" s="649"/>
      <c r="I47" s="1529" t="s">
        <v>2151</v>
      </c>
      <c r="J47" s="1023"/>
      <c r="K47" s="1024"/>
      <c r="L47" s="1037">
        <f>IF(M48="住宅",0,IF(L49&gt;J52,L61,J61))</f>
        <v>0</v>
      </c>
      <c r="O47" s="1051" t="s">
        <v>951</v>
      </c>
      <c r="P47" s="1048" t="s">
        <v>2152</v>
      </c>
      <c r="Q47" s="1049">
        <f ca="1">C29</f>
        <v>177148</v>
      </c>
      <c r="R47" s="1050" t="s">
        <v>2147</v>
      </c>
    </row>
    <row r="48" spans="1:18" s="652" customFormat="1" ht="16"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6.5" thickBot="1">
      <c r="A49" s="1127" t="s">
        <v>1019</v>
      </c>
      <c r="B49" s="233" t="s">
        <v>2161</v>
      </c>
      <c r="C49" s="1128">
        <f ca="1">C50+C54+C56</f>
        <v>0</v>
      </c>
      <c r="D49" s="1129"/>
      <c r="E49" s="44"/>
      <c r="F49" s="15"/>
      <c r="I49" s="1533" t="s">
        <v>2162</v>
      </c>
      <c r="J49" s="1534"/>
      <c r="K49" s="1535" t="s">
        <v>2163</v>
      </c>
      <c r="L49" s="863">
        <f>'数据-取费表'!B13</f>
        <v>70</v>
      </c>
      <c r="O49" s="1051" t="s">
        <v>953</v>
      </c>
      <c r="P49" s="1048" t="s">
        <v>2164</v>
      </c>
      <c r="Q49" s="1052">
        <f>J53</f>
        <v>0</v>
      </c>
      <c r="R49" s="1050"/>
    </row>
    <row r="50" spans="1:18" s="652" customFormat="1" ht="16" thickBot="1">
      <c r="A50" s="260" t="s">
        <v>2021</v>
      </c>
      <c r="B50" s="1442" t="s">
        <v>2165</v>
      </c>
      <c r="C50" s="234">
        <f>ROUND(F50*F52*F51*(1-F53),0)</f>
        <v>0</v>
      </c>
      <c r="D50" s="42" t="s">
        <v>2708</v>
      </c>
      <c r="E50" s="1536" t="s">
        <v>2166</v>
      </c>
      <c r="F50" s="988"/>
      <c r="I50" s="1533" t="s">
        <v>2167</v>
      </c>
      <c r="J50" s="863">
        <f>'数据-取费表'!B27</f>
        <v>1986</v>
      </c>
      <c r="K50" s="1537" t="s">
        <v>2168</v>
      </c>
      <c r="L50" s="1026"/>
      <c r="O50" s="1051" t="s">
        <v>954</v>
      </c>
      <c r="P50" s="1048" t="s">
        <v>2169</v>
      </c>
      <c r="Q50" s="1049">
        <f>J54</f>
        <v>70</v>
      </c>
      <c r="R50" s="1050" t="s">
        <v>2170</v>
      </c>
    </row>
    <row r="51" spans="1:18" s="652" customFormat="1" ht="16"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-218135</v>
      </c>
      <c r="R51" s="1050" t="s">
        <v>956</v>
      </c>
    </row>
    <row r="52" spans="1:18" s="652" customFormat="1" ht="16" thickBot="1">
      <c r="A52" s="237"/>
      <c r="B52" s="238"/>
      <c r="C52" s="239"/>
      <c r="D52" s="240"/>
      <c r="E52" s="235" t="s">
        <v>2026</v>
      </c>
      <c r="F52" s="236">
        <f>F8</f>
        <v>12</v>
      </c>
      <c r="I52" s="1538" t="s">
        <v>2173</v>
      </c>
      <c r="J52" s="1028">
        <f>IF(J50="",J51,J50+J51-YEAR('数据-取费表'!B2))</f>
        <v>-34</v>
      </c>
      <c r="K52" s="1539" t="s">
        <v>2174</v>
      </c>
      <c r="L52" s="1029">
        <f ca="1">ROUND(-PV('数据-取费表'!B15,J52,(C40-C13*J35)),0)</f>
        <v>15934559</v>
      </c>
      <c r="O52" s="1041" t="s">
        <v>2175</v>
      </c>
      <c r="P52" s="1042"/>
      <c r="Q52" s="1038"/>
      <c r="R52" s="1042"/>
    </row>
    <row r="53" spans="1:18" s="652" customFormat="1" ht="16"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70</v>
      </c>
      <c r="K54" s="3394" t="s">
        <v>2706</v>
      </c>
      <c r="L54" s="3395"/>
      <c r="O54" s="1047" t="s">
        <v>949</v>
      </c>
      <c r="P54" s="1048" t="s">
        <v>2146</v>
      </c>
      <c r="Q54" s="1049">
        <f ca="1">C40+J29</f>
        <v>-218135</v>
      </c>
      <c r="R54" s="1050" t="s">
        <v>2147</v>
      </c>
    </row>
    <row r="55" spans="1:18" s="652" customFormat="1" ht="17"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17"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6" thickTop="1" thickBot="1">
      <c r="A57" s="1092">
        <v>2</v>
      </c>
      <c r="B57" s="1093" t="s">
        <v>2037</v>
      </c>
      <c r="C57" s="1151">
        <f ca="1">C13</f>
        <v>132861</v>
      </c>
      <c r="D57" s="983"/>
      <c r="E57" s="984"/>
      <c r="F57" s="991"/>
      <c r="I57" s="1547" t="s">
        <v>2183</v>
      </c>
      <c r="J57" s="1035"/>
      <c r="K57" s="1533" t="s">
        <v>2184</v>
      </c>
      <c r="L57" s="863">
        <f>IF(L49&lt;J52,"——",L49-J52)</f>
        <v>104</v>
      </c>
      <c r="O57" s="1051" t="s">
        <v>952</v>
      </c>
      <c r="P57" s="1048" t="s">
        <v>2185</v>
      </c>
      <c r="Q57" s="1052">
        <f>L53</f>
        <v>0</v>
      </c>
      <c r="R57" s="1050"/>
    </row>
    <row r="58" spans="1:18" s="652" customFormat="1" ht="30.5" thickBot="1">
      <c r="A58" s="990"/>
      <c r="B58" s="235" t="s">
        <v>2115</v>
      </c>
      <c r="C58" s="104">
        <f ca="1">C29</f>
        <v>177148</v>
      </c>
      <c r="D58" s="983"/>
      <c r="E58" s="984"/>
      <c r="F58" s="991"/>
      <c r="I58" s="1548" t="s">
        <v>2186</v>
      </c>
      <c r="J58" s="1034" t="str">
        <f>IF(OR(M48="住宅",J52&lt;L49,J57="是"),"——",J52-L49)</f>
        <v>——</v>
      </c>
      <c r="K58" s="1533" t="s">
        <v>2187</v>
      </c>
      <c r="L58" s="863">
        <f ca="1">IF(L49&lt;J52,"——",IF(L56="比较法",L50,IF(L56="基准地价",L51,L52)))</f>
        <v>15934559</v>
      </c>
      <c r="O58" s="1051" t="s">
        <v>953</v>
      </c>
      <c r="P58" s="1048" t="s">
        <v>2188</v>
      </c>
      <c r="Q58" s="1049" t="e">
        <f>L59</f>
        <v>#DIV/0!</v>
      </c>
      <c r="R58" s="1050" t="s">
        <v>2189</v>
      </c>
    </row>
    <row r="59" spans="1:18" s="652" customFormat="1" ht="30.5" thickBot="1">
      <c r="A59" s="248" t="s">
        <v>14</v>
      </c>
      <c r="B59" s="249" t="s">
        <v>2118</v>
      </c>
      <c r="C59" s="250">
        <f ca="1">ROUND(C60+C65+C66+C67,0)</f>
        <v>3809</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30.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-218135</v>
      </c>
      <c r="R60" s="1050" t="s">
        <v>956</v>
      </c>
    </row>
    <row r="61" spans="1:18" s="652" customFormat="1" ht="16"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6"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6.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-218135</v>
      </c>
      <c r="R63" s="1050" t="s">
        <v>2147</v>
      </c>
    </row>
    <row r="64" spans="1:18" s="652" customFormat="1" ht="17"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2.5" thickBot="1">
      <c r="A65" s="253" t="s">
        <v>19</v>
      </c>
      <c r="B65" s="235" t="s">
        <v>2127</v>
      </c>
      <c r="C65" s="13">
        <f ca="1">ROUND(C58*F65,0)</f>
        <v>3543</v>
      </c>
      <c r="D65" s="1331" t="s">
        <v>2128</v>
      </c>
      <c r="E65" s="235" t="s">
        <v>2072</v>
      </c>
      <c r="F65" s="265">
        <f t="shared" si="0"/>
        <v>0.02</v>
      </c>
      <c r="I65" s="1551" t="s">
        <v>2208</v>
      </c>
      <c r="J65" s="1323">
        <v>50</v>
      </c>
      <c r="K65" s="1323">
        <v>35</v>
      </c>
      <c r="L65" s="1323">
        <v>60</v>
      </c>
      <c r="M65" s="1322">
        <v>0</v>
      </c>
      <c r="O65" s="1051" t="s">
        <v>951</v>
      </c>
      <c r="P65" s="1048" t="s">
        <v>2182</v>
      </c>
      <c r="Q65" s="1053">
        <f ca="1">L52</f>
        <v>15934559</v>
      </c>
      <c r="R65" s="1054" t="s">
        <v>2209</v>
      </c>
    </row>
    <row r="66" spans="1:18" s="652" customFormat="1" ht="17" thickBot="1">
      <c r="A66" s="253" t="s">
        <v>20</v>
      </c>
      <c r="B66" s="235" t="s">
        <v>2087</v>
      </c>
      <c r="C66" s="13">
        <f ca="1">ROUND(C57*F66,0)</f>
        <v>266</v>
      </c>
      <c r="D66" s="1331" t="s">
        <v>2088</v>
      </c>
      <c r="E66" s="235" t="s">
        <v>2089</v>
      </c>
      <c r="F66" s="266">
        <f t="shared" si="0"/>
        <v>2E-3</v>
      </c>
      <c r="I66" s="1551" t="s">
        <v>2210</v>
      </c>
      <c r="J66" s="1323">
        <v>40</v>
      </c>
      <c r="K66" s="1323">
        <v>30</v>
      </c>
      <c r="L66" s="1323">
        <v>50</v>
      </c>
      <c r="M66" s="1321">
        <v>0.02</v>
      </c>
      <c r="O66" s="1051" t="s">
        <v>952</v>
      </c>
      <c r="P66" s="1055" t="s">
        <v>2211</v>
      </c>
      <c r="Q66" s="1049">
        <f ca="1">ROUND(Q67-Q68*Q69,0)</f>
        <v>-13774</v>
      </c>
      <c r="R66" s="1050"/>
    </row>
    <row r="67" spans="1:18" s="652" customFormat="1" ht="16" thickBot="1">
      <c r="A67" s="253" t="s">
        <v>21</v>
      </c>
      <c r="B67" s="235" t="s">
        <v>2070</v>
      </c>
      <c r="C67" s="13">
        <f ca="1">ROUND(C49*F67,0)</f>
        <v>0</v>
      </c>
      <c r="D67" s="1331" t="s">
        <v>2093</v>
      </c>
      <c r="E67" s="235" t="s">
        <v>2089</v>
      </c>
      <c r="F67" s="245">
        <f t="shared" si="0"/>
        <v>0.02</v>
      </c>
      <c r="O67" s="1051" t="s">
        <v>957</v>
      </c>
      <c r="P67" s="1055" t="s">
        <v>2212</v>
      </c>
      <c r="Q67" s="1049">
        <f ca="1">C39</f>
        <v>-3809</v>
      </c>
      <c r="R67" s="1050" t="s">
        <v>2147</v>
      </c>
    </row>
    <row r="68" spans="1:18" ht="26.5" thickBot="1">
      <c r="A68" s="248" t="s">
        <v>22</v>
      </c>
      <c r="B68" s="41" t="s">
        <v>2097</v>
      </c>
      <c r="C68" s="250">
        <f ca="1">C49-C59</f>
        <v>-3809</v>
      </c>
      <c r="D68" s="1328" t="s">
        <v>2098</v>
      </c>
      <c r="E68" s="1330"/>
      <c r="F68" s="268"/>
      <c r="H68" s="652"/>
      <c r="I68" s="652"/>
      <c r="J68" s="652"/>
      <c r="K68" s="652"/>
      <c r="L68" s="652"/>
      <c r="M68" s="652"/>
      <c r="O68" s="1051" t="s">
        <v>958</v>
      </c>
      <c r="P68" s="1055" t="s">
        <v>2213</v>
      </c>
      <c r="Q68" s="1049">
        <f ca="1">C13</f>
        <v>132861</v>
      </c>
      <c r="R68" s="1050" t="s">
        <v>2147</v>
      </c>
    </row>
    <row r="69" spans="1:18" ht="16" thickBot="1">
      <c r="A69" s="232" t="s">
        <v>23</v>
      </c>
      <c r="B69" s="233" t="s">
        <v>2135</v>
      </c>
      <c r="C69" s="234">
        <f ca="1">ROUND(C68*(1-((1+F71)/(1+F69))^F70)/(F69-F71),0)</f>
        <v>-89110</v>
      </c>
      <c r="D69" s="261" t="s">
        <v>2103</v>
      </c>
      <c r="E69" s="235" t="s">
        <v>2104</v>
      </c>
      <c r="F69" s="245">
        <f>F40</f>
        <v>0.04</v>
      </c>
      <c r="H69" s="652"/>
      <c r="I69" s="652"/>
      <c r="J69" s="652"/>
      <c r="K69" s="652"/>
      <c r="L69" s="652"/>
      <c r="M69" s="652"/>
      <c r="O69" s="1051" t="s">
        <v>959</v>
      </c>
      <c r="P69" s="1055" t="s">
        <v>2214</v>
      </c>
      <c r="Q69" s="1052">
        <f>J35</f>
        <v>7.4999999999999997E-2</v>
      </c>
      <c r="R69" s="1050"/>
    </row>
    <row r="70" spans="1:18" ht="16" thickBot="1">
      <c r="A70" s="237"/>
      <c r="B70" s="238"/>
      <c r="C70" s="239"/>
      <c r="D70" s="269" t="s">
        <v>2137</v>
      </c>
      <c r="E70" s="235" t="s">
        <v>2109</v>
      </c>
      <c r="F70" s="270">
        <f>F41</f>
        <v>70</v>
      </c>
      <c r="H70" s="652"/>
      <c r="I70" s="652"/>
      <c r="J70" s="652"/>
      <c r="K70" s="652"/>
      <c r="L70" s="652"/>
      <c r="M70" s="652"/>
      <c r="O70" s="1051" t="s">
        <v>953</v>
      </c>
      <c r="P70" s="1048" t="s">
        <v>2185</v>
      </c>
      <c r="Q70" s="1052">
        <f>L53</f>
        <v>0</v>
      </c>
      <c r="R70" s="1050"/>
    </row>
    <row r="71" spans="1:18" ht="17" thickBot="1">
      <c r="A71" s="241"/>
      <c r="B71" s="242"/>
      <c r="C71" s="243"/>
      <c r="D71" s="264"/>
      <c r="E71" s="235" t="s">
        <v>2113</v>
      </c>
      <c r="F71" s="1036"/>
      <c r="H71" s="652"/>
      <c r="M71" s="652"/>
      <c r="O71" s="1051" t="s">
        <v>954</v>
      </c>
      <c r="P71" s="1048" t="s">
        <v>2188</v>
      </c>
      <c r="Q71" s="1049" t="e">
        <f>L59</f>
        <v>#DIV/0!</v>
      </c>
      <c r="R71" s="1050" t="s">
        <v>2189</v>
      </c>
    </row>
    <row r="72" spans="1:18" ht="16.5" thickBot="1">
      <c r="A72" s="271" t="s">
        <v>24</v>
      </c>
      <c r="B72" s="272" t="s">
        <v>2138</v>
      </c>
      <c r="C72" s="273">
        <f ca="1">ROUND(C69/F72,0)</f>
        <v>-1623</v>
      </c>
      <c r="D72" s="274" t="s">
        <v>2139</v>
      </c>
      <c r="E72" s="275" t="s">
        <v>2140</v>
      </c>
      <c r="F72" s="276">
        <f>F43</f>
        <v>54.91</v>
      </c>
      <c r="O72" s="1051" t="s">
        <v>960</v>
      </c>
      <c r="P72" s="1048" t="str">
        <f>K60</f>
        <v>建筑物剩余耐用年限下的土地年期修正系数Kn</v>
      </c>
      <c r="Q72" s="1049" t="e">
        <f>L60</f>
        <v>#DIV/0!</v>
      </c>
      <c r="R72" s="1050" t="s">
        <v>2192</v>
      </c>
    </row>
    <row r="73" spans="1:18" ht="16" thickBot="1">
      <c r="A73" s="652"/>
      <c r="B73" s="656"/>
      <c r="C73" s="656"/>
      <c r="D73" s="652"/>
      <c r="E73" s="652"/>
      <c r="F73" s="652"/>
      <c r="O73" s="1047" t="s">
        <v>955</v>
      </c>
      <c r="P73" s="1048" t="str">
        <f>IF(C2="元","收益价值(元)","收益价值(万元)")</f>
        <v>收益价值(元)</v>
      </c>
      <c r="Q73" s="1049">
        <f ca="1">ROUND(IF(C2="元",Q63+Q64,(Q63+Q64)/10000),0)</f>
        <v>-218135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000-000000000000}">
      <formula1>"按租金收入计税,按房产原值计税"</formula1>
    </dataValidation>
    <dataValidation type="list" allowBlank="1" showInputMessage="1" showErrorMessage="1" sqref="D33 D62" xr:uid="{00000000-0002-0000-1000-000001000000}">
      <formula1>"按租金收入计税,按房产原值计税,按票据"</formula1>
    </dataValidation>
    <dataValidation type="list" allowBlank="1" showInputMessage="1" showErrorMessage="1" sqref="D1" xr:uid="{00000000-0002-0000-1000-000002000000}">
      <formula1>"估价对象,仅计算典型户型"</formula1>
    </dataValidation>
    <dataValidation type="list" allowBlank="1" showInputMessage="1" showErrorMessage="1" sqref="J57" xr:uid="{00000000-0002-0000-1000-000003000000}">
      <formula1>判定</formula1>
    </dataValidation>
    <dataValidation type="list" allowBlank="1" showInputMessage="1" showErrorMessage="1" sqref="J49" xr:uid="{00000000-0002-0000-1000-000004000000}">
      <formula1>"非生产用房,生产用房,受腐蚀的生产用房"</formula1>
    </dataValidation>
    <dataValidation type="list" allowBlank="1" showInputMessage="1" showErrorMessage="1" sqref="J48" xr:uid="{00000000-0002-0000-1000-000005000000}">
      <formula1>"钢,钢混,砖混"</formula1>
    </dataValidation>
    <dataValidation type="list" allowBlank="1" showInputMessage="1" showErrorMessage="1" sqref="L56" xr:uid="{00000000-0002-0000-1000-000006000000}">
      <formula1>"比较法,基准地价,收益还原"</formula1>
    </dataValidation>
    <dataValidation type="list" allowBlank="1" showInputMessage="1" showErrorMessage="1" sqref="F10 M10 F54" xr:uid="{00000000-0002-0000-1000-000007000000}">
      <formula1>"押一,押二,押三,自定义"</formula1>
    </dataValidation>
    <dataValidation type="list" allowBlank="1" showInputMessage="1" showErrorMessage="1" sqref="E41" xr:uid="{00000000-0002-0000-1000-000008000000}">
      <formula1>"收益年期(n),设定收益年期(n)"</formula1>
    </dataValidation>
    <dataValidation type="list" allowBlank="1" showInputMessage="1" showErrorMessage="1" sqref="E1" xr:uid="{00000000-0002-0000-10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328125" defaultRowHeight="12.5"/>
  <cols>
    <col min="1" max="1" width="9.7265625" style="218" customWidth="1"/>
    <col min="2" max="2" width="25.7265625" style="219" customWidth="1"/>
    <col min="3" max="3" width="10.36328125" style="220" customWidth="1"/>
    <col min="4" max="4" width="9.90625" style="219" customWidth="1"/>
    <col min="5" max="5" width="9.453125" style="218" customWidth="1"/>
    <col min="6" max="6" width="10.08984375" style="219" customWidth="1"/>
    <col min="7" max="7" width="9.453125" style="219" customWidth="1"/>
    <col min="8" max="8" width="10" style="219" customWidth="1"/>
    <col min="9" max="11" width="9.453125" style="219" customWidth="1"/>
    <col min="12" max="12" width="9" style="219" customWidth="1"/>
    <col min="13" max="13" width="10.453125" style="219" bestFit="1" customWidth="1"/>
    <col min="14" max="254" width="9" style="219" customWidth="1"/>
    <col min="255" max="16384" width="6.63281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8709</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-8786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-8786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-176</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-1792</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-1792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8709</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I38"/>
  <sheetViews>
    <sheetView view="pageBreakPreview" zoomScale="80" zoomScaleNormal="100" zoomScaleSheetLayoutView="80" workbookViewId="0">
      <selection activeCell="P39" sqref="P39"/>
    </sheetView>
  </sheetViews>
  <sheetFormatPr defaultRowHeight="14"/>
  <cols>
    <col min="1" max="1" width="10.453125" customWidth="1"/>
    <col min="2" max="2" width="12.90625" customWidth="1"/>
    <col min="3" max="3" width="8.7265625" customWidth="1"/>
    <col min="4" max="4" width="9" bestFit="1" customWidth="1"/>
    <col min="5" max="5" width="9.90625" bestFit="1" customWidth="1"/>
    <col min="8" max="9" width="9" bestFit="1" customWidth="1"/>
  </cols>
  <sheetData>
    <row r="1" spans="1:9" ht="15">
      <c r="A1" s="3412" t="s">
        <v>1013</v>
      </c>
      <c r="B1" s="3413"/>
      <c r="C1" s="3414"/>
      <c r="D1" s="3415">
        <f>SUM(I10,I15,I20,I21,I23)</f>
        <v>0</v>
      </c>
      <c r="E1" s="3415"/>
      <c r="F1" s="3415"/>
      <c r="G1" s="3415"/>
      <c r="H1" s="3415"/>
      <c r="I1" s="3416"/>
    </row>
    <row r="2" spans="1:9">
      <c r="A2" s="3402" t="s">
        <v>1014</v>
      </c>
      <c r="B2" s="3403" t="s">
        <v>963</v>
      </c>
      <c r="C2" s="3403"/>
      <c r="D2" s="1062" t="s">
        <v>964</v>
      </c>
      <c r="E2" s="1062" t="s">
        <v>965</v>
      </c>
      <c r="F2" s="1062" t="s">
        <v>966</v>
      </c>
      <c r="G2" s="1062" t="s">
        <v>967</v>
      </c>
      <c r="H2" s="1062" t="s">
        <v>968</v>
      </c>
      <c r="I2" s="1063" t="s">
        <v>969</v>
      </c>
    </row>
    <row r="3" spans="1:9">
      <c r="A3" s="3402"/>
      <c r="B3" s="3403" t="s">
        <v>970</v>
      </c>
      <c r="C3" s="3403"/>
      <c r="D3" s="1064"/>
      <c r="E3" s="1062"/>
      <c r="F3" s="1065"/>
      <c r="G3" s="1065"/>
      <c r="H3" s="1066"/>
      <c r="I3" s="1067">
        <f>ROUND(D3*E3*F3*G3*H3/10000,0)</f>
        <v>0</v>
      </c>
    </row>
    <row r="4" spans="1:9">
      <c r="A4" s="3402"/>
      <c r="B4" s="3403" t="s">
        <v>971</v>
      </c>
      <c r="C4" s="3403"/>
      <c r="D4" s="1064"/>
      <c r="E4" s="1062"/>
      <c r="F4" s="1065"/>
      <c r="G4" s="1065"/>
      <c r="H4" s="1066"/>
      <c r="I4" s="1067">
        <f t="shared" ref="I4:I9" si="0">ROUND(D4*E4*F4*G4*H4/10000,0)</f>
        <v>0</v>
      </c>
    </row>
    <row r="5" spans="1:9">
      <c r="A5" s="3402"/>
      <c r="B5" s="3403" t="s">
        <v>972</v>
      </c>
      <c r="C5" s="3403"/>
      <c r="D5" s="1064"/>
      <c r="E5" s="1062"/>
      <c r="F5" s="1065"/>
      <c r="G5" s="1065"/>
      <c r="H5" s="1066"/>
      <c r="I5" s="1067">
        <f t="shared" si="0"/>
        <v>0</v>
      </c>
    </row>
    <row r="6" spans="1:9">
      <c r="A6" s="3402"/>
      <c r="B6" s="3403" t="s">
        <v>973</v>
      </c>
      <c r="C6" s="3403"/>
      <c r="D6" s="1064"/>
      <c r="E6" s="1062"/>
      <c r="F6" s="1065"/>
      <c r="G6" s="1065"/>
      <c r="H6" s="1066"/>
      <c r="I6" s="1067">
        <f t="shared" si="0"/>
        <v>0</v>
      </c>
    </row>
    <row r="7" spans="1:9">
      <c r="A7" s="3402"/>
      <c r="B7" s="3403" t="s">
        <v>974</v>
      </c>
      <c r="C7" s="3403"/>
      <c r="D7" s="1064"/>
      <c r="E7" s="1062"/>
      <c r="F7" s="1065"/>
      <c r="G7" s="1065"/>
      <c r="H7" s="1066"/>
      <c r="I7" s="1067">
        <f t="shared" si="0"/>
        <v>0</v>
      </c>
    </row>
    <row r="8" spans="1:9">
      <c r="A8" s="3402"/>
      <c r="B8" s="3403" t="s">
        <v>975</v>
      </c>
      <c r="C8" s="3403"/>
      <c r="D8" s="1064"/>
      <c r="E8" s="1062"/>
      <c r="F8" s="1065"/>
      <c r="G8" s="1065"/>
      <c r="H8" s="1066"/>
      <c r="I8" s="1067">
        <f t="shared" si="0"/>
        <v>0</v>
      </c>
    </row>
    <row r="9" spans="1:9">
      <c r="A9" s="3402"/>
      <c r="B9" s="3403" t="s">
        <v>976</v>
      </c>
      <c r="C9" s="3403"/>
      <c r="D9" s="1064"/>
      <c r="E9" s="1062"/>
      <c r="F9" s="1065"/>
      <c r="G9" s="1065"/>
      <c r="H9" s="1066"/>
      <c r="I9" s="1067">
        <f t="shared" si="0"/>
        <v>0</v>
      </c>
    </row>
    <row r="10" spans="1:9">
      <c r="A10" s="3402"/>
      <c r="B10" s="3404" t="s">
        <v>977</v>
      </c>
      <c r="C10" s="3404"/>
      <c r="D10" s="1068">
        <v>527</v>
      </c>
      <c r="E10" s="1068" t="e">
        <f>ROUND(D1*10000/D10/H9,0)</f>
        <v>#DIV/0!</v>
      </c>
      <c r="F10" s="1069"/>
      <c r="G10" s="1069"/>
      <c r="H10" s="1070"/>
      <c r="I10" s="1071">
        <f>SUM(I3:I9)</f>
        <v>0</v>
      </c>
    </row>
    <row r="11" spans="1:9" ht="15">
      <c r="A11" s="3402" t="s">
        <v>1015</v>
      </c>
      <c r="B11" s="3403" t="s">
        <v>978</v>
      </c>
      <c r="C11" s="3403"/>
      <c r="D11" s="1064" t="s">
        <v>979</v>
      </c>
      <c r="E11" s="1064" t="s">
        <v>980</v>
      </c>
      <c r="F11" s="1065" t="s">
        <v>981</v>
      </c>
      <c r="G11" s="1065" t="s">
        <v>968</v>
      </c>
      <c r="H11" s="1072" t="s">
        <v>982</v>
      </c>
      <c r="I11" s="1063" t="s">
        <v>969</v>
      </c>
    </row>
    <row r="12" spans="1:9">
      <c r="A12" s="3402"/>
      <c r="B12" s="3403" t="s">
        <v>983</v>
      </c>
      <c r="C12" s="3403"/>
      <c r="D12" s="1064"/>
      <c r="E12" s="1064"/>
      <c r="F12" s="1065"/>
      <c r="G12" s="1066"/>
      <c r="H12" s="1073"/>
      <c r="I12" s="1063">
        <f>ROUND(D12*E12*F12*G12/10000,0)</f>
        <v>0</v>
      </c>
    </row>
    <row r="13" spans="1:9">
      <c r="A13" s="3402"/>
      <c r="B13" s="3403" t="s">
        <v>984</v>
      </c>
      <c r="C13" s="3403"/>
      <c r="D13" s="1064"/>
      <c r="E13" s="1064"/>
      <c r="F13" s="1065"/>
      <c r="G13" s="1066"/>
      <c r="H13" s="1073"/>
      <c r="I13" s="1063">
        <f>ROUND(D13*E13*F13*G13/10000,0)</f>
        <v>0</v>
      </c>
    </row>
    <row r="14" spans="1:9">
      <c r="A14" s="3402"/>
      <c r="B14" s="3403" t="s">
        <v>985</v>
      </c>
      <c r="C14" s="3403"/>
      <c r="D14" s="1064"/>
      <c r="E14" s="1064"/>
      <c r="F14" s="1065"/>
      <c r="G14" s="1066"/>
      <c r="H14" s="1073"/>
      <c r="I14" s="1063">
        <f>ROUND(D14*E14*F14*G14/10000,0)</f>
        <v>0</v>
      </c>
    </row>
    <row r="15" spans="1:9">
      <c r="A15" s="3402"/>
      <c r="B15" s="3404" t="s">
        <v>977</v>
      </c>
      <c r="C15" s="3404"/>
      <c r="D15" s="1068"/>
      <c r="E15" s="1068">
        <f>SUM(E12:E14)</f>
        <v>0</v>
      </c>
      <c r="F15" s="1069"/>
      <c r="G15" s="1066"/>
      <c r="H15" s="1073"/>
      <c r="I15" s="1074">
        <f>SUM(I12:I14)</f>
        <v>0</v>
      </c>
    </row>
    <row r="16" spans="1:9" ht="26">
      <c r="A16" s="3402" t="s">
        <v>1016</v>
      </c>
      <c r="B16" s="3403" t="s">
        <v>986</v>
      </c>
      <c r="C16" s="3403"/>
      <c r="D16" s="1064" t="s">
        <v>964</v>
      </c>
      <c r="E16" s="1075" t="s">
        <v>987</v>
      </c>
      <c r="F16" s="1065" t="s">
        <v>988</v>
      </c>
      <c r="G16" s="1066" t="s">
        <v>968</v>
      </c>
      <c r="H16" s="1072" t="s">
        <v>982</v>
      </c>
      <c r="I16" s="1063" t="s">
        <v>969</v>
      </c>
    </row>
    <row r="17" spans="1:9" ht="15">
      <c r="A17" s="3402"/>
      <c r="B17" s="3403" t="s">
        <v>989</v>
      </c>
      <c r="C17" s="3403"/>
      <c r="D17" s="1064"/>
      <c r="E17" s="1064"/>
      <c r="F17" s="1065"/>
      <c r="G17" s="1066"/>
      <c r="H17" s="1076"/>
      <c r="I17" s="1077">
        <f>ROUND(D17*E17*F17*G17/10000,0)</f>
        <v>0</v>
      </c>
    </row>
    <row r="18" spans="1:9" ht="15">
      <c r="A18" s="3402"/>
      <c r="B18" s="3403" t="s">
        <v>990</v>
      </c>
      <c r="C18" s="3403"/>
      <c r="D18" s="1064"/>
      <c r="E18" s="1064"/>
      <c r="F18" s="1065"/>
      <c r="G18" s="1066"/>
      <c r="H18" s="1076"/>
      <c r="I18" s="1077">
        <f>ROUND(D18*E18*F18*G18/10000,0)</f>
        <v>0</v>
      </c>
    </row>
    <row r="19" spans="1:9" ht="15">
      <c r="A19" s="3402"/>
      <c r="B19" s="3403" t="s">
        <v>991</v>
      </c>
      <c r="C19" s="3403"/>
      <c r="D19" s="1064"/>
      <c r="E19" s="1064"/>
      <c r="F19" s="1065"/>
      <c r="G19" s="1066"/>
      <c r="H19" s="1076"/>
      <c r="I19" s="1077">
        <f>ROUND(D19*E19*F19*G19/10000,0)</f>
        <v>0</v>
      </c>
    </row>
    <row r="20" spans="1:9">
      <c r="A20" s="3402"/>
      <c r="B20" s="3404" t="s">
        <v>977</v>
      </c>
      <c r="C20" s="3404"/>
      <c r="D20" s="1068">
        <f>SUM(D17:D19)</f>
        <v>0</v>
      </c>
      <c r="E20" s="1068"/>
      <c r="F20" s="1069"/>
      <c r="G20" s="1066"/>
      <c r="H20" s="1073"/>
      <c r="I20" s="1074">
        <f>SUM(I17:I19)</f>
        <v>0</v>
      </c>
    </row>
    <row r="21" spans="1:9">
      <c r="A21" s="3402" t="s">
        <v>1017</v>
      </c>
      <c r="B21" s="3405"/>
      <c r="C21" s="3405"/>
      <c r="D21" s="3405"/>
      <c r="E21" s="3405"/>
      <c r="F21" s="3405"/>
      <c r="G21" s="3405"/>
      <c r="H21" s="1078">
        <v>0.1</v>
      </c>
      <c r="I21" s="1071">
        <f>ROUND(I10*H21,0)</f>
        <v>0</v>
      </c>
    </row>
    <row r="22" spans="1:9" ht="15">
      <c r="A22" s="3406" t="s">
        <v>1018</v>
      </c>
      <c r="B22" s="3407"/>
      <c r="C22" s="3408"/>
      <c r="D22" s="1079" t="s">
        <v>992</v>
      </c>
      <c r="E22" s="1079" t="s">
        <v>993</v>
      </c>
      <c r="F22" s="1080" t="s">
        <v>968</v>
      </c>
      <c r="G22" s="1080" t="s">
        <v>994</v>
      </c>
      <c r="H22" s="1072" t="s">
        <v>982</v>
      </c>
      <c r="I22" s="1063" t="s">
        <v>969</v>
      </c>
    </row>
    <row r="23" spans="1:9" ht="14.5" thickBot="1">
      <c r="A23" s="3409"/>
      <c r="B23" s="3410"/>
      <c r="C23" s="3411"/>
      <c r="D23" s="1081"/>
      <c r="E23" s="1081"/>
      <c r="F23" s="1081"/>
      <c r="G23" s="1082"/>
      <c r="H23" s="1083"/>
      <c r="I23" s="1084">
        <f>ROUND(E23*D23*F23*(1-G23)/10000,0)</f>
        <v>0</v>
      </c>
    </row>
    <row r="26" spans="1:9">
      <c r="A26" s="1085" t="s">
        <v>995</v>
      </c>
      <c r="B26" s="1085"/>
      <c r="C26" s="1085"/>
      <c r="D26" s="1085"/>
      <c r="E26" s="3399">
        <f>C27-C30-C31-C32</f>
        <v>0</v>
      </c>
      <c r="F26" s="3399"/>
      <c r="G26" s="3399"/>
      <c r="H26" s="1304" t="s">
        <v>1206</v>
      </c>
    </row>
    <row r="27" spans="1:9">
      <c r="A27" s="1086">
        <v>1</v>
      </c>
      <c r="B27" s="1087" t="s">
        <v>996</v>
      </c>
      <c r="C27" s="1087">
        <f>C28+C29</f>
        <v>0</v>
      </c>
      <c r="D27" s="1087"/>
      <c r="E27" s="3400"/>
      <c r="F27" s="3400"/>
      <c r="G27" s="3400"/>
    </row>
    <row r="28" spans="1:9">
      <c r="A28" s="1088" t="s">
        <v>997</v>
      </c>
      <c r="B28" s="1087" t="s">
        <v>998</v>
      </c>
      <c r="C28" s="1087"/>
      <c r="D28" s="1087"/>
      <c r="E28" s="3400"/>
      <c r="F28" s="3400"/>
      <c r="G28" s="340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1"/>
      <c r="F32" s="3401"/>
      <c r="G32" s="3401"/>
    </row>
    <row r="33" spans="1:7" hidden="1">
      <c r="A33" s="3396" t="s">
        <v>1007</v>
      </c>
      <c r="B33" s="3397"/>
      <c r="C33" s="3397"/>
      <c r="D33" s="3398"/>
      <c r="E33" s="3399"/>
      <c r="F33" s="3399"/>
      <c r="G33" s="3399"/>
    </row>
    <row r="34" spans="1:7" hidden="1">
      <c r="A34" s="1090">
        <v>1</v>
      </c>
      <c r="B34" s="1087" t="s">
        <v>1008</v>
      </c>
      <c r="C34" s="1087"/>
      <c r="D34" s="1087"/>
      <c r="E34" s="3400"/>
      <c r="F34" s="3400"/>
      <c r="G34" s="3400"/>
    </row>
    <row r="35" spans="1:7" hidden="1">
      <c r="A35" s="1090">
        <v>2</v>
      </c>
      <c r="B35" s="1087" t="s">
        <v>1009</v>
      </c>
      <c r="C35" s="1087"/>
      <c r="D35" s="1087"/>
      <c r="E35" s="3400"/>
      <c r="F35" s="3400"/>
      <c r="G35" s="3400"/>
    </row>
    <row r="36" spans="1:7" hidden="1">
      <c r="A36" s="1090">
        <v>3</v>
      </c>
      <c r="B36" s="1087" t="s">
        <v>1010</v>
      </c>
      <c r="C36" s="1087"/>
      <c r="D36" s="1087"/>
      <c r="E36" s="3400"/>
      <c r="F36" s="3400"/>
      <c r="G36" s="3400"/>
    </row>
    <row r="37" spans="1:7" hidden="1">
      <c r="A37" s="1090">
        <v>4</v>
      </c>
      <c r="B37" s="1087" t="s">
        <v>1011</v>
      </c>
      <c r="C37" s="1087"/>
      <c r="D37" s="1087"/>
      <c r="E37" s="3400"/>
      <c r="F37" s="3400"/>
      <c r="G37" s="3400"/>
    </row>
    <row r="38" spans="1:7" hidden="1">
      <c r="A38" s="3396" t="s">
        <v>1012</v>
      </c>
      <c r="B38" s="3397"/>
      <c r="C38" s="3397"/>
      <c r="D38" s="3398"/>
      <c r="E38" s="3399"/>
      <c r="F38" s="3399"/>
      <c r="G38" s="339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08984375" defaultRowHeight="14"/>
  <cols>
    <col min="1" max="1" width="1.7265625" customWidth="1"/>
    <col min="2" max="2" width="82.36328125" customWidth="1"/>
    <col min="3" max="4" width="12.453125" customWidth="1"/>
    <col min="8" max="8" width="17.4531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5"/>
  <cols>
    <col min="1" max="1" width="12.36328125" style="32" customWidth="1"/>
    <col min="2" max="2" width="9.26953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0" t="s">
        <v>2220</v>
      </c>
      <c r="D4" s="3421"/>
      <c r="E4" s="3421"/>
      <c r="F4" s="3421"/>
      <c r="G4" s="3421"/>
      <c r="H4" s="3421"/>
      <c r="I4" s="3421"/>
      <c r="J4" s="3421"/>
      <c r="K4" s="3421"/>
      <c r="L4" s="3421"/>
      <c r="M4" s="3421"/>
      <c r="N4" s="3421"/>
      <c r="O4" s="3421"/>
      <c r="P4" s="3421"/>
      <c r="Q4" s="3421"/>
      <c r="R4" s="3421"/>
      <c r="S4" s="3422"/>
      <c r="T4" s="575" t="s">
        <v>2221</v>
      </c>
      <c r="U4" s="999"/>
      <c r="V4" s="999"/>
      <c r="X4" s="999"/>
      <c r="Y4" s="999"/>
    </row>
    <row r="5" spans="1:44" s="587" customFormat="1" ht="13">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ht="13">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13">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ht="13">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ht="13">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ht="13">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ht="13">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ht="13">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ht="13">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ht="13">
      <c r="A25" s="250" t="s">
        <v>2239</v>
      </c>
      <c r="B25" s="13">
        <f>SUM(B27:B10000)</f>
        <v>0</v>
      </c>
      <c r="C25" s="3417" t="s">
        <v>45</v>
      </c>
      <c r="D25" s="3418"/>
      <c r="E25" s="3418"/>
      <c r="F25" s="3418"/>
      <c r="G25" s="3418"/>
      <c r="H25" s="3418"/>
      <c r="I25" s="3418"/>
      <c r="J25" s="3418"/>
      <c r="K25" s="3418"/>
      <c r="L25" s="3418"/>
      <c r="M25" s="3418"/>
      <c r="N25" s="3418"/>
      <c r="O25" s="3418"/>
      <c r="P25" s="3418"/>
      <c r="Q25" s="3419"/>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6">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ht="13">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ht="13">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ht="13">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ht="13">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ht="13">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ht="13">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ht="13">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ht="13">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ht="13">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ht="13">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ht="13">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ht="13">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ht="13">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ht="13">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ht="13">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ht="13">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ht="13">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ht="13">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ht="13">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ht="13">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ht="13">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ht="13">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ht="13">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ht="13">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ht="13">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ht="13">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ht="13">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ht="13">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ht="13">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ht="13">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ht="13">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ht="13">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ht="13">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ht="13">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ht="13">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ht="13">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ht="13">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ht="13">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ht="13">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ht="13">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ht="13">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ht="13">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ht="13">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ht="13">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ht="13">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ht="13">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ht="13">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ht="13">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ht="13">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ht="13">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ht="13">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ht="13">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ht="13">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ht="13">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ht="13">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ht="13">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ht="13">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ht="13">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ht="13">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ht="13">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ht="13">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ht="13">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ht="13">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ht="13">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ht="13">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ht="13">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ht="13">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ht="13">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ht="13">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ht="13">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ht="13">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ht="13">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ht="13">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ht="13">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ht="13">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ht="13">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ht="13">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ht="13">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ht="13">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ht="13">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ht="13">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ht="13">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ht="13">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ht="13">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ht="13">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ht="13">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ht="13">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ht="13">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ht="13">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ht="13">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ht="13">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ht="13">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ht="13">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ht="13">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ht="13">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ht="13">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ht="13">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ht="13">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ht="13">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ht="13">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ht="13">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ht="13">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ht="13">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ht="13">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ht="13">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ht="13">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ht="13">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ht="13">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ht="13">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ht="13">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ht="13">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ht="13">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ht="13">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ht="13">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ht="13">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ht="13">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ht="13">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ht="13">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ht="13">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ht="13">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ht="13">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ht="13">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ht="13">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ht="13">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ht="13">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ht="13">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ht="13">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ht="13">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ht="13">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ht="13">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ht="13">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ht="13">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ht="13">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ht="13">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ht="13">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ht="13">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ht="13">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ht="13">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ht="13">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ht="13">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ht="13">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ht="13">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ht="13">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ht="13">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ht="13">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ht="13">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ht="13">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ht="13">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ht="13">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ht="13">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ht="13">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ht="13">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ht="13">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ht="13">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ht="13">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ht="13">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ht="13">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ht="13">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ht="13">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ht="13">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ht="13">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ht="13">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ht="13">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ht="13">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ht="13">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ht="13">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ht="13">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ht="13">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ht="13">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ht="13">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ht="13">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ht="13">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ht="13">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ht="13">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ht="13">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ht="13">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ht="13">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ht="13">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ht="13">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ht="13">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ht="13">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ht="13">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ht="13">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ht="13">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ht="13">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ht="13">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ht="13">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ht="13">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ht="13">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ht="13">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ht="13">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ht="13">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ht="13">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ht="13">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ht="13">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ht="13">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ht="13">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ht="13">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ht="13">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ht="13">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ht="13">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ht="13">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ht="13">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ht="13">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ht="13">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ht="13">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ht="13">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ht="13">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ht="13">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ht="13">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ht="13">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ht="13">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ht="13">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ht="13">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ht="13">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ht="13">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ht="13">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ht="13">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ht="13">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ht="13">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ht="13">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ht="13">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ht="13">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ht="13">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ht="13">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ht="13">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ht="13">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ht="13">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ht="13">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ht="13">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ht="13">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ht="13">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ht="13">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ht="13">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ht="13">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ht="13">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ht="13">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ht="13">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ht="13">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ht="13">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ht="13">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ht="13">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ht="13">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ht="13">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ht="13">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ht="13">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ht="13">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ht="13">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ht="13">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ht="13">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ht="13">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ht="13">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ht="13">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ht="13">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ht="13">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ht="13">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ht="13">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ht="13">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ht="13">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ht="13">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ht="13">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ht="13">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ht="13">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ht="13">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ht="13">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ht="13">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ht="13">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ht="13">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ht="13">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ht="13">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ht="13">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ht="13">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ht="13">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ht="13">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ht="13">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ht="13">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ht="13">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ht="13">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ht="13">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ht="13">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ht="13">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ht="13">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ht="13">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ht="13">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ht="13">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ht="13">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ht="13">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ht="13">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ht="13">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ht="13">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ht="13">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ht="13">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ht="13">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ht="13">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ht="13">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ht="13">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ht="13">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ht="13">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ht="13">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ht="13">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ht="13">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ht="13">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ht="13">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ht="13">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ht="13">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ht="13">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ht="13">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ht="13">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ht="13">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ht="13">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ht="13">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ht="13">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ht="13">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ht="13">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ht="13">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ht="13">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ht="13">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ht="13">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ht="13">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ht="13">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ht="13">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ht="13">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ht="13">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ht="13">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ht="13">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ht="13">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ht="13">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ht="13">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ht="13">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ht="13">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ht="13">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ht="13">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ht="13">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ht="13">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ht="13">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ht="13">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ht="13">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ht="13">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ht="13">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ht="13">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ht="13">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ht="13">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ht="13">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ht="13">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ht="13">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ht="13">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ht="13">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ht="13">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ht="13">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ht="13">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ht="13">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ht="13">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ht="13">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ht="13">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ht="13">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ht="13">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ht="13">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ht="13">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ht="13">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ht="13">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ht="13">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ht="13">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ht="13">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ht="13">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ht="13">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ht="13">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ht="13">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ht="13">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ht="13">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ht="13">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ht="13">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ht="13">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ht="13">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ht="13">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ht="13">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ht="13">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ht="13">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ht="13">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ht="13">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ht="13">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ht="13">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ht="13">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ht="13">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ht="13">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ht="13">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ht="13">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ht="13">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ht="13">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ht="13">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ht="13">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ht="13">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ht="13">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ht="13">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ht="13">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ht="13">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ht="13">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ht="13">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ht="13">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ht="13">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ht="13">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ht="13">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ht="13">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ht="13">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ht="13">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ht="13">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ht="13">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ht="13">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ht="13">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ht="13">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ht="13">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ht="13">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ht="13">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ht="13">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ht="13">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ht="13">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ht="13">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ht="13">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ht="13">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ht="13">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ht="13">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ht="13">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ht="13">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ht="13">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ht="13">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ht="13">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ht="13">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ht="13">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ht="13">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ht="13">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ht="13">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ht="13">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ht="13">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ht="13">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ht="13">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ht="13">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ht="13">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ht="13">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ht="13">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ht="13">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ht="13">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ht="13">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ht="13">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ht="13">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ht="13">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ht="13">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ht="13">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ht="13">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ht="13">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ht="13">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ht="13">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ht="13">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ht="13">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ht="13">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ht="13">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ht="13">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ht="13">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ht="13">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ht="13">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ht="13">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ht="13">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ht="13">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ht="13">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ht="13">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ht="13">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ht="13">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ht="13">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ht="13">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ht="13">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ht="13">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ht="13">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ht="13">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ht="13">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ht="13">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ht="13">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ht="13">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ht="13">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ht="13">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ht="13">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ht="13">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ht="13">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ht="13">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ht="13">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ht="13">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ht="13">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ht="13">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ht="13">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ht="13">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ht="13">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ht="13">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ht="13">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ht="13">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ht="13">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ht="13">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ht="13">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ht="13">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ht="13">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ht="13">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ht="13">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ht="13">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ht="13">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ht="13">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300-000000000000}">
      <formula1>一修多修正项2</formula1>
    </dataValidation>
    <dataValidation type="list" allowBlank="1" showInputMessage="1" showErrorMessage="1" sqref="F27:F527" xr:uid="{00000000-0002-0000-1300-000001000000}">
      <formula1>一修多修正项3</formula1>
    </dataValidation>
    <dataValidation type="list" allowBlank="1" showInputMessage="1" showErrorMessage="1" sqref="H27:H527" xr:uid="{00000000-0002-0000-1300-000002000000}">
      <formula1>一修多修正项4</formula1>
    </dataValidation>
    <dataValidation type="list" allowBlank="1" showInputMessage="1" showErrorMessage="1" sqref="J27:J527" xr:uid="{00000000-0002-0000-1300-000003000000}">
      <formula1>一修多修正项5</formula1>
    </dataValidation>
    <dataValidation type="list" allowBlank="1" showInputMessage="1" showErrorMessage="1" sqref="L27:L527" xr:uid="{00000000-0002-0000-1300-000004000000}">
      <formula1>一修多修正项6</formula1>
    </dataValidation>
    <dataValidation type="list" allowBlank="1" showInputMessage="1" showErrorMessage="1" sqref="N27:N527" xr:uid="{00000000-0002-0000-1300-000005000000}">
      <formula1>一修多修正项7</formula1>
    </dataValidation>
    <dataValidation type="list" allowBlank="1" showInputMessage="1" showErrorMessage="1" sqref="P27:P527" xr:uid="{00000000-0002-0000-1300-000006000000}">
      <formula1>一修多修正项8</formula1>
    </dataValidation>
    <dataValidation type="list" allowBlank="1" showInputMessage="1" showErrorMessage="1" sqref="F23" xr:uid="{00000000-0002-0000-1300-000007000000}">
      <formula1>"需扣减承租人权益,——"</formula1>
    </dataValidation>
    <dataValidation type="list" allowBlank="1" showInputMessage="1" showErrorMessage="1" sqref="J23" xr:uid="{00000000-0002-0000-13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18" zoomScaleNormal="70" zoomScaleSheetLayoutView="100" workbookViewId="0">
      <selection activeCell="A19" sqref="A19:XFD19"/>
    </sheetView>
  </sheetViews>
  <sheetFormatPr defaultColWidth="9" defaultRowHeight="14"/>
  <cols>
    <col min="1" max="1" width="10.453125" style="1667" customWidth="1"/>
    <col min="2" max="2" width="15.7265625" style="1667" customWidth="1"/>
    <col min="3" max="3" width="15.08984375" style="1667" customWidth="1"/>
    <col min="4" max="4" width="12.26953125" style="1667" customWidth="1"/>
    <col min="5" max="5" width="14.7265625" style="1667" customWidth="1"/>
    <col min="6" max="6" width="12.26953125" style="1667" customWidth="1"/>
    <col min="7" max="7" width="14.453125" style="1667" customWidth="1"/>
    <col min="8" max="8" width="12.26953125" style="1667" customWidth="1"/>
    <col min="9" max="9" width="14.453125" style="1667" customWidth="1"/>
    <col min="10" max="10" width="12.26953125" style="1667" customWidth="1"/>
    <col min="11" max="11" width="12.26953125" style="1910" customWidth="1"/>
    <col min="12" max="12" width="12.26953125" style="1911" customWidth="1"/>
    <col min="13" max="15" width="12.26953125" style="1667" customWidth="1"/>
    <col min="16" max="16" width="4.7265625" style="1807" customWidth="1"/>
    <col min="17" max="17" width="19.453125" style="1667" customWidth="1"/>
    <col min="18" max="22" width="6.08984375" style="1667" customWidth="1"/>
    <col min="23" max="23" width="5.7265625" style="1667" customWidth="1"/>
    <col min="24" max="24" width="4.26953125" style="1667" customWidth="1"/>
    <col min="25" max="25" width="3.453125" style="1667" customWidth="1"/>
    <col min="26" max="26" width="19.7265625" style="1667" customWidth="1"/>
    <col min="27" max="28" width="9.36328125" style="1667" customWidth="1"/>
    <col min="29" max="16384" width="9" style="1667"/>
  </cols>
  <sheetData>
    <row r="1" spans="1:29" s="1648" customFormat="1" ht="28.5" customHeight="1" thickBot="1">
      <c r="A1" s="1637" t="s">
        <v>2249</v>
      </c>
      <c r="B1" s="1638" t="s">
        <v>2250</v>
      </c>
      <c r="C1" s="1639" t="s">
        <v>2755</v>
      </c>
      <c r="D1" s="1640"/>
      <c r="E1" s="1641" t="s">
        <v>2753</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2125017</v>
      </c>
      <c r="C2" s="1651" t="str">
        <f>'数据-取费表'!B3</f>
        <v>元</v>
      </c>
      <c r="D2" s="1652" t="s">
        <v>1240</v>
      </c>
      <c r="E2" s="1653">
        <f ca="1">SUMIF(INDIRECT("'"&amp;G2&amp;"'"&amp;"!A:A"),"承租人权益价值",INDIRECT("'"&amp;G2&amp;"'"&amp;"!c:c"))</f>
        <v>0</v>
      </c>
      <c r="F2" s="1654" t="str">
        <f>C2</f>
        <v>元</v>
      </c>
      <c r="G2" s="1655" t="s">
        <v>2926</v>
      </c>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38700</v>
      </c>
      <c r="C3" s="1660" t="s">
        <v>2252</v>
      </c>
      <c r="D3" s="1660">
        <f>IF(C1="仅计算典型户型",'数据-取费表'!E5,'数据-取费表'!B5)</f>
        <v>54.91</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c r="A4" s="1663" t="s">
        <v>2253</v>
      </c>
      <c r="B4" s="1664"/>
      <c r="C4" s="3456" t="s">
        <v>2254</v>
      </c>
      <c r="D4" s="3457"/>
      <c r="E4" s="3458" t="s">
        <v>2255</v>
      </c>
      <c r="F4" s="3459"/>
      <c r="G4" s="3456" t="s">
        <v>2256</v>
      </c>
      <c r="H4" s="3457"/>
      <c r="I4" s="3456" t="s">
        <v>2257</v>
      </c>
      <c r="J4" s="3457"/>
      <c r="K4" s="1665" t="s">
        <v>2258</v>
      </c>
      <c r="L4" s="2999"/>
      <c r="M4" s="3000"/>
      <c r="N4" s="3000"/>
      <c r="O4" s="3000"/>
      <c r="P4" s="3460" t="s">
        <v>2259</v>
      </c>
      <c r="Q4" s="3461"/>
      <c r="R4" s="3445" t="s">
        <v>2255</v>
      </c>
      <c r="S4" s="3446"/>
      <c r="T4" s="3445" t="s">
        <v>2256</v>
      </c>
      <c r="U4" s="3446"/>
      <c r="V4" s="3466" t="s">
        <v>2257</v>
      </c>
      <c r="W4" s="3466"/>
      <c r="X4" s="1666"/>
      <c r="Y4" s="3445" t="s">
        <v>2259</v>
      </c>
      <c r="Z4" s="3446"/>
      <c r="AA4" s="3453" t="s">
        <v>2255</v>
      </c>
      <c r="AB4" s="3453" t="s">
        <v>2256</v>
      </c>
      <c r="AC4" s="3453" t="s">
        <v>2257</v>
      </c>
    </row>
    <row r="5" spans="1:29" ht="30.75" customHeight="1" thickBot="1">
      <c r="A5" s="1668"/>
      <c r="B5" s="1669"/>
      <c r="C5" s="3469" t="s">
        <v>2925</v>
      </c>
      <c r="D5" s="3442"/>
      <c r="E5" s="3467" t="s">
        <v>2932</v>
      </c>
      <c r="F5" s="3468"/>
      <c r="G5" s="3441" t="s">
        <v>2932</v>
      </c>
      <c r="H5" s="3442"/>
      <c r="I5" s="3441" t="s">
        <v>2927</v>
      </c>
      <c r="J5" s="3442"/>
      <c r="K5" s="1670"/>
      <c r="L5" s="2999"/>
      <c r="M5" s="3000"/>
      <c r="N5" s="3000"/>
      <c r="O5" s="3000"/>
      <c r="P5" s="3462"/>
      <c r="Q5" s="3463"/>
      <c r="R5" s="3447"/>
      <c r="S5" s="3448"/>
      <c r="T5" s="3447"/>
      <c r="U5" s="3448"/>
      <c r="V5" s="3466"/>
      <c r="W5" s="3466"/>
      <c r="X5" s="1666"/>
      <c r="Y5" s="3447"/>
      <c r="Z5" s="3448"/>
      <c r="AA5" s="3454"/>
      <c r="AB5" s="3454"/>
      <c r="AC5" s="3454"/>
    </row>
    <row r="6" spans="1:29" ht="15" hidden="1" thickBot="1">
      <c r="A6" s="1671"/>
      <c r="B6" s="1672"/>
      <c r="C6" s="3439" t="s">
        <v>2264</v>
      </c>
      <c r="D6" s="3440"/>
      <c r="E6" s="3470" t="s">
        <v>2264</v>
      </c>
      <c r="F6" s="3471"/>
      <c r="G6" s="3439" t="s">
        <v>2264</v>
      </c>
      <c r="H6" s="3440"/>
      <c r="I6" s="3439" t="s">
        <v>2264</v>
      </c>
      <c r="J6" s="3440"/>
      <c r="K6" s="1670" t="s">
        <v>2265</v>
      </c>
      <c r="L6" s="2999"/>
      <c r="M6" s="3000"/>
      <c r="N6" s="3000"/>
      <c r="O6" s="3000"/>
      <c r="P6" s="3464"/>
      <c r="Q6" s="3465"/>
      <c r="R6" s="3447"/>
      <c r="S6" s="3448"/>
      <c r="T6" s="3449"/>
      <c r="U6" s="3450"/>
      <c r="V6" s="3466"/>
      <c r="W6" s="3466"/>
      <c r="X6" s="1666"/>
      <c r="Y6" s="3449"/>
      <c r="Z6" s="3450"/>
      <c r="AA6" s="3455"/>
      <c r="AB6" s="3455"/>
      <c r="AC6" s="3455"/>
    </row>
    <row r="7" spans="1:29" s="1685" customFormat="1" ht="14.5" thickBot="1">
      <c r="A7" s="1673" t="s">
        <v>2266</v>
      </c>
      <c r="B7" s="1674"/>
      <c r="C7" s="1675">
        <f>'数据-取费表'!B2</f>
        <v>44062</v>
      </c>
      <c r="D7" s="1676">
        <v>100</v>
      </c>
      <c r="E7" s="1677">
        <v>43999</v>
      </c>
      <c r="F7" s="1678">
        <f>SUMIF(58:58,YEAR(E7)&amp;"-"&amp;MONTH(E7),59:59)</f>
        <v>100</v>
      </c>
      <c r="G7" s="1677">
        <v>43936</v>
      </c>
      <c r="H7" s="1676">
        <f>SUMIF(58:58,YEAR(G7)&amp;"-"&amp;MONTH(G7),59:59)</f>
        <v>100</v>
      </c>
      <c r="I7" s="1677">
        <v>43929</v>
      </c>
      <c r="J7" s="1676">
        <f>SUMIF(58:58,YEAR(I7)&amp;"-"&amp;MONTH(I7),59:59)</f>
        <v>100</v>
      </c>
      <c r="K7" s="1679"/>
      <c r="L7" s="2999"/>
      <c r="M7" s="2972"/>
      <c r="N7" s="2972"/>
      <c r="O7" s="2972"/>
      <c r="P7" s="3443" t="s">
        <v>2267</v>
      </c>
      <c r="Q7" s="3451"/>
      <c r="R7" s="1681" t="s">
        <v>34</v>
      </c>
      <c r="S7" s="1682">
        <f t="shared" ref="S7:S15" si="0">F7</f>
        <v>100</v>
      </c>
      <c r="T7" s="1681" t="s">
        <v>34</v>
      </c>
      <c r="U7" s="1682">
        <f t="shared" ref="U7:U15" si="1">H7</f>
        <v>100</v>
      </c>
      <c r="V7" s="1681" t="s">
        <v>34</v>
      </c>
      <c r="W7" s="1682">
        <f t="shared" ref="W7:W15" si="2">J7</f>
        <v>100</v>
      </c>
      <c r="X7" s="1683"/>
      <c r="Y7" s="3443" t="s">
        <v>2267</v>
      </c>
      <c r="Z7" s="3444"/>
      <c r="AA7" s="1684">
        <f>D7/F7</f>
        <v>1</v>
      </c>
      <c r="AB7" s="1684">
        <f>D7/H7</f>
        <v>1</v>
      </c>
      <c r="AC7" s="1684">
        <f>D7/J7</f>
        <v>1</v>
      </c>
    </row>
    <row r="8" spans="1:29" s="1685" customFormat="1" ht="14.5" thickBot="1">
      <c r="A8" s="1673" t="s">
        <v>2268</v>
      </c>
      <c r="B8" s="1674"/>
      <c r="C8" s="1686" t="s">
        <v>2269</v>
      </c>
      <c r="D8" s="1676">
        <v>100</v>
      </c>
      <c r="E8" s="1687" t="s">
        <v>2889</v>
      </c>
      <c r="F8" s="1678">
        <f>SUMIF(61:61,E8,62:62)-SUMIF(61:61,C8,62:62)+100</f>
        <v>100</v>
      </c>
      <c r="G8" s="1686" t="s">
        <v>2889</v>
      </c>
      <c r="H8" s="1676">
        <f>SUMIF(61:61,G8,62:62)-SUMIF(61:61,C8,62:62)+100</f>
        <v>100</v>
      </c>
      <c r="I8" s="1687" t="s">
        <v>2889</v>
      </c>
      <c r="J8" s="1676">
        <f>SUMIF(61:61,I8,62:62)-SUMIF(61:61,C8,62:62)+100</f>
        <v>100</v>
      </c>
      <c r="K8" s="1679"/>
      <c r="L8" s="2999"/>
      <c r="M8" s="2972"/>
      <c r="N8" s="2972"/>
      <c r="O8" s="2972"/>
      <c r="P8" s="3443" t="s">
        <v>2270</v>
      </c>
      <c r="Q8" s="3444"/>
      <c r="R8" s="1681" t="s">
        <v>34</v>
      </c>
      <c r="S8" s="1682">
        <f t="shared" si="0"/>
        <v>100</v>
      </c>
      <c r="T8" s="1681" t="s">
        <v>34</v>
      </c>
      <c r="U8" s="1682">
        <f t="shared" si="1"/>
        <v>100</v>
      </c>
      <c r="V8" s="1681" t="s">
        <v>34</v>
      </c>
      <c r="W8" s="1682">
        <f t="shared" si="2"/>
        <v>100</v>
      </c>
      <c r="X8" s="1683"/>
      <c r="Y8" s="3443" t="s">
        <v>2270</v>
      </c>
      <c r="Z8" s="3444"/>
      <c r="AA8" s="1684">
        <f t="shared" ref="AA8:AA46" si="3">D8/F8</f>
        <v>1</v>
      </c>
      <c r="AB8" s="1684">
        <f t="shared" ref="AB8:AB46" si="4">D8/H8</f>
        <v>1</v>
      </c>
      <c r="AC8" s="1684">
        <f t="shared" ref="AC8:AC46" si="5">D8/J8</f>
        <v>1</v>
      </c>
    </row>
    <row r="9" spans="1:29" s="1685" customFormat="1" ht="14.5" thickBot="1">
      <c r="A9" s="1636" t="s">
        <v>2271</v>
      </c>
      <c r="B9" s="1688" t="s">
        <v>2272</v>
      </c>
      <c r="C9" s="3157" t="s">
        <v>2933</v>
      </c>
      <c r="D9" s="1690">
        <v>100</v>
      </c>
      <c r="E9" s="1691" t="s">
        <v>2900</v>
      </c>
      <c r="F9" s="1692">
        <f>SUMIF(63:63,E9,64:64)-SUMIF(63:63,C9,64:64)+100</f>
        <v>100</v>
      </c>
      <c r="G9" s="1693" t="s">
        <v>2900</v>
      </c>
      <c r="H9" s="1690">
        <f>SUMIF(63:63,G9,64:64)-SUMIF(63:63,C9,64:64)+100</f>
        <v>100</v>
      </c>
      <c r="I9" s="1693" t="s">
        <v>2900</v>
      </c>
      <c r="J9" s="1690">
        <f>SUMIF(63:63,I9,64:64)-SUMIF(63:63,C9,64:64)+100</f>
        <v>100</v>
      </c>
      <c r="K9" s="1679"/>
      <c r="L9" s="2999"/>
      <c r="M9" s="2972"/>
      <c r="N9" s="2972"/>
      <c r="O9" s="2972"/>
      <c r="P9" s="3452" t="s">
        <v>2273</v>
      </c>
      <c r="Q9" s="1635" t="str">
        <f t="shared" ref="Q9:Q15" si="6">B9</f>
        <v>用途</v>
      </c>
      <c r="R9" s="1681" t="s">
        <v>25</v>
      </c>
      <c r="S9" s="1682">
        <f t="shared" si="0"/>
        <v>100</v>
      </c>
      <c r="T9" s="1681" t="s">
        <v>25</v>
      </c>
      <c r="U9" s="1682">
        <f t="shared" si="1"/>
        <v>100</v>
      </c>
      <c r="V9" s="1681" t="s">
        <v>25</v>
      </c>
      <c r="W9" s="1682">
        <f t="shared" si="2"/>
        <v>100</v>
      </c>
      <c r="X9" s="1683"/>
      <c r="Y9" s="3290" t="s">
        <v>2274</v>
      </c>
      <c r="Z9" s="1694" t="str">
        <f t="shared" ref="Z9:Z15" si="7">Q9</f>
        <v>用途</v>
      </c>
      <c r="AA9" s="1684">
        <f t="shared" si="3"/>
        <v>1</v>
      </c>
      <c r="AB9" s="1684">
        <f t="shared" si="4"/>
        <v>1</v>
      </c>
      <c r="AC9" s="1684">
        <f t="shared" si="5"/>
        <v>1</v>
      </c>
    </row>
    <row r="10" spans="1:29" s="1702" customFormat="1" ht="28" hidden="1">
      <c r="A10" s="1695"/>
      <c r="B10" s="1696" t="s">
        <v>2275</v>
      </c>
      <c r="C10" s="1697" t="s">
        <v>2934</v>
      </c>
      <c r="D10" s="1698">
        <v>100</v>
      </c>
      <c r="E10" s="1699" t="s">
        <v>2934</v>
      </c>
      <c r="F10" s="1700">
        <f>SUMIF(65:65,E10,66:66)-SUMIF(65:65,C10,66:66)+100</f>
        <v>100</v>
      </c>
      <c r="G10" s="1697" t="s">
        <v>2934</v>
      </c>
      <c r="H10" s="1698">
        <f>SUMIF(65:65,G10,66:66)-SUMIF(65:65,C10,66:66)+100</f>
        <v>100</v>
      </c>
      <c r="I10" s="1697" t="s">
        <v>2934</v>
      </c>
      <c r="J10" s="1698">
        <f>SUMIF(65:65,I10,66:66)-SUMIF(65:65,C10,66:66)+100</f>
        <v>100</v>
      </c>
      <c r="K10" s="1701"/>
      <c r="L10" s="3001"/>
      <c r="M10" s="3002"/>
      <c r="N10" s="3002"/>
      <c r="O10" s="3002"/>
      <c r="P10" s="3452"/>
      <c r="Q10" s="1635" t="str">
        <f t="shared" si="6"/>
        <v>土地使用年限（年）</v>
      </c>
      <c r="R10" s="1681" t="s">
        <v>25</v>
      </c>
      <c r="S10" s="1682">
        <f t="shared" si="0"/>
        <v>100</v>
      </c>
      <c r="T10" s="1681" t="s">
        <v>25</v>
      </c>
      <c r="U10" s="1682">
        <f t="shared" si="1"/>
        <v>100</v>
      </c>
      <c r="V10" s="1681" t="s">
        <v>25</v>
      </c>
      <c r="W10" s="1682">
        <f t="shared" si="2"/>
        <v>100</v>
      </c>
      <c r="X10" s="1683"/>
      <c r="Y10" s="3290"/>
      <c r="Z10" s="1694" t="str">
        <f t="shared" si="7"/>
        <v>土地使用年限（年）</v>
      </c>
      <c r="AA10" s="1684">
        <f t="shared" si="3"/>
        <v>1</v>
      </c>
      <c r="AB10" s="1684">
        <f t="shared" si="4"/>
        <v>1</v>
      </c>
      <c r="AC10" s="1684">
        <f t="shared" si="5"/>
        <v>1</v>
      </c>
    </row>
    <row r="11" spans="1:29" ht="15.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3"/>
      <c r="M11" s="3000"/>
      <c r="N11" s="3000"/>
      <c r="O11" s="3000"/>
      <c r="P11" s="3452"/>
      <c r="Q11" s="1635" t="str">
        <f t="shared" si="6"/>
        <v>容积率</v>
      </c>
      <c r="R11" s="1681" t="s">
        <v>28</v>
      </c>
      <c r="S11" s="1682">
        <f t="shared" si="0"/>
        <v>100</v>
      </c>
      <c r="T11" s="1681" t="s">
        <v>28</v>
      </c>
      <c r="U11" s="1682">
        <f t="shared" si="1"/>
        <v>100</v>
      </c>
      <c r="V11" s="1681" t="s">
        <v>28</v>
      </c>
      <c r="W11" s="1682">
        <f t="shared" si="2"/>
        <v>100</v>
      </c>
      <c r="X11" s="1683"/>
      <c r="Y11" s="3290"/>
      <c r="Z11" s="1694" t="str">
        <f t="shared" si="7"/>
        <v>容积率</v>
      </c>
      <c r="AA11" s="1684">
        <f t="shared" si="3"/>
        <v>1</v>
      </c>
      <c r="AB11" s="1684">
        <f t="shared" si="4"/>
        <v>1</v>
      </c>
      <c r="AC11" s="1684">
        <f t="shared" si="5"/>
        <v>1</v>
      </c>
    </row>
    <row r="12" spans="1:29" s="1685" customFormat="1" ht="15.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2"/>
      <c r="Q12" s="1635">
        <f t="shared" si="6"/>
        <v>111</v>
      </c>
      <c r="R12" s="1681" t="s">
        <v>28</v>
      </c>
      <c r="S12" s="1682">
        <f t="shared" si="0"/>
        <v>100</v>
      </c>
      <c r="T12" s="1681" t="s">
        <v>28</v>
      </c>
      <c r="U12" s="1682">
        <f t="shared" si="1"/>
        <v>100</v>
      </c>
      <c r="V12" s="1681" t="s">
        <v>28</v>
      </c>
      <c r="W12" s="1682">
        <f t="shared" si="2"/>
        <v>100</v>
      </c>
      <c r="X12" s="1683"/>
      <c r="Y12" s="3290"/>
      <c r="Z12" s="1694">
        <f t="shared" si="7"/>
        <v>111</v>
      </c>
      <c r="AA12" s="1684">
        <f>D12/F12</f>
        <v>1</v>
      </c>
      <c r="AB12" s="1684">
        <f>D12/H12</f>
        <v>1</v>
      </c>
      <c r="AC12" s="1684">
        <f>D12/J12</f>
        <v>1</v>
      </c>
    </row>
    <row r="13" spans="1:29" ht="15.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2"/>
      <c r="Q13" s="1635">
        <f t="shared" si="6"/>
        <v>111</v>
      </c>
      <c r="R13" s="1681" t="s">
        <v>28</v>
      </c>
      <c r="S13" s="1682">
        <f t="shared" si="0"/>
        <v>100</v>
      </c>
      <c r="T13" s="1681" t="s">
        <v>28</v>
      </c>
      <c r="U13" s="1682">
        <f t="shared" si="1"/>
        <v>100</v>
      </c>
      <c r="V13" s="1681" t="s">
        <v>28</v>
      </c>
      <c r="W13" s="1682">
        <f t="shared" si="2"/>
        <v>100</v>
      </c>
      <c r="X13" s="1683"/>
      <c r="Y13" s="3290"/>
      <c r="Z13" s="1694">
        <f t="shared" si="7"/>
        <v>111</v>
      </c>
      <c r="AA13" s="1684">
        <f t="shared" si="3"/>
        <v>1</v>
      </c>
      <c r="AB13" s="1684">
        <f t="shared" si="4"/>
        <v>1</v>
      </c>
      <c r="AC13" s="1684">
        <f t="shared" si="5"/>
        <v>1</v>
      </c>
    </row>
    <row r="14" spans="1:29" ht="16"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2"/>
      <c r="Q14" s="1635">
        <f t="shared" si="6"/>
        <v>111</v>
      </c>
      <c r="R14" s="1681" t="s">
        <v>28</v>
      </c>
      <c r="S14" s="1682">
        <f t="shared" si="0"/>
        <v>100</v>
      </c>
      <c r="T14" s="1681" t="s">
        <v>28</v>
      </c>
      <c r="U14" s="1682">
        <f t="shared" si="1"/>
        <v>100</v>
      </c>
      <c r="V14" s="1681" t="s">
        <v>28</v>
      </c>
      <c r="W14" s="1682">
        <f t="shared" si="2"/>
        <v>100</v>
      </c>
      <c r="X14" s="1683"/>
      <c r="Y14" s="3290"/>
      <c r="Z14" s="1694">
        <f t="shared" si="7"/>
        <v>111</v>
      </c>
      <c r="AA14" s="1684">
        <f t="shared" si="3"/>
        <v>1</v>
      </c>
      <c r="AB14" s="1684">
        <f t="shared" si="4"/>
        <v>1</v>
      </c>
      <c r="AC14" s="1684">
        <f t="shared" si="5"/>
        <v>1</v>
      </c>
    </row>
    <row r="15" spans="1:29" ht="84">
      <c r="A15" s="1718" t="s">
        <v>2277</v>
      </c>
      <c r="B15" s="1719" t="s">
        <v>1711</v>
      </c>
      <c r="C15" s="1720" t="str">
        <f>估价对象房地状况!C3</f>
        <v>估价对象周边有西环里、安福苑、燕平家园、和平家园小区等住宅项目，居住社区成熟度好。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30" t="s">
        <v>2278</v>
      </c>
      <c r="Q15" s="1616" t="str">
        <f t="shared" si="6"/>
        <v>居住社区成熟度</v>
      </c>
      <c r="R15" s="1726" t="s">
        <v>28</v>
      </c>
      <c r="S15" s="1727">
        <f t="shared" si="0"/>
        <v>100</v>
      </c>
      <c r="T15" s="1726" t="s">
        <v>28</v>
      </c>
      <c r="U15" s="1727">
        <f t="shared" si="1"/>
        <v>100</v>
      </c>
      <c r="V15" s="1726" t="s">
        <v>28</v>
      </c>
      <c r="W15" s="1727">
        <f t="shared" si="2"/>
        <v>100</v>
      </c>
      <c r="X15" s="1666"/>
      <c r="Y15" s="3432" t="s">
        <v>2278</v>
      </c>
      <c r="Z15" s="1728" t="str">
        <f t="shared" si="7"/>
        <v>居住社区成熟度</v>
      </c>
      <c r="AA15" s="1729">
        <f t="shared" si="3"/>
        <v>1</v>
      </c>
      <c r="AB15" s="1729">
        <f t="shared" si="4"/>
        <v>1</v>
      </c>
      <c r="AC15" s="1729">
        <f t="shared" si="5"/>
        <v>1</v>
      </c>
    </row>
    <row r="16" spans="1:29" ht="15.5">
      <c r="A16" s="1703"/>
      <c r="B16" s="1730"/>
      <c r="C16" s="1731" t="s">
        <v>29</v>
      </c>
      <c r="D16" s="1732"/>
      <c r="E16" s="1733" t="s">
        <v>29</v>
      </c>
      <c r="F16" s="1734"/>
      <c r="G16" s="1735" t="s">
        <v>29</v>
      </c>
      <c r="H16" s="1736"/>
      <c r="I16" s="1733" t="s">
        <v>29</v>
      </c>
      <c r="J16" s="1732"/>
      <c r="K16" s="1737"/>
      <c r="L16" s="3004"/>
      <c r="M16" s="3000"/>
      <c r="N16" s="3000"/>
      <c r="O16" s="3000"/>
      <c r="P16" s="3431"/>
      <c r="Q16" s="1616"/>
      <c r="R16" s="1726"/>
      <c r="S16" s="1727"/>
      <c r="T16" s="1726"/>
      <c r="U16" s="1727"/>
      <c r="V16" s="1726"/>
      <c r="W16" s="1727"/>
      <c r="X16" s="1666"/>
      <c r="Y16" s="3433"/>
      <c r="Z16" s="1728"/>
      <c r="AA16" s="1729">
        <v>1</v>
      </c>
      <c r="AB16" s="1729">
        <v>1</v>
      </c>
      <c r="AC16" s="1729">
        <v>1</v>
      </c>
    </row>
    <row r="17" spans="1:29" ht="148.5" customHeight="1">
      <c r="A17" s="1703"/>
      <c r="B17" s="1738" t="s">
        <v>1713</v>
      </c>
      <c r="C17" s="1739" t="str">
        <f>估价对象房地状况!C6</f>
        <v>估价对象周边有昌11路、昌21路、昌52路、昌59路等多条公交线路。以估价对象为圆心，半径1000米范围内有地铁昌平线昌平地铁站，交通便捷程度好。</v>
      </c>
      <c r="D17" s="1736">
        <v>100</v>
      </c>
      <c r="E17" s="1740"/>
      <c r="F17" s="1741">
        <f>SUMIF(78:78,E18,79:79)-SUMIF(78:78,C18,79:79)+100</f>
        <v>98</v>
      </c>
      <c r="G17" s="1742"/>
      <c r="H17" s="1743">
        <f>SUMIF(78:78,G18,79:79)-SUMIF(78:78,C18,79:79)+100</f>
        <v>98</v>
      </c>
      <c r="I17" s="1740"/>
      <c r="J17" s="1743">
        <f>SUMIF(78:78,I18,79:79)-SUMIF(78:78,C18,79:79)+100</f>
        <v>100</v>
      </c>
      <c r="K17" s="1725">
        <v>2</v>
      </c>
      <c r="L17" s="3004"/>
      <c r="M17" s="3000"/>
      <c r="N17" s="3000"/>
      <c r="O17" s="3000"/>
      <c r="P17" s="3431"/>
      <c r="Q17" s="1616" t="str">
        <f>B17</f>
        <v>交通便捷度</v>
      </c>
      <c r="R17" s="1726" t="s">
        <v>28</v>
      </c>
      <c r="S17" s="1727">
        <f>F17</f>
        <v>98</v>
      </c>
      <c r="T17" s="1726" t="s">
        <v>28</v>
      </c>
      <c r="U17" s="1727">
        <f>H17</f>
        <v>98</v>
      </c>
      <c r="V17" s="1726" t="s">
        <v>28</v>
      </c>
      <c r="W17" s="1727">
        <f>J17</f>
        <v>100</v>
      </c>
      <c r="X17" s="1666"/>
      <c r="Y17" s="3433"/>
      <c r="Z17" s="1728" t="str">
        <f>Q17</f>
        <v>交通便捷度</v>
      </c>
      <c r="AA17" s="1729">
        <f t="shared" si="3"/>
        <v>1.0204081632653061</v>
      </c>
      <c r="AB17" s="1729">
        <f t="shared" si="4"/>
        <v>1.0204081632653061</v>
      </c>
      <c r="AC17" s="1729">
        <f t="shared" si="5"/>
        <v>1</v>
      </c>
    </row>
    <row r="18" spans="1:29" ht="15.5">
      <c r="A18" s="1703"/>
      <c r="B18" s="1744"/>
      <c r="C18" s="1745" t="s">
        <v>29</v>
      </c>
      <c r="D18" s="1736"/>
      <c r="E18" s="1746" t="s">
        <v>30</v>
      </c>
      <c r="F18" s="1741"/>
      <c r="G18" s="1747" t="s">
        <v>30</v>
      </c>
      <c r="H18" s="1732"/>
      <c r="I18" s="1746" t="s">
        <v>29</v>
      </c>
      <c r="J18" s="1732"/>
      <c r="K18" s="1737"/>
      <c r="L18" s="3004"/>
      <c r="M18" s="3000"/>
      <c r="N18" s="3000"/>
      <c r="O18" s="3000"/>
      <c r="P18" s="3431"/>
      <c r="Q18" s="1616"/>
      <c r="R18" s="1726"/>
      <c r="S18" s="1727"/>
      <c r="T18" s="1726"/>
      <c r="U18" s="1727"/>
      <c r="V18" s="1726"/>
      <c r="W18" s="1727"/>
      <c r="X18" s="1666"/>
      <c r="Y18" s="3433"/>
      <c r="Z18" s="1728"/>
      <c r="AA18" s="1729">
        <v>1</v>
      </c>
      <c r="AB18" s="1729">
        <v>1</v>
      </c>
      <c r="AC18" s="1729">
        <v>1</v>
      </c>
    </row>
    <row r="19" spans="1:29" ht="42">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31"/>
      <c r="Q19" s="1616" t="str">
        <f>B19</f>
        <v>公共配套设施</v>
      </c>
      <c r="R19" s="1726" t="s">
        <v>28</v>
      </c>
      <c r="S19" s="1727">
        <f>F19</f>
        <v>100</v>
      </c>
      <c r="T19" s="1726" t="s">
        <v>28</v>
      </c>
      <c r="U19" s="1727">
        <f>H19</f>
        <v>100</v>
      </c>
      <c r="V19" s="1726" t="s">
        <v>28</v>
      </c>
      <c r="W19" s="1727">
        <f>J19</f>
        <v>100</v>
      </c>
      <c r="X19" s="1666"/>
      <c r="Y19" s="3433"/>
      <c r="Z19" s="1728" t="str">
        <f>Q19</f>
        <v>公共配套设施</v>
      </c>
      <c r="AA19" s="1729">
        <f t="shared" si="3"/>
        <v>1</v>
      </c>
      <c r="AB19" s="1729">
        <f t="shared" si="4"/>
        <v>1</v>
      </c>
      <c r="AC19" s="1729">
        <f t="shared" si="5"/>
        <v>1</v>
      </c>
    </row>
    <row r="20" spans="1:29" ht="15.5">
      <c r="A20" s="1703"/>
      <c r="B20" s="1744"/>
      <c r="C20" s="1731" t="s">
        <v>29</v>
      </c>
      <c r="D20" s="1732"/>
      <c r="E20" s="1733" t="s">
        <v>29</v>
      </c>
      <c r="F20" s="1734"/>
      <c r="G20" s="1735" t="s">
        <v>29</v>
      </c>
      <c r="H20" s="1732"/>
      <c r="I20" s="1733" t="s">
        <v>29</v>
      </c>
      <c r="J20" s="1732"/>
      <c r="K20" s="1737"/>
      <c r="L20" s="3004"/>
      <c r="M20" s="3000"/>
      <c r="N20" s="3000"/>
      <c r="O20" s="3000"/>
      <c r="P20" s="3431"/>
      <c r="Q20" s="1616"/>
      <c r="R20" s="1726"/>
      <c r="S20" s="1727"/>
      <c r="T20" s="1726"/>
      <c r="U20" s="1727"/>
      <c r="V20" s="1726"/>
      <c r="W20" s="1727"/>
      <c r="X20" s="1666"/>
      <c r="Y20" s="3433"/>
      <c r="Z20" s="1728"/>
      <c r="AA20" s="1729">
        <v>1</v>
      </c>
      <c r="AB20" s="1729">
        <v>1</v>
      </c>
      <c r="AC20" s="1729">
        <v>1</v>
      </c>
    </row>
    <row r="21" spans="1:29" ht="28">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31"/>
      <c r="Q21" s="1616" t="str">
        <f>B21</f>
        <v>基础设施水平</v>
      </c>
      <c r="R21" s="1726" t="s">
        <v>28</v>
      </c>
      <c r="S21" s="1727">
        <f>F21</f>
        <v>100</v>
      </c>
      <c r="T21" s="1726" t="s">
        <v>28</v>
      </c>
      <c r="U21" s="1727">
        <f>H21</f>
        <v>100</v>
      </c>
      <c r="V21" s="1726" t="s">
        <v>28</v>
      </c>
      <c r="W21" s="1727">
        <f>J21</f>
        <v>100</v>
      </c>
      <c r="X21" s="1666"/>
      <c r="Y21" s="3433"/>
      <c r="Z21" s="1728" t="str">
        <f>Q21</f>
        <v>基础设施水平</v>
      </c>
      <c r="AA21" s="1729">
        <f t="shared" ref="AA21" si="8">D21/F21</f>
        <v>1</v>
      </c>
      <c r="AB21" s="1729">
        <f t="shared" ref="AB21" si="9">D21/H21</f>
        <v>1</v>
      </c>
      <c r="AC21" s="1729">
        <f t="shared" ref="AC21" si="10">D21/J21</f>
        <v>1</v>
      </c>
    </row>
    <row r="22" spans="1:29" ht="15.5">
      <c r="A22" s="1703"/>
      <c r="B22" s="1751"/>
      <c r="C22" s="1745" t="s">
        <v>2935</v>
      </c>
      <c r="D22" s="1732"/>
      <c r="E22" s="1731" t="s">
        <v>2935</v>
      </c>
      <c r="F22" s="1734"/>
      <c r="G22" s="1731" t="s">
        <v>2935</v>
      </c>
      <c r="H22" s="1732"/>
      <c r="I22" s="1731" t="s">
        <v>2935</v>
      </c>
      <c r="J22" s="1732"/>
      <c r="K22" s="1752"/>
      <c r="L22" s="3004"/>
      <c r="M22" s="3000"/>
      <c r="N22" s="3000"/>
      <c r="O22" s="3000"/>
      <c r="P22" s="3431"/>
      <c r="Q22" s="1616"/>
      <c r="R22" s="1726"/>
      <c r="S22" s="1727"/>
      <c r="T22" s="1726"/>
      <c r="U22" s="1727"/>
      <c r="V22" s="1726"/>
      <c r="W22" s="1727"/>
      <c r="X22" s="1666"/>
      <c r="Y22" s="3433"/>
      <c r="Z22" s="1728"/>
      <c r="AA22" s="1729">
        <v>1</v>
      </c>
      <c r="AB22" s="1729">
        <v>1</v>
      </c>
      <c r="AC22" s="1729">
        <v>1</v>
      </c>
    </row>
    <row r="23" spans="1:29" ht="140.25" customHeight="1">
      <c r="A23" s="1703"/>
      <c r="B23" s="1738" t="s">
        <v>1715</v>
      </c>
      <c r="C23" s="1739" t="str">
        <f>估价对象房地状况!C9</f>
        <v xml:space="preserve">自然环境：昌平公园、北山公园等自然景观；
人文环境：中国石油大学、中国政法大学昌平校区等人文场所；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31"/>
      <c r="Q23" s="1616" t="str">
        <f>B23</f>
        <v>自然及人文环境</v>
      </c>
      <c r="R23" s="1726" t="s">
        <v>28</v>
      </c>
      <c r="S23" s="1727">
        <f>F23</f>
        <v>100</v>
      </c>
      <c r="T23" s="1726" t="s">
        <v>28</v>
      </c>
      <c r="U23" s="1727">
        <f>H23</f>
        <v>100</v>
      </c>
      <c r="V23" s="1726" t="s">
        <v>28</v>
      </c>
      <c r="W23" s="1727">
        <f>J23</f>
        <v>100</v>
      </c>
      <c r="X23" s="1666"/>
      <c r="Y23" s="3433"/>
      <c r="Z23" s="1728" t="str">
        <f>Q23</f>
        <v>自然及人文环境</v>
      </c>
      <c r="AA23" s="1729">
        <f t="shared" si="3"/>
        <v>1</v>
      </c>
      <c r="AB23" s="1729">
        <f t="shared" si="4"/>
        <v>1</v>
      </c>
      <c r="AC23" s="1729">
        <f t="shared" si="5"/>
        <v>1</v>
      </c>
    </row>
    <row r="24" spans="1:29" ht="15.5">
      <c r="A24" s="1703"/>
      <c r="B24" s="1744"/>
      <c r="C24" s="1731" t="s">
        <v>29</v>
      </c>
      <c r="D24" s="1732"/>
      <c r="E24" s="1733" t="s">
        <v>29</v>
      </c>
      <c r="F24" s="1734"/>
      <c r="G24" s="1735" t="s">
        <v>29</v>
      </c>
      <c r="H24" s="1732"/>
      <c r="I24" s="1733" t="s">
        <v>29</v>
      </c>
      <c r="J24" s="1732"/>
      <c r="K24" s="1737"/>
      <c r="L24" s="3004"/>
      <c r="M24" s="3000"/>
      <c r="N24" s="3000"/>
      <c r="O24" s="3000"/>
      <c r="P24" s="3431"/>
      <c r="Q24" s="1616"/>
      <c r="R24" s="1726"/>
      <c r="S24" s="1727"/>
      <c r="T24" s="1726"/>
      <c r="U24" s="1727"/>
      <c r="V24" s="1726"/>
      <c r="W24" s="1727"/>
      <c r="X24" s="1666"/>
      <c r="Y24" s="3433"/>
      <c r="Z24" s="1728"/>
      <c r="AA24" s="1729">
        <v>1</v>
      </c>
      <c r="AB24" s="1729">
        <v>1</v>
      </c>
      <c r="AC24" s="1729">
        <v>1</v>
      </c>
    </row>
    <row r="25" spans="1:29" ht="15.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31"/>
      <c r="Q25" s="1616" t="str">
        <f t="shared" ref="Q25:Q46" si="11">B25</f>
        <v>楼层-1</v>
      </c>
      <c r="R25" s="1726" t="s">
        <v>28</v>
      </c>
      <c r="S25" s="1727">
        <f>F25</f>
        <v>100</v>
      </c>
      <c r="T25" s="1726" t="s">
        <v>28</v>
      </c>
      <c r="U25" s="1727">
        <f>H25</f>
        <v>100</v>
      </c>
      <c r="V25" s="1726" t="s">
        <v>28</v>
      </c>
      <c r="W25" s="1727">
        <f>J25</f>
        <v>100</v>
      </c>
      <c r="X25" s="1666"/>
      <c r="Y25" s="3433"/>
      <c r="Z25" s="1728" t="str">
        <f>Q25</f>
        <v>楼层-1</v>
      </c>
      <c r="AA25" s="1729">
        <f t="shared" si="3"/>
        <v>1</v>
      </c>
      <c r="AB25" s="1729">
        <f t="shared" si="4"/>
        <v>1</v>
      </c>
      <c r="AC25" s="1729">
        <f t="shared" si="5"/>
        <v>1</v>
      </c>
    </row>
    <row r="26" spans="1:29" ht="15.5">
      <c r="A26" s="1703"/>
      <c r="B26" s="1696" t="s">
        <v>2280</v>
      </c>
      <c r="C26" s="1753" t="s">
        <v>2939</v>
      </c>
      <c r="D26" s="1712">
        <v>100</v>
      </c>
      <c r="E26" s="1754" t="s">
        <v>2939</v>
      </c>
      <c r="F26" s="1755">
        <f>SUMIF(88:88,E26,89:89)-SUMIF(88:88,C26,89:89)+100</f>
        <v>100</v>
      </c>
      <c r="G26" s="1756" t="s">
        <v>2937</v>
      </c>
      <c r="H26" s="1712">
        <f>SUMIF(88:88,G26,89:89)-SUMIF(88:88,C26,89:89)+100</f>
        <v>101</v>
      </c>
      <c r="I26" s="1754" t="s">
        <v>2937</v>
      </c>
      <c r="J26" s="1712">
        <f>SUMIF(88:88,I26,89:89)-SUMIF(88:88,C26,89:89)+100</f>
        <v>101</v>
      </c>
      <c r="K26" s="1701">
        <v>1</v>
      </c>
      <c r="L26" s="3004"/>
      <c r="M26" s="3000"/>
      <c r="N26" s="3000"/>
      <c r="O26" s="3000"/>
      <c r="P26" s="3431"/>
      <c r="Q26" s="1616" t="str">
        <f t="shared" si="11"/>
        <v>朝向</v>
      </c>
      <c r="R26" s="1726" t="s">
        <v>28</v>
      </c>
      <c r="S26" s="1727">
        <f>F26</f>
        <v>100</v>
      </c>
      <c r="T26" s="1726" t="s">
        <v>28</v>
      </c>
      <c r="U26" s="1727">
        <f>H26</f>
        <v>101</v>
      </c>
      <c r="V26" s="1726" t="s">
        <v>28</v>
      </c>
      <c r="W26" s="1727">
        <f>J26</f>
        <v>101</v>
      </c>
      <c r="X26" s="1666"/>
      <c r="Y26" s="3433"/>
      <c r="Z26" s="1728" t="str">
        <f>Q26</f>
        <v>朝向</v>
      </c>
      <c r="AA26" s="1729">
        <f t="shared" si="3"/>
        <v>1</v>
      </c>
      <c r="AB26" s="1729">
        <f t="shared" si="4"/>
        <v>0.99009900990099009</v>
      </c>
      <c r="AC26" s="1729">
        <f t="shared" si="5"/>
        <v>0.99009900990099009</v>
      </c>
    </row>
    <row r="27" spans="1:29" s="1685" customFormat="1" ht="28">
      <c r="A27" s="1706"/>
      <c r="B27" s="1707" t="s">
        <v>2281</v>
      </c>
      <c r="C27" s="3160" t="s">
        <v>2931</v>
      </c>
      <c r="D27" s="1757">
        <v>100</v>
      </c>
      <c r="E27" s="3161" t="s">
        <v>2941</v>
      </c>
      <c r="F27" s="1759">
        <f>SUMIF(90:90,E27,91:91)-SUMIF(90:90,C27,91:91)+100</f>
        <v>102</v>
      </c>
      <c r="G27" s="3162" t="s">
        <v>2941</v>
      </c>
      <c r="H27" s="1757">
        <f>SUMIF(90:90,G27,91:91)-SUMIF(90:90,C27,91:91)+100</f>
        <v>102</v>
      </c>
      <c r="I27" s="3161" t="s">
        <v>2942</v>
      </c>
      <c r="J27" s="1757">
        <f>SUMIF(90:90,I27,91:91)-SUMIF(90:90,C27,91:91)+100</f>
        <v>102</v>
      </c>
      <c r="K27" s="1710"/>
      <c r="L27" s="2999"/>
      <c r="M27" s="2972"/>
      <c r="N27" s="2972"/>
      <c r="O27" s="2972"/>
      <c r="P27" s="3431"/>
      <c r="Q27" s="1635" t="str">
        <f t="shared" si="11"/>
        <v>道路级别</v>
      </c>
      <c r="R27" s="1681" t="s">
        <v>28</v>
      </c>
      <c r="S27" s="1682">
        <f>F27</f>
        <v>102</v>
      </c>
      <c r="T27" s="1681" t="s">
        <v>28</v>
      </c>
      <c r="U27" s="1682">
        <f>H27</f>
        <v>102</v>
      </c>
      <c r="V27" s="1681" t="s">
        <v>28</v>
      </c>
      <c r="W27" s="1682">
        <f>J27</f>
        <v>102</v>
      </c>
      <c r="X27" s="1683"/>
      <c r="Y27" s="3433"/>
      <c r="Z27" s="1694" t="str">
        <f>Q27</f>
        <v>道路级别</v>
      </c>
      <c r="AA27" s="1729">
        <f>D27/F27</f>
        <v>0.98039215686274506</v>
      </c>
      <c r="AB27" s="1729">
        <f>D27/H27</f>
        <v>0.98039215686274506</v>
      </c>
      <c r="AC27" s="1729">
        <f>D27/J27</f>
        <v>0.98039215686274506</v>
      </c>
    </row>
    <row r="28" spans="1:29" ht="16" thickBot="1">
      <c r="A28" s="1703"/>
      <c r="B28" s="3158" t="s">
        <v>2936</v>
      </c>
      <c r="C28" s="1711" t="s">
        <v>2946</v>
      </c>
      <c r="D28" s="1712">
        <v>100</v>
      </c>
      <c r="E28" s="1711" t="s">
        <v>2947</v>
      </c>
      <c r="F28" s="1755">
        <f>SUMIF(92:92,E28,93:93)-SUMIF(92:92,C28,93:93)+100</f>
        <v>100</v>
      </c>
      <c r="G28" s="1711" t="s">
        <v>2948</v>
      </c>
      <c r="H28" s="1712">
        <f>SUMIF(92:92,G28,93:93)-SUMIF(92:92,C28,93:93)+100</f>
        <v>99</v>
      </c>
      <c r="I28" s="1711" t="s">
        <v>2946</v>
      </c>
      <c r="J28" s="1712">
        <f>SUMIF(92:92,I28,93:93)-SUMIF(92:92,C28,93:93)+100</f>
        <v>100</v>
      </c>
      <c r="K28" s="1710"/>
      <c r="L28" s="3004"/>
      <c r="M28" s="3000"/>
      <c r="N28" s="3000"/>
      <c r="O28" s="3000"/>
      <c r="P28" s="3431"/>
      <c r="Q28" s="1616" t="str">
        <f t="shared" si="11"/>
        <v>楼层</v>
      </c>
      <c r="R28" s="1726" t="s">
        <v>28</v>
      </c>
      <c r="S28" s="1727">
        <f t="shared" ref="S28:S46" si="12">F28</f>
        <v>100</v>
      </c>
      <c r="T28" s="1726" t="s">
        <v>28</v>
      </c>
      <c r="U28" s="1727">
        <f t="shared" ref="U28:U46" si="13">H28</f>
        <v>99</v>
      </c>
      <c r="V28" s="1726" t="s">
        <v>28</v>
      </c>
      <c r="W28" s="1727">
        <f t="shared" ref="W28:W46" si="14">J28</f>
        <v>100</v>
      </c>
      <c r="X28" s="1666"/>
      <c r="Y28" s="3433"/>
      <c r="Z28" s="1728" t="str">
        <f t="shared" ref="Z28:Z46" si="15">Q28</f>
        <v>楼层</v>
      </c>
      <c r="AA28" s="1729">
        <f t="shared" si="3"/>
        <v>1</v>
      </c>
      <c r="AB28" s="1729">
        <f t="shared" si="4"/>
        <v>1.0101010101010102</v>
      </c>
      <c r="AC28" s="1729">
        <f t="shared" si="5"/>
        <v>1</v>
      </c>
    </row>
    <row r="29" spans="1:29" ht="15.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31"/>
      <c r="Q29" s="1616">
        <f t="shared" si="11"/>
        <v>111</v>
      </c>
      <c r="R29" s="1726" t="s">
        <v>28</v>
      </c>
      <c r="S29" s="1727">
        <f t="shared" si="12"/>
        <v>100</v>
      </c>
      <c r="T29" s="1726" t="s">
        <v>28</v>
      </c>
      <c r="U29" s="1727">
        <f t="shared" si="13"/>
        <v>100</v>
      </c>
      <c r="V29" s="1726" t="s">
        <v>28</v>
      </c>
      <c r="W29" s="1727">
        <f t="shared" si="14"/>
        <v>100</v>
      </c>
      <c r="X29" s="1666"/>
      <c r="Y29" s="3433"/>
      <c r="Z29" s="1728">
        <f t="shared" si="15"/>
        <v>111</v>
      </c>
      <c r="AA29" s="1729">
        <f t="shared" si="3"/>
        <v>1</v>
      </c>
      <c r="AB29" s="1729">
        <f t="shared" si="4"/>
        <v>1</v>
      </c>
      <c r="AC29" s="1729">
        <f t="shared" si="5"/>
        <v>1</v>
      </c>
    </row>
    <row r="30" spans="1:29" ht="15.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31"/>
      <c r="Q30" s="1616">
        <f t="shared" si="11"/>
        <v>111</v>
      </c>
      <c r="R30" s="1726" t="s">
        <v>28</v>
      </c>
      <c r="S30" s="1727">
        <f t="shared" si="12"/>
        <v>100</v>
      </c>
      <c r="T30" s="1726" t="s">
        <v>28</v>
      </c>
      <c r="U30" s="1727">
        <f t="shared" si="13"/>
        <v>100</v>
      </c>
      <c r="V30" s="1726" t="s">
        <v>28</v>
      </c>
      <c r="W30" s="1727">
        <f t="shared" si="14"/>
        <v>100</v>
      </c>
      <c r="X30" s="1666"/>
      <c r="Y30" s="3433"/>
      <c r="Z30" s="1728">
        <f t="shared" si="15"/>
        <v>111</v>
      </c>
      <c r="AA30" s="1729">
        <f t="shared" si="3"/>
        <v>1</v>
      </c>
      <c r="AB30" s="1729">
        <f t="shared" si="4"/>
        <v>1</v>
      </c>
      <c r="AC30" s="1729">
        <f t="shared" si="5"/>
        <v>1</v>
      </c>
    </row>
    <row r="31" spans="1:29" ht="16"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31"/>
      <c r="Q31" s="1616">
        <f t="shared" si="11"/>
        <v>111</v>
      </c>
      <c r="R31" s="1726" t="s">
        <v>28</v>
      </c>
      <c r="S31" s="1727">
        <f t="shared" si="12"/>
        <v>100</v>
      </c>
      <c r="T31" s="1726" t="s">
        <v>28</v>
      </c>
      <c r="U31" s="1727">
        <f t="shared" si="13"/>
        <v>100</v>
      </c>
      <c r="V31" s="1726" t="s">
        <v>28</v>
      </c>
      <c r="W31" s="1727">
        <f t="shared" si="14"/>
        <v>100</v>
      </c>
      <c r="X31" s="1666"/>
      <c r="Y31" s="3433"/>
      <c r="Z31" s="1728">
        <f t="shared" si="15"/>
        <v>111</v>
      </c>
      <c r="AA31" s="1729">
        <f t="shared" si="3"/>
        <v>1</v>
      </c>
      <c r="AB31" s="1729">
        <f t="shared" si="4"/>
        <v>1</v>
      </c>
      <c r="AC31" s="1729">
        <f t="shared" si="5"/>
        <v>1</v>
      </c>
    </row>
    <row r="32" spans="1:29" ht="15.5">
      <c r="A32" s="1718" t="s">
        <v>2282</v>
      </c>
      <c r="B32" s="1688" t="s">
        <v>2283</v>
      </c>
      <c r="C32" s="1762" t="s">
        <v>2949</v>
      </c>
      <c r="D32" s="1763">
        <v>100</v>
      </c>
      <c r="E32" s="1764" t="s">
        <v>2949</v>
      </c>
      <c r="F32" s="1755">
        <f>SUMIF(100:100,E32,101:101)-SUMIF(100:100,C32,101:101)+100</f>
        <v>100</v>
      </c>
      <c r="G32" s="1762" t="s">
        <v>2949</v>
      </c>
      <c r="H32" s="1763">
        <f>SUMIF(100:100,G32,101:101)-SUMIF(100:100,C32,101:101)+100</f>
        <v>100</v>
      </c>
      <c r="I32" s="1764" t="s">
        <v>2949</v>
      </c>
      <c r="J32" s="1712">
        <f>SUMIF(100:100,I32,101:101)-SUMIF(100:100,C32,101:101)+100</f>
        <v>100</v>
      </c>
      <c r="K32" s="1701"/>
      <c r="L32" s="3004"/>
      <c r="M32" s="3000"/>
      <c r="N32" s="3000"/>
      <c r="O32" s="3000"/>
      <c r="P32" s="3434" t="s">
        <v>2284</v>
      </c>
      <c r="Q32" s="1616" t="str">
        <f t="shared" si="11"/>
        <v>建筑类型</v>
      </c>
      <c r="R32" s="1726" t="s">
        <v>28</v>
      </c>
      <c r="S32" s="1727">
        <f t="shared" si="12"/>
        <v>100</v>
      </c>
      <c r="T32" s="1726" t="s">
        <v>28</v>
      </c>
      <c r="U32" s="1727">
        <f t="shared" si="13"/>
        <v>100</v>
      </c>
      <c r="V32" s="1726" t="s">
        <v>28</v>
      </c>
      <c r="W32" s="1727">
        <f t="shared" si="14"/>
        <v>100</v>
      </c>
      <c r="X32" s="1666"/>
      <c r="Y32" s="3437" t="s">
        <v>2284</v>
      </c>
      <c r="Z32" s="1728" t="str">
        <f t="shared" si="15"/>
        <v>建筑类型</v>
      </c>
      <c r="AA32" s="1729">
        <f t="shared" si="3"/>
        <v>1</v>
      </c>
      <c r="AB32" s="1729">
        <f t="shared" si="4"/>
        <v>1</v>
      </c>
      <c r="AC32" s="1729">
        <f t="shared" si="5"/>
        <v>1</v>
      </c>
    </row>
    <row r="33" spans="1:29" s="1772" customFormat="1" ht="15.5">
      <c r="A33" s="1765"/>
      <c r="B33" s="1696" t="s">
        <v>2285</v>
      </c>
      <c r="C33" s="1766">
        <v>54.91</v>
      </c>
      <c r="D33" s="1698">
        <v>100</v>
      </c>
      <c r="E33" s="1705">
        <v>49.67</v>
      </c>
      <c r="F33" s="1700">
        <f>LOOKUP(E33,103:103,104:104)-LOOKUP(C33,103:103,104:104)+100</f>
        <v>100</v>
      </c>
      <c r="G33" s="1704">
        <v>53</v>
      </c>
      <c r="H33" s="1698">
        <f>LOOKUP(G33,103:103,104:104)-LOOKUP(C33,103:103,104:104)+100</f>
        <v>100</v>
      </c>
      <c r="I33" s="1705">
        <v>71.31</v>
      </c>
      <c r="J33" s="1698">
        <f>LOOKUP(I33,103:103,104:104)-LOOKUP(C33,103:103,104:104)+100</f>
        <v>98</v>
      </c>
      <c r="K33" s="1710"/>
      <c r="L33" s="3003"/>
      <c r="M33" s="2060"/>
      <c r="N33" s="2060"/>
      <c r="O33" s="2060"/>
      <c r="P33" s="3435"/>
      <c r="Q33" s="1767" t="str">
        <f t="shared" si="11"/>
        <v>项目建筑规模</v>
      </c>
      <c r="R33" s="1768" t="s">
        <v>28</v>
      </c>
      <c r="S33" s="1769">
        <f t="shared" si="12"/>
        <v>100</v>
      </c>
      <c r="T33" s="1768" t="s">
        <v>28</v>
      </c>
      <c r="U33" s="1769">
        <f t="shared" si="13"/>
        <v>100</v>
      </c>
      <c r="V33" s="1768" t="s">
        <v>28</v>
      </c>
      <c r="W33" s="1769">
        <f t="shared" si="14"/>
        <v>98</v>
      </c>
      <c r="X33" s="1770"/>
      <c r="Y33" s="3437"/>
      <c r="Z33" s="1771" t="str">
        <f t="shared" si="15"/>
        <v>项目建筑规模</v>
      </c>
      <c r="AA33" s="1729">
        <f t="shared" si="3"/>
        <v>1</v>
      </c>
      <c r="AB33" s="1729">
        <f t="shared" si="4"/>
        <v>1</v>
      </c>
      <c r="AC33" s="1729">
        <f t="shared" si="5"/>
        <v>1.0204081632653061</v>
      </c>
    </row>
    <row r="34" spans="1:29" ht="15.5">
      <c r="A34" s="1773"/>
      <c r="B34" s="1696" t="s">
        <v>2286</v>
      </c>
      <c r="C34" s="1774" t="s">
        <v>2951</v>
      </c>
      <c r="D34" s="1712">
        <v>100</v>
      </c>
      <c r="E34" s="1775" t="s">
        <v>2951</v>
      </c>
      <c r="F34" s="1755">
        <f>SUMIF(105:105,E34,106:106)-SUMIF(105:105,C34,106:106)+100</f>
        <v>100</v>
      </c>
      <c r="G34" s="1774" t="s">
        <v>2951</v>
      </c>
      <c r="H34" s="1712">
        <f>SUMIF(105:105,G34,106:106)-SUMIF(105:105,C34,106:106)+100</f>
        <v>100</v>
      </c>
      <c r="I34" s="1775" t="s">
        <v>2951</v>
      </c>
      <c r="J34" s="1712">
        <f>SUMIF(105:105,I34,106:106)-SUMIF(105:105,C34,106:106)+100</f>
        <v>100</v>
      </c>
      <c r="K34" s="1701"/>
      <c r="L34" s="3004"/>
      <c r="M34" s="3000"/>
      <c r="N34" s="3000"/>
      <c r="O34" s="3000"/>
      <c r="P34" s="3435"/>
      <c r="Q34" s="1616" t="str">
        <f t="shared" si="11"/>
        <v>建筑结构</v>
      </c>
      <c r="R34" s="1726" t="s">
        <v>28</v>
      </c>
      <c r="S34" s="1727">
        <f t="shared" si="12"/>
        <v>100</v>
      </c>
      <c r="T34" s="1726" t="s">
        <v>28</v>
      </c>
      <c r="U34" s="1727">
        <f t="shared" si="13"/>
        <v>100</v>
      </c>
      <c r="V34" s="1726" t="s">
        <v>28</v>
      </c>
      <c r="W34" s="1727">
        <f t="shared" si="14"/>
        <v>100</v>
      </c>
      <c r="X34" s="1666"/>
      <c r="Y34" s="3437"/>
      <c r="Z34" s="1728" t="str">
        <f t="shared" si="15"/>
        <v>建筑结构</v>
      </c>
      <c r="AA34" s="1729">
        <f t="shared" si="3"/>
        <v>1</v>
      </c>
      <c r="AB34" s="1729">
        <f t="shared" si="4"/>
        <v>1</v>
      </c>
      <c r="AC34" s="1729">
        <f t="shared" si="5"/>
        <v>1</v>
      </c>
    </row>
    <row r="35" spans="1:29" ht="15.5" hidden="1">
      <c r="A35" s="1773"/>
      <c r="B35" s="1696" t="s">
        <v>2287</v>
      </c>
      <c r="C35" s="1756" t="s">
        <v>2953</v>
      </c>
      <c r="D35" s="1712">
        <v>100</v>
      </c>
      <c r="E35" s="1754" t="s">
        <v>2953</v>
      </c>
      <c r="F35" s="1755">
        <f>SUMIF(107:107,E35,108:108)-SUMIF(107:107,C35,108:108)+100</f>
        <v>100</v>
      </c>
      <c r="G35" s="1756" t="s">
        <v>2953</v>
      </c>
      <c r="H35" s="1712">
        <f>SUMIF(107:107,G35,108:108)-SUMIF(107:107,C35,108:108)+100</f>
        <v>100</v>
      </c>
      <c r="I35" s="1754" t="s">
        <v>2953</v>
      </c>
      <c r="J35" s="1712">
        <f>SUMIF(107:107,I35,108:108)-SUMIF(107:107,C35,108:108)+100</f>
        <v>100</v>
      </c>
      <c r="K35" s="1701"/>
      <c r="L35" s="3004"/>
      <c r="M35" s="3000"/>
      <c r="N35" s="3000"/>
      <c r="O35" s="3000"/>
      <c r="P35" s="3435"/>
      <c r="Q35" s="1616" t="str">
        <f t="shared" si="11"/>
        <v>建筑品质</v>
      </c>
      <c r="R35" s="1726" t="s">
        <v>28</v>
      </c>
      <c r="S35" s="1727">
        <f t="shared" si="12"/>
        <v>100</v>
      </c>
      <c r="T35" s="1726" t="s">
        <v>28</v>
      </c>
      <c r="U35" s="1727">
        <f t="shared" si="13"/>
        <v>100</v>
      </c>
      <c r="V35" s="1726" t="s">
        <v>28</v>
      </c>
      <c r="W35" s="1727">
        <f t="shared" si="14"/>
        <v>100</v>
      </c>
      <c r="X35" s="1666"/>
      <c r="Y35" s="3437"/>
      <c r="Z35" s="1728" t="str">
        <f t="shared" si="15"/>
        <v>建筑品质</v>
      </c>
      <c r="AA35" s="1729">
        <f t="shared" si="3"/>
        <v>1</v>
      </c>
      <c r="AB35" s="1729">
        <f t="shared" si="4"/>
        <v>1</v>
      </c>
      <c r="AC35" s="1729">
        <f t="shared" si="5"/>
        <v>1</v>
      </c>
    </row>
    <row r="36" spans="1:29" ht="15.5">
      <c r="A36" s="1773"/>
      <c r="B36" s="1696" t="s">
        <v>2288</v>
      </c>
      <c r="C36" s="1756" t="s">
        <v>2955</v>
      </c>
      <c r="D36" s="1712">
        <v>100</v>
      </c>
      <c r="E36" s="1754" t="s">
        <v>2955</v>
      </c>
      <c r="F36" s="1755">
        <f>SUMIF(109:109,E36,110:110)-SUMIF(109:109,C36,110:110)+100</f>
        <v>100</v>
      </c>
      <c r="G36" s="1756" t="s">
        <v>2955</v>
      </c>
      <c r="H36" s="1712">
        <f>SUMIF(109:109,G36,110:110)-SUMIF(109:109,C36,110:110)+100</f>
        <v>100</v>
      </c>
      <c r="I36" s="1754" t="s">
        <v>2955</v>
      </c>
      <c r="J36" s="1712">
        <f>SUMIF(109:109,I36,110:110)-SUMIF(109:109,C36,110:110)+100</f>
        <v>100</v>
      </c>
      <c r="K36" s="1701"/>
      <c r="L36" s="3004"/>
      <c r="M36" s="3000"/>
      <c r="N36" s="3000"/>
      <c r="O36" s="3000"/>
      <c r="P36" s="3435"/>
      <c r="Q36" s="1616" t="str">
        <f t="shared" si="11"/>
        <v>公共部分装修</v>
      </c>
      <c r="R36" s="1726" t="s">
        <v>28</v>
      </c>
      <c r="S36" s="1727">
        <f t="shared" si="12"/>
        <v>100</v>
      </c>
      <c r="T36" s="1726" t="s">
        <v>28</v>
      </c>
      <c r="U36" s="1727">
        <f t="shared" si="13"/>
        <v>100</v>
      </c>
      <c r="V36" s="1726" t="s">
        <v>28</v>
      </c>
      <c r="W36" s="1727">
        <f t="shared" si="14"/>
        <v>100</v>
      </c>
      <c r="X36" s="1666"/>
      <c r="Y36" s="3437"/>
      <c r="Z36" s="1728" t="str">
        <f t="shared" si="15"/>
        <v>公共部分装修</v>
      </c>
      <c r="AA36" s="1729">
        <f t="shared" si="3"/>
        <v>1</v>
      </c>
      <c r="AB36" s="1729">
        <f t="shared" si="4"/>
        <v>1</v>
      </c>
      <c r="AC36" s="1729">
        <f t="shared" si="5"/>
        <v>1</v>
      </c>
    </row>
    <row r="37" spans="1:29" s="1685" customFormat="1" ht="15.5" hidden="1">
      <c r="A37" s="1776"/>
      <c r="B37" s="1696" t="s">
        <v>2289</v>
      </c>
      <c r="C37" s="1777">
        <v>0.7</v>
      </c>
      <c r="D37" s="1698">
        <v>100</v>
      </c>
      <c r="E37" s="1778">
        <v>0.7</v>
      </c>
      <c r="F37" s="1700">
        <f>LOOKUP(E37,112:112,113:113)-LOOKUP(C37,112:112,113:113)+100</f>
        <v>100</v>
      </c>
      <c r="G37" s="1779">
        <v>0.7</v>
      </c>
      <c r="H37" s="1698">
        <f>LOOKUP(G37,112:112,113:113)-LOOKUP(C37,112:112,113:113)+100</f>
        <v>100</v>
      </c>
      <c r="I37" s="1778">
        <v>0.7</v>
      </c>
      <c r="J37" s="1698">
        <f>LOOKUP(I37,112:112,113:113)-LOOKUP(C37,112:112,113:113)+100</f>
        <v>100</v>
      </c>
      <c r="K37" s="1701"/>
      <c r="L37" s="2999"/>
      <c r="M37" s="2972"/>
      <c r="N37" s="2972"/>
      <c r="O37" s="2972"/>
      <c r="P37" s="3435"/>
      <c r="Q37" s="1635" t="str">
        <f t="shared" si="11"/>
        <v>成新度</v>
      </c>
      <c r="R37" s="1681" t="s">
        <v>28</v>
      </c>
      <c r="S37" s="1682">
        <f t="shared" si="12"/>
        <v>100</v>
      </c>
      <c r="T37" s="1681" t="s">
        <v>28</v>
      </c>
      <c r="U37" s="1682">
        <f t="shared" si="13"/>
        <v>100</v>
      </c>
      <c r="V37" s="1681" t="s">
        <v>28</v>
      </c>
      <c r="W37" s="1682">
        <f t="shared" si="14"/>
        <v>100</v>
      </c>
      <c r="X37" s="1683"/>
      <c r="Y37" s="3437"/>
      <c r="Z37" s="1694" t="str">
        <f t="shared" si="15"/>
        <v>成新度</v>
      </c>
      <c r="AA37" s="1684">
        <f t="shared" si="3"/>
        <v>1</v>
      </c>
      <c r="AB37" s="1684">
        <f t="shared" si="4"/>
        <v>1</v>
      </c>
      <c r="AC37" s="1684">
        <f t="shared" si="5"/>
        <v>1</v>
      </c>
    </row>
    <row r="38" spans="1:29" ht="15.5">
      <c r="A38" s="1773"/>
      <c r="B38" s="1696" t="s">
        <v>2290</v>
      </c>
      <c r="C38" s="1756" t="s">
        <v>2959</v>
      </c>
      <c r="D38" s="1712">
        <v>100</v>
      </c>
      <c r="E38" s="1754" t="s">
        <v>2957</v>
      </c>
      <c r="F38" s="1755">
        <f>SUMIF(114:114,E38,115:115)-SUMIF(114:114,C38,115:115)+100</f>
        <v>100</v>
      </c>
      <c r="G38" s="1756" t="s">
        <v>2957</v>
      </c>
      <c r="H38" s="1712">
        <f>SUMIF(114:114,G38,115:115)-SUMIF(114:114,C38,115:115)+100</f>
        <v>100</v>
      </c>
      <c r="I38" s="1754" t="s">
        <v>2957</v>
      </c>
      <c r="J38" s="1712">
        <f>SUMIF(114:114,I38,115:115)-SUMIF(114:114,C38,115:115)+100</f>
        <v>100</v>
      </c>
      <c r="K38" s="1701"/>
      <c r="L38" s="3004"/>
      <c r="M38" s="3000"/>
      <c r="N38" s="3000"/>
      <c r="O38" s="3000"/>
      <c r="P38" s="3435" t="s">
        <v>2284</v>
      </c>
      <c r="Q38" s="1616" t="str">
        <f t="shared" si="11"/>
        <v>物业管理</v>
      </c>
      <c r="R38" s="1726" t="s">
        <v>28</v>
      </c>
      <c r="S38" s="1727">
        <f t="shared" si="12"/>
        <v>100</v>
      </c>
      <c r="T38" s="1726" t="s">
        <v>28</v>
      </c>
      <c r="U38" s="1727">
        <f t="shared" si="13"/>
        <v>100</v>
      </c>
      <c r="V38" s="1726" t="s">
        <v>28</v>
      </c>
      <c r="W38" s="1727">
        <f t="shared" si="14"/>
        <v>100</v>
      </c>
      <c r="X38" s="1666"/>
      <c r="Y38" s="3437" t="s">
        <v>2284</v>
      </c>
      <c r="Z38" s="1728" t="str">
        <f t="shared" si="15"/>
        <v>物业管理</v>
      </c>
      <c r="AA38" s="1729">
        <f t="shared" si="3"/>
        <v>1</v>
      </c>
      <c r="AB38" s="1729">
        <f t="shared" si="4"/>
        <v>1</v>
      </c>
      <c r="AC38" s="1729">
        <f t="shared" si="5"/>
        <v>1</v>
      </c>
    </row>
    <row r="39" spans="1:29" ht="15.5">
      <c r="A39" s="1773"/>
      <c r="B39" s="1696" t="s">
        <v>2291</v>
      </c>
      <c r="C39" s="1756" t="s">
        <v>2961</v>
      </c>
      <c r="D39" s="1712">
        <v>100</v>
      </c>
      <c r="E39" s="1754" t="s">
        <v>2963</v>
      </c>
      <c r="F39" s="1755">
        <f>SUMIF(116:116,E39,117:117)-SUMIF(116:116,C39,117:117)+100</f>
        <v>99</v>
      </c>
      <c r="G39" s="1756" t="s">
        <v>2963</v>
      </c>
      <c r="H39" s="1712">
        <f>SUMIF(116:116,G39,117:117)-SUMIF(116:116,C39,117:117)+100</f>
        <v>99</v>
      </c>
      <c r="I39" s="1754" t="s">
        <v>2961</v>
      </c>
      <c r="J39" s="1712">
        <f>SUMIF(116:116,I39,117:117)-SUMIF(116:116,C39,117:117)+100</f>
        <v>100</v>
      </c>
      <c r="K39" s="1701">
        <v>1</v>
      </c>
      <c r="L39" s="3004"/>
      <c r="M39" s="3000"/>
      <c r="N39" s="3000"/>
      <c r="O39" s="3000"/>
      <c r="P39" s="3435"/>
      <c r="Q39" s="1616" t="str">
        <f t="shared" si="11"/>
        <v>市政基础设施</v>
      </c>
      <c r="R39" s="1726" t="s">
        <v>28</v>
      </c>
      <c r="S39" s="1727">
        <f t="shared" si="12"/>
        <v>99</v>
      </c>
      <c r="T39" s="1726" t="s">
        <v>28</v>
      </c>
      <c r="U39" s="1727">
        <f t="shared" si="13"/>
        <v>99</v>
      </c>
      <c r="V39" s="1726" t="s">
        <v>28</v>
      </c>
      <c r="W39" s="1727">
        <f t="shared" si="14"/>
        <v>100</v>
      </c>
      <c r="X39" s="1666"/>
      <c r="Y39" s="3437"/>
      <c r="Z39" s="1728" t="str">
        <f t="shared" si="15"/>
        <v>市政基础设施</v>
      </c>
      <c r="AA39" s="1729">
        <f t="shared" si="3"/>
        <v>1.0101010101010102</v>
      </c>
      <c r="AB39" s="1729">
        <f t="shared" si="4"/>
        <v>1.0101010101010102</v>
      </c>
      <c r="AC39" s="1729">
        <f t="shared" si="5"/>
        <v>1</v>
      </c>
    </row>
    <row r="40" spans="1:29" ht="15.5">
      <c r="A40" s="1773"/>
      <c r="B40" s="1696" t="s">
        <v>2292</v>
      </c>
      <c r="C40" s="1756" t="s">
        <v>2965</v>
      </c>
      <c r="D40" s="1712">
        <v>100</v>
      </c>
      <c r="E40" s="1754" t="s">
        <v>2965</v>
      </c>
      <c r="F40" s="1755">
        <f>SUMIF(118:118,E40,119:119)-SUMIF(118:118,C40,119:119)+100</f>
        <v>100</v>
      </c>
      <c r="G40" s="1756" t="s">
        <v>2965</v>
      </c>
      <c r="H40" s="1712">
        <f>SUMIF(118:118,G40,119:119)-SUMIF(118:118,C40,119:119)+100</f>
        <v>100</v>
      </c>
      <c r="I40" s="1754" t="s">
        <v>2965</v>
      </c>
      <c r="J40" s="1712">
        <f>SUMIF(118:118,I40,119:119)-SUMIF(118:118,C40,119:119)+100</f>
        <v>100</v>
      </c>
      <c r="K40" s="1701"/>
      <c r="L40" s="3004"/>
      <c r="M40" s="3000"/>
      <c r="N40" s="3000"/>
      <c r="O40" s="3000"/>
      <c r="P40" s="3435"/>
      <c r="Q40" s="1616" t="str">
        <f t="shared" si="11"/>
        <v>房型</v>
      </c>
      <c r="R40" s="1726" t="s">
        <v>28</v>
      </c>
      <c r="S40" s="1727">
        <f t="shared" si="12"/>
        <v>100</v>
      </c>
      <c r="T40" s="1726" t="s">
        <v>28</v>
      </c>
      <c r="U40" s="1727">
        <f t="shared" si="13"/>
        <v>100</v>
      </c>
      <c r="V40" s="1726" t="s">
        <v>28</v>
      </c>
      <c r="W40" s="1727">
        <f t="shared" si="14"/>
        <v>100</v>
      </c>
      <c r="X40" s="1666"/>
      <c r="Y40" s="3437"/>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35"/>
      <c r="Q41" s="1767" t="str">
        <f t="shared" si="11"/>
        <v>单套/主力户型建筑面积</v>
      </c>
      <c r="R41" s="1768" t="s">
        <v>28</v>
      </c>
      <c r="S41" s="1769">
        <f t="shared" si="12"/>
        <v>100</v>
      </c>
      <c r="T41" s="1768" t="s">
        <v>28</v>
      </c>
      <c r="U41" s="1769">
        <f t="shared" si="13"/>
        <v>100</v>
      </c>
      <c r="V41" s="1768" t="s">
        <v>28</v>
      </c>
      <c r="W41" s="1769">
        <f t="shared" si="14"/>
        <v>100</v>
      </c>
      <c r="X41" s="1770"/>
      <c r="Y41" s="3437"/>
      <c r="Z41" s="1771" t="str">
        <f t="shared" si="15"/>
        <v>单套/主力户型建筑面积</v>
      </c>
      <c r="AA41" s="1729">
        <f t="shared" si="3"/>
        <v>1</v>
      </c>
      <c r="AB41" s="1729">
        <f t="shared" si="4"/>
        <v>1</v>
      </c>
      <c r="AC41" s="1729">
        <f t="shared" si="5"/>
        <v>1</v>
      </c>
    </row>
    <row r="42" spans="1:29" ht="15.5">
      <c r="A42" s="1773"/>
      <c r="B42" s="1696" t="s">
        <v>2294</v>
      </c>
      <c r="C42" s="1756" t="s">
        <v>2955</v>
      </c>
      <c r="D42" s="1712">
        <v>100</v>
      </c>
      <c r="E42" s="1754" t="s">
        <v>2968</v>
      </c>
      <c r="F42" s="1755">
        <f>SUMIF(122:122,E42,123:123)-SUMIF(122:122,C42,123:123)+100</f>
        <v>97</v>
      </c>
      <c r="G42" s="1756" t="s">
        <v>2968</v>
      </c>
      <c r="H42" s="1712">
        <f>SUMIF(122:122,G42,123:123)-SUMIF(122:122,C42,123:123)+100</f>
        <v>97</v>
      </c>
      <c r="I42" s="1754" t="s">
        <v>2968</v>
      </c>
      <c r="J42" s="1712">
        <f>SUMIF(122:122,I42,123:123)-SUMIF(122:122,C42,123:123)+100</f>
        <v>97</v>
      </c>
      <c r="K42" s="1701">
        <v>3</v>
      </c>
      <c r="L42" s="3004"/>
      <c r="M42" s="3000"/>
      <c r="N42" s="3000"/>
      <c r="O42" s="3000"/>
      <c r="P42" s="3435"/>
      <c r="Q42" s="1616" t="str">
        <f t="shared" si="11"/>
        <v>内部装修</v>
      </c>
      <c r="R42" s="1726" t="s">
        <v>28</v>
      </c>
      <c r="S42" s="1727">
        <f t="shared" si="12"/>
        <v>97</v>
      </c>
      <c r="T42" s="1726" t="s">
        <v>28</v>
      </c>
      <c r="U42" s="1727">
        <f t="shared" si="13"/>
        <v>97</v>
      </c>
      <c r="V42" s="1726" t="s">
        <v>28</v>
      </c>
      <c r="W42" s="1727">
        <f t="shared" si="14"/>
        <v>97</v>
      </c>
      <c r="X42" s="1666"/>
      <c r="Y42" s="3437"/>
      <c r="Z42" s="1728" t="str">
        <f t="shared" si="15"/>
        <v>内部装修</v>
      </c>
      <c r="AA42" s="1729">
        <f t="shared" si="3"/>
        <v>1.0309278350515463</v>
      </c>
      <c r="AB42" s="1729">
        <f t="shared" si="4"/>
        <v>1.0309278350515463</v>
      </c>
      <c r="AC42" s="1729">
        <f t="shared" si="5"/>
        <v>1.0309278350515463</v>
      </c>
    </row>
    <row r="43" spans="1:29" ht="28">
      <c r="A43" s="1773"/>
      <c r="B43" s="1696" t="s">
        <v>2295</v>
      </c>
      <c r="C43" s="1756" t="s">
        <v>31</v>
      </c>
      <c r="D43" s="1712">
        <v>100</v>
      </c>
      <c r="E43" s="1754" t="s">
        <v>31</v>
      </c>
      <c r="F43" s="1755">
        <f>SUMIF(124:124,E43,125:125)-SUMIF(124:124,C43,125:125)+100</f>
        <v>100</v>
      </c>
      <c r="G43" s="1756" t="s">
        <v>31</v>
      </c>
      <c r="H43" s="1712">
        <f>SUMIF(124:124,G43,125:125)-SUMIF(124:124,C43,125:125)+100</f>
        <v>100</v>
      </c>
      <c r="I43" s="1754" t="s">
        <v>31</v>
      </c>
      <c r="J43" s="1712">
        <f>SUMIF(124:124,I43,125:125)-SUMIF(124:124,C43,125:125)+100</f>
        <v>100</v>
      </c>
      <c r="K43" s="1701"/>
      <c r="L43" s="3004"/>
      <c r="M43" s="3000"/>
      <c r="N43" s="3000"/>
      <c r="O43" s="3000"/>
      <c r="P43" s="3435"/>
      <c r="Q43" s="1616" t="str">
        <f t="shared" si="11"/>
        <v>内部装修维护情况</v>
      </c>
      <c r="R43" s="1726" t="s">
        <v>28</v>
      </c>
      <c r="S43" s="1727">
        <f t="shared" si="12"/>
        <v>100</v>
      </c>
      <c r="T43" s="1726" t="s">
        <v>28</v>
      </c>
      <c r="U43" s="1727">
        <f t="shared" si="13"/>
        <v>100</v>
      </c>
      <c r="V43" s="1726" t="s">
        <v>28</v>
      </c>
      <c r="W43" s="1727">
        <f t="shared" si="14"/>
        <v>100</v>
      </c>
      <c r="X43" s="1666"/>
      <c r="Y43" s="3437"/>
      <c r="Z43" s="1728" t="str">
        <f t="shared" si="15"/>
        <v>内部装修维护情况</v>
      </c>
      <c r="AA43" s="1729">
        <f t="shared" si="3"/>
        <v>1</v>
      </c>
      <c r="AB43" s="1729">
        <f t="shared" si="4"/>
        <v>1</v>
      </c>
      <c r="AC43" s="1729">
        <f t="shared" si="5"/>
        <v>1</v>
      </c>
    </row>
    <row r="44" spans="1:29" s="1685" customFormat="1" ht="16" thickBot="1">
      <c r="A44" s="1776"/>
      <c r="B44" s="3158" t="s">
        <v>2967</v>
      </c>
      <c r="C44" s="1766">
        <v>1986</v>
      </c>
      <c r="D44" s="1698">
        <v>100</v>
      </c>
      <c r="E44" s="1766">
        <v>1979</v>
      </c>
      <c r="F44" s="1700">
        <f>SUMIF(126:126,E44,127:127)-SUMIF(126:126,C44,127:127)+100</f>
        <v>99.3</v>
      </c>
      <c r="G44" s="1766">
        <v>1983</v>
      </c>
      <c r="H44" s="1698">
        <f>SUMIF(126:126,G44,127:127)-SUMIF(126:126,C44,127:127)+100</f>
        <v>99.7</v>
      </c>
      <c r="I44" s="1766">
        <v>1996</v>
      </c>
      <c r="J44" s="1698">
        <f>SUMIF(126:126,I44,127:127)-SUMIF(126:126,C44,127:127)+100</f>
        <v>101</v>
      </c>
      <c r="K44" s="1710"/>
      <c r="L44" s="2999"/>
      <c r="M44" s="2972"/>
      <c r="N44" s="2972"/>
      <c r="O44" s="2972"/>
      <c r="P44" s="3435"/>
      <c r="Q44" s="1635" t="str">
        <f t="shared" si="11"/>
        <v>建成年代</v>
      </c>
      <c r="R44" s="1681" t="s">
        <v>28</v>
      </c>
      <c r="S44" s="1682">
        <f t="shared" si="12"/>
        <v>99.3</v>
      </c>
      <c r="T44" s="1681" t="s">
        <v>28</v>
      </c>
      <c r="U44" s="1682">
        <f t="shared" si="13"/>
        <v>99.7</v>
      </c>
      <c r="V44" s="1681" t="s">
        <v>28</v>
      </c>
      <c r="W44" s="1682">
        <f t="shared" si="14"/>
        <v>101</v>
      </c>
      <c r="X44" s="1683"/>
      <c r="Y44" s="3437"/>
      <c r="Z44" s="1694" t="str">
        <f t="shared" si="15"/>
        <v>建成年代</v>
      </c>
      <c r="AA44" s="1684">
        <f t="shared" si="3"/>
        <v>1.0070493454179255</v>
      </c>
      <c r="AB44" s="1684">
        <f t="shared" si="4"/>
        <v>1.0030090270812437</v>
      </c>
      <c r="AC44" s="1684">
        <f t="shared" si="5"/>
        <v>0.99009900990099009</v>
      </c>
    </row>
    <row r="45" spans="1:29" ht="15.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35"/>
      <c r="Q45" s="1616">
        <f t="shared" si="11"/>
        <v>111</v>
      </c>
      <c r="R45" s="1726" t="s">
        <v>28</v>
      </c>
      <c r="S45" s="1727">
        <f t="shared" si="12"/>
        <v>100</v>
      </c>
      <c r="T45" s="1726" t="s">
        <v>28</v>
      </c>
      <c r="U45" s="1727">
        <f t="shared" si="13"/>
        <v>100</v>
      </c>
      <c r="V45" s="1726" t="s">
        <v>28</v>
      </c>
      <c r="W45" s="1727">
        <f t="shared" si="14"/>
        <v>100</v>
      </c>
      <c r="X45" s="1666"/>
      <c r="Y45" s="3437"/>
      <c r="Z45" s="1728">
        <f t="shared" si="15"/>
        <v>111</v>
      </c>
      <c r="AA45" s="1729">
        <f t="shared" si="3"/>
        <v>1</v>
      </c>
      <c r="AB45" s="1729">
        <f t="shared" si="4"/>
        <v>1</v>
      </c>
      <c r="AC45" s="1729">
        <f t="shared" si="5"/>
        <v>1</v>
      </c>
    </row>
    <row r="46" spans="1:29" ht="16"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36"/>
      <c r="Q46" s="1616">
        <f t="shared" si="11"/>
        <v>111</v>
      </c>
      <c r="R46" s="1726" t="s">
        <v>27</v>
      </c>
      <c r="S46" s="1727">
        <f t="shared" si="12"/>
        <v>100</v>
      </c>
      <c r="T46" s="1726" t="s">
        <v>27</v>
      </c>
      <c r="U46" s="1727">
        <f t="shared" si="13"/>
        <v>100</v>
      </c>
      <c r="V46" s="1726" t="s">
        <v>27</v>
      </c>
      <c r="W46" s="1727">
        <f t="shared" si="14"/>
        <v>100</v>
      </c>
      <c r="X46" s="1666"/>
      <c r="Y46" s="3438"/>
      <c r="Z46" s="1728">
        <f t="shared" si="15"/>
        <v>111</v>
      </c>
      <c r="AA46" s="1729">
        <f t="shared" si="3"/>
        <v>1</v>
      </c>
      <c r="AB46" s="1729">
        <f t="shared" si="4"/>
        <v>1</v>
      </c>
      <c r="AC46" s="1729">
        <f t="shared" si="5"/>
        <v>1</v>
      </c>
    </row>
    <row r="47" spans="1:29">
      <c r="A47" s="1782" t="s">
        <v>2296</v>
      </c>
      <c r="B47" s="1783"/>
      <c r="C47" s="1784" t="s">
        <v>26</v>
      </c>
      <c r="D47" s="1785"/>
      <c r="E47" s="1786">
        <v>37447</v>
      </c>
      <c r="F47" s="1787"/>
      <c r="G47" s="1788">
        <v>38911</v>
      </c>
      <c r="H47" s="1789"/>
      <c r="I47" s="1786">
        <v>35759</v>
      </c>
      <c r="J47" s="1789"/>
      <c r="K47" s="1790"/>
      <c r="L47" s="3005"/>
      <c r="N47" s="3000"/>
      <c r="P47" s="3429" t="str">
        <f>A47</f>
        <v>成交单价（元/平方米）</v>
      </c>
      <c r="Q47" s="3429"/>
      <c r="R47" s="3425">
        <f>E47</f>
        <v>37447</v>
      </c>
      <c r="S47" s="3425"/>
      <c r="T47" s="3425">
        <f>G47</f>
        <v>38911</v>
      </c>
      <c r="U47" s="3425"/>
      <c r="V47" s="3425">
        <f>I47</f>
        <v>35759</v>
      </c>
      <c r="W47" s="3425"/>
      <c r="X47" s="1792"/>
      <c r="Y47" s="1793"/>
      <c r="Z47" s="1792"/>
      <c r="AA47" s="1792"/>
      <c r="AB47" s="1792"/>
      <c r="AC47" s="1792"/>
    </row>
    <row r="48" spans="1:29" ht="14.5" thickBot="1">
      <c r="A48" s="1794" t="s">
        <v>2297</v>
      </c>
      <c r="B48" s="1795"/>
      <c r="C48" s="1796">
        <f>R49</f>
        <v>38700</v>
      </c>
      <c r="D48" s="1797" t="s">
        <v>2752</v>
      </c>
      <c r="E48" s="1798">
        <f>R48</f>
        <v>39286</v>
      </c>
      <c r="F48" s="1799"/>
      <c r="G48" s="1796">
        <f>T48</f>
        <v>40662</v>
      </c>
      <c r="H48" s="1799"/>
      <c r="I48" s="1798">
        <f>V48</f>
        <v>36153</v>
      </c>
      <c r="J48" s="1799"/>
      <c r="K48" s="2514">
        <f>F48+H48+J48</f>
        <v>0</v>
      </c>
      <c r="L48" s="3005"/>
      <c r="P48" s="3429" t="str">
        <f>A48</f>
        <v>比较价值（元/平方米）</v>
      </c>
      <c r="Q48" s="3429"/>
      <c r="R48" s="3425">
        <f>IF(E1="售价",ROUND(PRODUCT(R47,AA7:AA46),0),ROUND(PRODUCT(R47,AA7:AA46),1))</f>
        <v>39286</v>
      </c>
      <c r="S48" s="3425"/>
      <c r="T48" s="3423">
        <f>IF(E1="售价",ROUND(PRODUCT(T47,AB7:AB46),0),ROUND(PRODUCT(T47,AB7:AB46),1))</f>
        <v>40662</v>
      </c>
      <c r="U48" s="3424"/>
      <c r="V48" s="3425">
        <f>IF(E1="售价",ROUND(PRODUCT(V47,AC7:AC46),0),ROUND(PRODUCT(V47,AC7:AC46),1))</f>
        <v>36153</v>
      </c>
      <c r="W48" s="3425"/>
      <c r="X48" s="1792"/>
      <c r="Y48" s="1792"/>
      <c r="Z48" s="1792"/>
      <c r="AA48" s="1792"/>
      <c r="AB48" s="1792"/>
      <c r="AC48" s="1792"/>
    </row>
    <row r="49" spans="1:29" ht="14.5" thickBot="1">
      <c r="A49" s="1800" t="s">
        <v>2298</v>
      </c>
      <c r="B49" s="1801"/>
      <c r="C49" s="1802">
        <f>R49</f>
        <v>38700</v>
      </c>
      <c r="D49" s="1803"/>
      <c r="E49" s="1803"/>
      <c r="F49" s="1803"/>
      <c r="G49" s="1803"/>
      <c r="H49" s="1803"/>
      <c r="I49" s="1803"/>
      <c r="J49" s="1803"/>
      <c r="K49" s="1804"/>
      <c r="L49" s="3005"/>
      <c r="P49" s="3426" t="str">
        <f>A49</f>
        <v>估价对象XX用房的比较价值（楼面单价，元/平方米）</v>
      </c>
      <c r="Q49" s="3427"/>
      <c r="R49" s="3428">
        <f>IF(E1="售价",ROUND(IF(D48="简单平均",AVERAGE(R48:V48),R48*F48+T48*H48+V48*J48),0),ROUND(IF(D48="简单平均",AVERAGE(R48:V48),R48*F48+T48*H48+V48*J48),1))</f>
        <v>38700</v>
      </c>
      <c r="S49" s="3428"/>
      <c r="T49" s="3428"/>
      <c r="U49" s="3428"/>
      <c r="V49" s="3428"/>
      <c r="W49" s="3428"/>
      <c r="X49" s="1792"/>
      <c r="Y49" s="1792"/>
      <c r="Z49" s="1792"/>
      <c r="AA49" s="1792"/>
      <c r="AB49" s="1792"/>
      <c r="AC49" s="1792"/>
    </row>
    <row r="50" spans="1:29">
      <c r="G50" s="3009"/>
    </row>
    <row r="52" spans="1:29" ht="13.5" customHeight="1">
      <c r="C52" s="383" t="s">
        <v>2299</v>
      </c>
      <c r="D52" s="1808"/>
      <c r="E52" s="1809">
        <f>IF(E47&lt;E48,E48/E47-1,E47/E48-1)</f>
        <v>4.9109407963254803E-2</v>
      </c>
      <c r="F52" s="1810" t="str">
        <f>IF(OR(E52&gt;=0.3,E52&lt;=-0.3),"超过30%","")</f>
        <v/>
      </c>
      <c r="G52" s="1809">
        <f>IF(G47&lt;G48,G48/G47-1,G47/G48-1)</f>
        <v>4.5000128498368097E-2</v>
      </c>
      <c r="H52" s="1810" t="str">
        <f>IF(OR(G52&gt;=0.3,G52&lt;=-0.3),"超过30%","")</f>
        <v/>
      </c>
      <c r="I52" s="1809">
        <f>IF(I47&lt;I48,I48/I47-1,I47/I48-1)</f>
        <v>1.1018205207080634E-2</v>
      </c>
      <c r="J52" s="1810" t="str">
        <f>IF(OR(I52&gt;=0.3,I52&lt;=-0.3),"超过30%","")</f>
        <v/>
      </c>
    </row>
    <row r="53" spans="1:29" ht="13.5" customHeight="1">
      <c r="C53" s="383" t="s">
        <v>2300</v>
      </c>
      <c r="D53" s="1811"/>
      <c r="E53" s="1809">
        <f>IF(E48&lt;G48,G48/E48-1,E48/G48-1)</f>
        <v>3.5025199816728581E-2</v>
      </c>
      <c r="F53" s="1810" t="str">
        <f>IF(OR(E53&gt;=0.2,E53&lt;=-0.2),"超过20%","")</f>
        <v/>
      </c>
      <c r="G53" s="1809">
        <f>IF(G48&lt;I48,I48/G48-1,G48/I48-1)</f>
        <v>0.12471994025392075</v>
      </c>
      <c r="H53" s="1810" t="str">
        <f>IF(OR(G53&gt;=0.2,G53&lt;=-0.2),"超过20%","")</f>
        <v/>
      </c>
      <c r="I53" s="1809">
        <f>IF(I48&lt;E48,E48/I48-1,I48/E48-1)</f>
        <v>8.6659475008989517E-2</v>
      </c>
      <c r="J53" s="1810" t="str">
        <f>IF(OR(I53&gt;=0.2,I53&lt;=-0.2),"超过20%","")</f>
        <v/>
      </c>
    </row>
    <row r="54" spans="1:29" s="1814" customFormat="1" ht="13.5" customHeight="1">
      <c r="C54" s="383" t="s">
        <v>2301</v>
      </c>
      <c r="D54" s="1811"/>
      <c r="E54" s="1809">
        <f>IF(E47&lt;G47,G47/E47-1,E47/G47-1)</f>
        <v>3.9095254626538845E-2</v>
      </c>
      <c r="F54" s="1810" t="str">
        <f>IF(OR(E54&gt;=0.3,E54&lt;=-0.3),"超过30%","")</f>
        <v/>
      </c>
      <c r="G54" s="1809">
        <f>IF(G47&lt;I47,I47/G47-1,G47/I47-1)</f>
        <v>8.8145641656645957E-2</v>
      </c>
      <c r="H54" s="1810" t="str">
        <f>IF(OR(G54&gt;=0.3,G54&lt;=-0.3),"超过30%","")</f>
        <v/>
      </c>
      <c r="I54" s="1809">
        <f>IF(I47&lt;E47,E47/I47-1,I47/E47-1)</f>
        <v>4.7204899465868699E-2</v>
      </c>
      <c r="J54" s="1810" t="str">
        <f>IF(OR(I54&gt;=0.3,I54&lt;=-0.3),"超过30%","")</f>
        <v/>
      </c>
      <c r="K54" s="3012"/>
      <c r="L54" s="3006"/>
      <c r="P54" s="1813"/>
    </row>
    <row r="55" spans="1:29" s="1814" customFormat="1">
      <c r="B55" s="3010"/>
      <c r="C55" s="3011"/>
      <c r="K55" s="3012"/>
      <c r="L55" s="3006"/>
      <c r="P55" s="1813"/>
    </row>
    <row r="56" spans="1:29">
      <c r="B56" s="3010"/>
      <c r="C56" s="3011"/>
    </row>
    <row r="57" spans="1:29" ht="21.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c r="A58" s="1823" t="s">
        <v>2303</v>
      </c>
      <c r="B58" s="1824"/>
      <c r="C58" s="1825" t="str">
        <f>YEAR(C7)&amp;"-"&amp;MONTH(C7)</f>
        <v>2020-8</v>
      </c>
      <c r="D58" s="1826">
        <f>EDATE(C58,-1)</f>
        <v>44013</v>
      </c>
      <c r="E58" s="1826">
        <f t="shared" ref="E58:O58" si="16">EDATE(D58,-1)</f>
        <v>43983</v>
      </c>
      <c r="F58" s="1826">
        <f t="shared" si="16"/>
        <v>43952</v>
      </c>
      <c r="G58" s="1826">
        <f t="shared" si="16"/>
        <v>43922</v>
      </c>
      <c r="H58" s="1826">
        <f t="shared" si="16"/>
        <v>43891</v>
      </c>
      <c r="I58" s="1826">
        <f t="shared" si="16"/>
        <v>43862</v>
      </c>
      <c r="J58" s="1826">
        <f t="shared" si="16"/>
        <v>43831</v>
      </c>
      <c r="K58" s="1826">
        <f t="shared" si="16"/>
        <v>43800</v>
      </c>
      <c r="L58" s="1826">
        <f t="shared" si="16"/>
        <v>43770</v>
      </c>
      <c r="M58" s="1826">
        <f t="shared" si="16"/>
        <v>43739</v>
      </c>
      <c r="N58" s="1826">
        <f t="shared" si="16"/>
        <v>43709</v>
      </c>
      <c r="O58" s="1826">
        <f t="shared" si="16"/>
        <v>43678</v>
      </c>
      <c r="P58" s="1827"/>
    </row>
    <row r="59" spans="1:29" s="1685" customFormat="1">
      <c r="A59" s="1829"/>
      <c r="B59" s="1830"/>
      <c r="C59" s="1831">
        <v>100</v>
      </c>
      <c r="D59" s="1832">
        <v>100</v>
      </c>
      <c r="E59" s="1832">
        <v>100</v>
      </c>
      <c r="F59" s="1832">
        <v>100</v>
      </c>
      <c r="G59" s="1832">
        <v>100</v>
      </c>
      <c r="H59" s="1832"/>
      <c r="I59" s="1832"/>
      <c r="J59" s="1832"/>
      <c r="K59" s="1832"/>
      <c r="L59" s="1832"/>
      <c r="M59" s="1833"/>
      <c r="N59" s="1832"/>
      <c r="O59" s="1833"/>
      <c r="P59" s="1834"/>
    </row>
    <row r="60" spans="1:29" s="1685" customFormat="1" ht="14.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4.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4.5" thickBot="1">
      <c r="A64" s="1854"/>
      <c r="B64" s="1855"/>
      <c r="C64" s="1856">
        <v>100</v>
      </c>
      <c r="D64" s="1856"/>
      <c r="E64" s="1856"/>
      <c r="F64" s="1856"/>
      <c r="G64" s="1856"/>
      <c r="H64" s="1856"/>
      <c r="I64" s="1856"/>
      <c r="J64" s="1856"/>
      <c r="K64" s="1856"/>
      <c r="L64" s="1856"/>
      <c r="M64" s="1857"/>
      <c r="N64" s="1858"/>
      <c r="O64" s="1858"/>
      <c r="P64" s="1853"/>
      <c r="Q64" s="1822"/>
    </row>
    <row r="65" spans="1:17" ht="28.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4.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4.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v>0.5</v>
      </c>
      <c r="D68" s="1868">
        <v>1</v>
      </c>
      <c r="E68" s="1868"/>
      <c r="F68" s="1868"/>
      <c r="G68" s="1868"/>
      <c r="H68" s="1868"/>
      <c r="I68" s="1868"/>
      <c r="J68" s="1868"/>
      <c r="K68" s="438"/>
      <c r="L68" s="438"/>
      <c r="M68" s="1869"/>
      <c r="N68" s="1852"/>
      <c r="O68" s="1852"/>
      <c r="P68" s="1853"/>
      <c r="Q68" s="1822"/>
    </row>
    <row r="69" spans="1:17" ht="14.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4.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4.5" thickBot="1">
      <c r="A71" s="1870"/>
      <c r="B71" s="1862"/>
      <c r="C71" s="1875"/>
      <c r="D71" s="1856"/>
      <c r="E71" s="1856"/>
      <c r="F71" s="1856"/>
      <c r="G71" s="1856"/>
      <c r="H71" s="1856"/>
      <c r="I71" s="1856"/>
      <c r="J71" s="1856"/>
      <c r="K71" s="1856"/>
      <c r="L71" s="1856"/>
      <c r="M71" s="1857"/>
      <c r="N71" s="1858"/>
      <c r="O71" s="1858"/>
      <c r="P71" s="1873"/>
      <c r="Q71" s="1874"/>
    </row>
    <row r="72" spans="1:17" s="1772" customFormat="1" ht="14.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4.5" thickBot="1">
      <c r="A73" s="1870"/>
      <c r="B73" s="1862"/>
      <c r="C73" s="1875"/>
      <c r="D73" s="1875"/>
      <c r="E73" s="1875"/>
      <c r="F73" s="1875"/>
      <c r="G73" s="1875"/>
      <c r="H73" s="1878"/>
      <c r="I73" s="1878"/>
      <c r="J73" s="1878"/>
      <c r="K73" s="1878"/>
      <c r="L73" s="1878"/>
      <c r="M73" s="1879"/>
      <c r="N73" s="1872"/>
      <c r="O73" s="1872"/>
      <c r="P73" s="1873"/>
      <c r="Q73" s="1874"/>
    </row>
    <row r="74" spans="1:17" s="1772" customFormat="1" ht="14.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4.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4.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4.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4.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4.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4.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4.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4.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4.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4.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 thickTop="1">
      <c r="A86" s="1890"/>
      <c r="B86" s="1859" t="s">
        <v>2329</v>
      </c>
      <c r="C86" s="468"/>
      <c r="D86" s="468"/>
      <c r="E86" s="468"/>
      <c r="F86" s="468"/>
      <c r="G86" s="468"/>
      <c r="H86" s="468"/>
      <c r="I86" s="468"/>
      <c r="J86" s="468"/>
      <c r="K86" s="468"/>
      <c r="L86" s="468"/>
      <c r="M86" s="1891"/>
      <c r="N86" s="1843"/>
      <c r="O86" s="1843"/>
      <c r="P86" s="1853"/>
      <c r="Q86" s="1822"/>
    </row>
    <row r="87" spans="1:17" s="1685" customFormat="1" ht="14.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4.5" thickTop="1">
      <c r="A88" s="1890"/>
      <c r="B88" s="1859" t="s">
        <v>2330</v>
      </c>
      <c r="C88" s="3159" t="s">
        <v>2938</v>
      </c>
      <c r="D88" s="3159" t="s">
        <v>2940</v>
      </c>
      <c r="E88" s="468"/>
      <c r="F88" s="1893"/>
      <c r="G88" s="468"/>
      <c r="H88" s="468"/>
      <c r="I88" s="468"/>
      <c r="J88" s="468"/>
      <c r="K88" s="468"/>
      <c r="L88" s="468"/>
      <c r="M88" s="1891"/>
      <c r="N88" s="1843"/>
      <c r="O88" s="1843"/>
      <c r="P88" s="1853"/>
      <c r="Q88" s="1822"/>
    </row>
    <row r="89" spans="1:17" s="1685" customFormat="1" ht="14.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28.5" thickTop="1">
      <c r="A90" s="1870"/>
      <c r="B90" s="1859" t="str">
        <f>B27</f>
        <v>道路级别</v>
      </c>
      <c r="C90" s="3159" t="s">
        <v>2931</v>
      </c>
      <c r="D90" s="3159" t="s">
        <v>2941</v>
      </c>
      <c r="E90" s="3159" t="s">
        <v>2942</v>
      </c>
      <c r="F90" s="468"/>
      <c r="G90" s="468"/>
      <c r="H90" s="443"/>
      <c r="I90" s="443"/>
      <c r="J90" s="443"/>
      <c r="K90" s="443"/>
      <c r="L90" s="443"/>
      <c r="M90" s="1871"/>
      <c r="N90" s="1872"/>
      <c r="O90" s="1872"/>
      <c r="P90" s="1873"/>
      <c r="Q90" s="1874"/>
    </row>
    <row r="91" spans="1:17" s="1772" customFormat="1" ht="14.5" thickBot="1">
      <c r="A91" s="1870"/>
      <c r="B91" s="1862"/>
      <c r="C91" s="1875">
        <v>100</v>
      </c>
      <c r="D91" s="1875">
        <v>102</v>
      </c>
      <c r="E91" s="1875">
        <v>102</v>
      </c>
      <c r="F91" s="1875"/>
      <c r="G91" s="1875"/>
      <c r="H91" s="1878"/>
      <c r="I91" s="1878"/>
      <c r="J91" s="1878"/>
      <c r="K91" s="1878"/>
      <c r="L91" s="1878"/>
      <c r="M91" s="1879"/>
      <c r="N91" s="1872"/>
      <c r="O91" s="1872"/>
      <c r="P91" s="1873"/>
      <c r="Q91" s="1874"/>
    </row>
    <row r="92" spans="1:17" ht="29" thickTop="1">
      <c r="A92" s="1854"/>
      <c r="B92" s="1859" t="str">
        <f>B28</f>
        <v>楼层</v>
      </c>
      <c r="C92" s="468" t="s">
        <v>2943</v>
      </c>
      <c r="D92" s="468" t="s">
        <v>2944</v>
      </c>
      <c r="E92" s="468" t="s">
        <v>2945</v>
      </c>
      <c r="F92" s="468"/>
      <c r="G92" s="1578"/>
      <c r="H92" s="1578"/>
      <c r="I92" s="1578"/>
      <c r="J92" s="1578"/>
      <c r="K92" s="473"/>
      <c r="L92" s="473"/>
      <c r="M92" s="1894"/>
      <c r="N92" s="1852"/>
      <c r="O92" s="1852"/>
      <c r="P92" s="1853"/>
      <c r="Q92" s="1822"/>
    </row>
    <row r="93" spans="1:17" ht="14.5" thickBot="1">
      <c r="A93" s="1854"/>
      <c r="B93" s="1862"/>
      <c r="C93" s="1875">
        <v>100</v>
      </c>
      <c r="D93" s="1856">
        <v>100</v>
      </c>
      <c r="E93" s="1856">
        <v>99</v>
      </c>
      <c r="F93" s="1856"/>
      <c r="G93" s="1856"/>
      <c r="H93" s="1856"/>
      <c r="I93" s="1856"/>
      <c r="J93" s="1856"/>
      <c r="K93" s="1856"/>
      <c r="L93" s="1856"/>
      <c r="M93" s="1857"/>
      <c r="N93" s="1858"/>
      <c r="O93" s="1858"/>
      <c r="P93" s="1853"/>
      <c r="Q93" s="1822"/>
    </row>
    <row r="94" spans="1:17" ht="14.5" thickTop="1">
      <c r="A94" s="1854"/>
      <c r="B94" s="1859">
        <f>B29</f>
        <v>111</v>
      </c>
      <c r="C94" s="468"/>
      <c r="D94" s="468"/>
      <c r="E94" s="468"/>
      <c r="F94" s="468"/>
      <c r="G94" s="1578"/>
      <c r="H94" s="1578"/>
      <c r="I94" s="1578"/>
      <c r="J94" s="1578"/>
      <c r="K94" s="473"/>
      <c r="L94" s="473"/>
      <c r="M94" s="1894"/>
      <c r="N94" s="1852"/>
      <c r="O94" s="1852"/>
      <c r="P94" s="1853"/>
      <c r="Q94" s="1822"/>
    </row>
    <row r="95" spans="1:17" ht="14.5" thickBot="1">
      <c r="A95" s="1854"/>
      <c r="B95" s="1862"/>
      <c r="C95" s="1875"/>
      <c r="D95" s="1875"/>
      <c r="E95" s="1875"/>
      <c r="F95" s="1875"/>
      <c r="G95" s="1856"/>
      <c r="H95" s="1856"/>
      <c r="I95" s="1856"/>
      <c r="J95" s="1856"/>
      <c r="K95" s="1856"/>
      <c r="L95" s="1856"/>
      <c r="M95" s="1857"/>
      <c r="N95" s="1858"/>
      <c r="O95" s="1858"/>
      <c r="P95" s="1853"/>
      <c r="Q95" s="1822"/>
    </row>
    <row r="96" spans="1:17" ht="14.5" thickTop="1">
      <c r="A96" s="1854"/>
      <c r="B96" s="1859">
        <f>B30</f>
        <v>111</v>
      </c>
      <c r="C96" s="468"/>
      <c r="D96" s="468"/>
      <c r="E96" s="468"/>
      <c r="F96" s="468"/>
      <c r="G96" s="1578"/>
      <c r="H96" s="1578"/>
      <c r="I96" s="1578"/>
      <c r="J96" s="1578"/>
      <c r="K96" s="473"/>
      <c r="L96" s="473"/>
      <c r="M96" s="1894"/>
      <c r="N96" s="1852"/>
      <c r="O96" s="1852"/>
      <c r="P96" s="1853"/>
      <c r="Q96" s="1822"/>
    </row>
    <row r="97" spans="1:17" ht="14.5" thickBot="1">
      <c r="A97" s="1854"/>
      <c r="B97" s="1862"/>
      <c r="C97" s="1883"/>
      <c r="D97" s="1883"/>
      <c r="E97" s="1883"/>
      <c r="F97" s="1883"/>
      <c r="G97" s="1856"/>
      <c r="H97" s="1856"/>
      <c r="I97" s="1856"/>
      <c r="J97" s="1856"/>
      <c r="K97" s="1856"/>
      <c r="L97" s="1856"/>
      <c r="M97" s="1857"/>
      <c r="N97" s="1858"/>
      <c r="O97" s="1858"/>
      <c r="P97" s="1853"/>
      <c r="Q97" s="1822"/>
    </row>
    <row r="98" spans="1:17" ht="14.5" thickTop="1">
      <c r="A98" s="1854"/>
      <c r="B98" s="1865">
        <f>B31</f>
        <v>111</v>
      </c>
      <c r="C98" s="1895"/>
      <c r="D98" s="1895"/>
      <c r="E98" s="1895"/>
      <c r="F98" s="1895"/>
      <c r="G98" s="1895"/>
      <c r="H98" s="1895"/>
      <c r="I98" s="1895"/>
      <c r="J98" s="1895"/>
      <c r="K98" s="477"/>
      <c r="L98" s="477"/>
      <c r="M98" s="1896"/>
      <c r="N98" s="1852"/>
      <c r="O98" s="1852"/>
      <c r="P98" s="1853"/>
      <c r="Q98" s="1822"/>
    </row>
    <row r="99" spans="1:17" ht="14.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63" t="s">
        <v>2950</v>
      </c>
      <c r="D100" s="1850"/>
      <c r="E100" s="1850"/>
      <c r="F100" s="1850"/>
      <c r="G100" s="1850"/>
      <c r="H100" s="1850"/>
      <c r="I100" s="1850"/>
      <c r="J100" s="1850"/>
      <c r="K100" s="417"/>
      <c r="L100" s="417"/>
      <c r="M100" s="1851"/>
      <c r="N100" s="1852"/>
      <c r="O100" s="1852"/>
      <c r="P100" s="1853"/>
      <c r="Q100" s="1822"/>
    </row>
    <row r="101" spans="1:17" ht="14.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4.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4.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4.5" thickTop="1">
      <c r="A105" s="1904"/>
      <c r="B105" s="1859" t="s">
        <v>2333</v>
      </c>
      <c r="C105" s="3159" t="s">
        <v>2952</v>
      </c>
      <c r="D105" s="468"/>
      <c r="E105" s="1578"/>
      <c r="F105" s="1578"/>
      <c r="G105" s="1578"/>
      <c r="H105" s="1578"/>
      <c r="I105" s="1578"/>
      <c r="J105" s="1578"/>
      <c r="K105" s="473"/>
      <c r="L105" s="473"/>
      <c r="M105" s="1894"/>
      <c r="N105" s="1852"/>
      <c r="O105" s="1852"/>
      <c r="P105" s="1853"/>
      <c r="Q105" s="1822"/>
    </row>
    <row r="106" spans="1:17" ht="14.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4.5" thickTop="1">
      <c r="A107" s="1904"/>
      <c r="B107" s="1859" t="s">
        <v>2334</v>
      </c>
      <c r="C107" s="3164" t="s">
        <v>2954</v>
      </c>
      <c r="D107" s="1578"/>
      <c r="E107" s="1578"/>
      <c r="F107" s="1578"/>
      <c r="G107" s="1578"/>
      <c r="H107" s="1578"/>
      <c r="I107" s="1578"/>
      <c r="J107" s="1578"/>
      <c r="K107" s="473"/>
      <c r="L107" s="473"/>
      <c r="M107" s="1894"/>
      <c r="N107" s="1852"/>
      <c r="O107" s="1852"/>
      <c r="P107" s="1853"/>
      <c r="Q107" s="1822"/>
    </row>
    <row r="108" spans="1:17" ht="14.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4.5" thickTop="1">
      <c r="A109" s="1904"/>
      <c r="B109" s="1859" t="s">
        <v>2335</v>
      </c>
      <c r="C109" s="3159" t="s">
        <v>2956</v>
      </c>
      <c r="D109" s="468"/>
      <c r="E109" s="468"/>
      <c r="F109" s="1578"/>
      <c r="G109" s="1578"/>
      <c r="H109" s="1578"/>
      <c r="I109" s="1578"/>
      <c r="J109" s="1578"/>
      <c r="K109" s="473"/>
      <c r="L109" s="473"/>
      <c r="M109" s="1894"/>
      <c r="N109" s="1852"/>
      <c r="O109" s="1852"/>
      <c r="P109" s="1853"/>
      <c r="Q109" s="1822"/>
    </row>
    <row r="110" spans="1:17" ht="14.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4.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4.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4.5" thickTop="1">
      <c r="A114" s="1904"/>
      <c r="B114" s="1859" t="s">
        <v>2337</v>
      </c>
      <c r="C114" s="3159" t="s">
        <v>2958</v>
      </c>
      <c r="D114" s="3159" t="s">
        <v>2960</v>
      </c>
      <c r="E114" s="1578"/>
      <c r="F114" s="1578"/>
      <c r="G114" s="1578"/>
      <c r="H114" s="1578"/>
      <c r="I114" s="1578"/>
      <c r="J114" s="1578"/>
      <c r="K114" s="473"/>
      <c r="L114" s="473"/>
      <c r="M114" s="1894"/>
      <c r="N114" s="1852"/>
      <c r="O114" s="1852"/>
      <c r="P114" s="1853"/>
      <c r="Q114" s="1822"/>
    </row>
    <row r="115" spans="1:17" ht="14.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4.5" thickTop="1">
      <c r="A116" s="1904"/>
      <c r="B116" s="1859" t="s">
        <v>2338</v>
      </c>
      <c r="C116" s="3159" t="s">
        <v>2962</v>
      </c>
      <c r="D116" s="3159" t="s">
        <v>2964</v>
      </c>
      <c r="E116" s="468"/>
      <c r="F116" s="468"/>
      <c r="G116" s="468"/>
      <c r="H116" s="1578"/>
      <c r="I116" s="1578"/>
      <c r="J116" s="1578"/>
      <c r="K116" s="473"/>
      <c r="L116" s="473"/>
      <c r="M116" s="1894"/>
      <c r="N116" s="1852"/>
      <c r="O116" s="1852"/>
      <c r="P116" s="1853"/>
      <c r="Q116" s="1822"/>
    </row>
    <row r="117" spans="1:17" ht="14.5" thickBot="1">
      <c r="A117" s="1854"/>
      <c r="B117" s="1862"/>
      <c r="C117" s="1863">
        <v>100</v>
      </c>
      <c r="D117" s="1863">
        <f>C117-$K39</f>
        <v>99</v>
      </c>
      <c r="E117" s="1863">
        <f>D117-$K39</f>
        <v>98</v>
      </c>
      <c r="F117" s="1863">
        <f>E117-$K39</f>
        <v>97</v>
      </c>
      <c r="G117" s="1863">
        <f>F117-$K39</f>
        <v>96</v>
      </c>
      <c r="H117" s="1863"/>
      <c r="I117" s="1863"/>
      <c r="J117" s="1863"/>
      <c r="K117" s="1863"/>
      <c r="L117" s="1863"/>
      <c r="M117" s="1864"/>
      <c r="N117" s="1858"/>
      <c r="O117" s="1858"/>
      <c r="P117" s="1853"/>
      <c r="Q117" s="1822"/>
    </row>
    <row r="118" spans="1:17" ht="14.5" thickTop="1">
      <c r="A118" s="1904"/>
      <c r="B118" s="1859" t="s">
        <v>2339</v>
      </c>
      <c r="C118" s="3164" t="s">
        <v>2966</v>
      </c>
      <c r="D118" s="1578"/>
      <c r="E118" s="1578"/>
      <c r="F118" s="1578"/>
      <c r="G118" s="1578"/>
      <c r="H118" s="1578"/>
      <c r="I118" s="1578"/>
      <c r="J118" s="1578"/>
      <c r="K118" s="473"/>
      <c r="L118" s="473"/>
      <c r="M118" s="1894"/>
      <c r="N118" s="1852"/>
      <c r="O118" s="1852"/>
      <c r="P118" s="1853"/>
      <c r="Q118" s="1822"/>
    </row>
    <row r="119" spans="1:17" ht="14.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9"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4.5" thickBot="1">
      <c r="A121" s="1870"/>
      <c r="B121" s="1855"/>
      <c r="C121" s="1875"/>
      <c r="D121" s="1856"/>
      <c r="E121" s="1856"/>
      <c r="F121" s="1856"/>
      <c r="G121" s="1856"/>
      <c r="H121" s="1856"/>
      <c r="I121" s="1856"/>
      <c r="J121" s="1856"/>
      <c r="K121" s="1856"/>
      <c r="L121" s="1856"/>
      <c r="M121" s="1856"/>
      <c r="N121" s="1872"/>
      <c r="O121" s="1872"/>
      <c r="P121" s="1873"/>
      <c r="Q121" s="1874"/>
    </row>
    <row r="122" spans="1:17" ht="14.5" thickTop="1">
      <c r="A122" s="1904"/>
      <c r="B122" s="1859" t="s">
        <v>2340</v>
      </c>
      <c r="C122" s="3159" t="s">
        <v>2956</v>
      </c>
      <c r="D122" s="3159" t="s">
        <v>2969</v>
      </c>
      <c r="E122" s="468"/>
      <c r="F122" s="1578"/>
      <c r="G122" s="1578"/>
      <c r="H122" s="1578"/>
      <c r="I122" s="1578"/>
      <c r="J122" s="1578"/>
      <c r="K122" s="473"/>
      <c r="L122" s="473"/>
      <c r="M122" s="1894"/>
      <c r="N122" s="1852"/>
      <c r="O122" s="1852"/>
      <c r="P122" s="1853"/>
      <c r="Q122" s="1822"/>
    </row>
    <row r="123" spans="1:17" ht="14.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28.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4.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4.5" thickTop="1">
      <c r="A126" s="1900"/>
      <c r="B126" s="1859" t="str">
        <f>B44</f>
        <v>建成年代</v>
      </c>
      <c r="C126" s="468">
        <v>1986</v>
      </c>
      <c r="D126" s="468">
        <v>1979</v>
      </c>
      <c r="E126" s="468">
        <v>1983</v>
      </c>
      <c r="F126" s="468">
        <v>1996</v>
      </c>
      <c r="G126" s="468"/>
      <c r="H126" s="443"/>
      <c r="I126" s="443"/>
      <c r="J126" s="443"/>
      <c r="K126" s="443"/>
      <c r="L126" s="443"/>
      <c r="M126" s="1871"/>
      <c r="N126" s="1872"/>
      <c r="O126" s="1872"/>
      <c r="P126" s="1873"/>
      <c r="Q126" s="1874"/>
    </row>
    <row r="127" spans="1:17" s="1772" customFormat="1" ht="14.5" thickBot="1">
      <c r="A127" s="1870"/>
      <c r="B127" s="1862"/>
      <c r="C127" s="1875">
        <v>100</v>
      </c>
      <c r="D127" s="1856">
        <v>99.3</v>
      </c>
      <c r="E127" s="1856">
        <v>99.7</v>
      </c>
      <c r="F127" s="1856">
        <v>101</v>
      </c>
      <c r="G127" s="1875"/>
      <c r="H127" s="1878"/>
      <c r="I127" s="1878"/>
      <c r="J127" s="1878"/>
      <c r="K127" s="1878"/>
      <c r="L127" s="1878"/>
      <c r="M127" s="1879"/>
      <c r="N127" s="1872"/>
      <c r="O127" s="1872"/>
      <c r="P127" s="1873"/>
      <c r="Q127" s="1874"/>
    </row>
    <row r="128" spans="1:17" ht="14.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4.5" thickBot="1">
      <c r="A129" s="1854"/>
      <c r="B129" s="1862"/>
      <c r="C129" s="1875"/>
      <c r="D129" s="1875"/>
      <c r="E129" s="1875"/>
      <c r="F129" s="1875"/>
      <c r="G129" s="1856"/>
      <c r="H129" s="1856"/>
      <c r="I129" s="1856"/>
      <c r="J129" s="1856"/>
      <c r="K129" s="1856"/>
      <c r="L129" s="1856"/>
      <c r="M129" s="1857"/>
      <c r="N129" s="1858"/>
      <c r="O129" s="1858"/>
      <c r="P129" s="1853"/>
      <c r="Q129" s="1822"/>
    </row>
    <row r="130" spans="1:17" ht="14.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4.5" thickBot="1">
      <c r="A131" s="1897"/>
      <c r="B131" s="1882"/>
      <c r="C131" s="1883"/>
      <c r="D131" s="1883"/>
      <c r="E131" s="1883"/>
      <c r="F131" s="1883"/>
      <c r="G131" s="1898"/>
      <c r="H131" s="1898"/>
      <c r="I131" s="1898"/>
      <c r="J131" s="1898"/>
      <c r="K131" s="1898"/>
      <c r="L131" s="1898"/>
      <c r="M131" s="1899"/>
      <c r="N131" s="1858"/>
      <c r="O131" s="1858"/>
      <c r="P131" s="1853"/>
      <c r="Q131" s="1822"/>
    </row>
    <row r="136" spans="1:17" ht="14.5" thickBot="1">
      <c r="B136" s="1573" t="s">
        <v>2342</v>
      </c>
    </row>
    <row r="137" spans="1:17" ht="15.5">
      <c r="B137" s="1912" t="s">
        <v>2343</v>
      </c>
      <c r="C137" s="1913"/>
      <c r="D137" s="1913"/>
      <c r="E137" s="1913"/>
      <c r="F137" s="1913"/>
      <c r="G137" s="1914"/>
      <c r="H137" s="1915"/>
      <c r="I137" s="1916" t="s">
        <v>2344</v>
      </c>
      <c r="J137" s="1913"/>
      <c r="K137" s="1917"/>
    </row>
    <row r="138" spans="1:17" ht="15.5">
      <c r="B138" s="1918"/>
      <c r="C138" s="1919" t="s">
        <v>2345</v>
      </c>
      <c r="D138" s="1919" t="s">
        <v>2346</v>
      </c>
      <c r="E138" s="1920" t="s">
        <v>2347</v>
      </c>
      <c r="F138" s="1921" t="s">
        <v>2348</v>
      </c>
      <c r="G138" s="1919" t="s">
        <v>2346</v>
      </c>
      <c r="H138" s="1922" t="s">
        <v>2347</v>
      </c>
      <c r="I138" s="1923"/>
      <c r="J138" s="1919" t="s">
        <v>2349</v>
      </c>
      <c r="K138" s="1922" t="s">
        <v>2350</v>
      </c>
    </row>
    <row r="139" spans="1:17" ht="15.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5">
      <c r="B140" s="1932">
        <v>5</v>
      </c>
      <c r="C140" s="1933">
        <v>100</v>
      </c>
      <c r="D140" s="1933"/>
      <c r="E140" s="1934"/>
      <c r="F140" s="1935">
        <v>102</v>
      </c>
      <c r="G140" s="1933"/>
      <c r="H140" s="1936"/>
      <c r="I140" s="1937" t="s">
        <v>2353</v>
      </c>
      <c r="J140" s="1938">
        <f>ROUNDUP((J139-1)/2,0)</f>
        <v>10</v>
      </c>
      <c r="K140" s="1939">
        <v>100</v>
      </c>
    </row>
    <row r="141" spans="1:17" ht="15.5">
      <c r="B141" s="1932">
        <v>4</v>
      </c>
      <c r="C141" s="1933">
        <v>102</v>
      </c>
      <c r="D141" s="1933"/>
      <c r="E141" s="1934"/>
      <c r="F141" s="1935">
        <v>101.5</v>
      </c>
      <c r="G141" s="1933"/>
      <c r="H141" s="1936"/>
      <c r="I141" s="1937" t="s">
        <v>2354</v>
      </c>
      <c r="J141" s="1938">
        <v>1</v>
      </c>
      <c r="K141" s="1940">
        <f>ROUND(100+(J141-J140)*K139*100,1)</f>
        <v>96.4</v>
      </c>
    </row>
    <row r="142" spans="1:17" ht="15.5">
      <c r="B142" s="1932">
        <v>3</v>
      </c>
      <c r="C142" s="1933">
        <v>103</v>
      </c>
      <c r="D142" s="1933"/>
      <c r="E142" s="1934"/>
      <c r="F142" s="1935">
        <v>101</v>
      </c>
      <c r="G142" s="1933"/>
      <c r="H142" s="1936"/>
      <c r="I142" s="1937" t="s">
        <v>2355</v>
      </c>
      <c r="J142" s="1938">
        <f>J139</f>
        <v>20</v>
      </c>
      <c r="K142" s="1941">
        <v>95</v>
      </c>
    </row>
    <row r="143" spans="1:17" ht="15.5">
      <c r="B143" s="1932">
        <v>2</v>
      </c>
      <c r="C143" s="1933">
        <v>100</v>
      </c>
      <c r="D143" s="1933"/>
      <c r="E143" s="1934"/>
      <c r="F143" s="1935">
        <v>100.5</v>
      </c>
      <c r="G143" s="1933"/>
      <c r="H143" s="1936"/>
      <c r="I143" s="1937" t="s">
        <v>2356</v>
      </c>
      <c r="J143" s="1933">
        <v>15</v>
      </c>
      <c r="K143" s="1940">
        <f>ROUND(100+(J143-J140)*K139*100,1)</f>
        <v>102</v>
      </c>
    </row>
    <row r="144" spans="1:17" ht="15.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6"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49"/>
  <sheetViews>
    <sheetView workbookViewId="0">
      <selection activeCell="T50" sqref="T50"/>
    </sheetView>
  </sheetViews>
  <sheetFormatPr defaultRowHeight="14"/>
  <sheetData>
    <row r="1" spans="1:1">
      <c r="A1" s="1341" t="s">
        <v>2922</v>
      </c>
    </row>
    <row r="24" spans="1:1">
      <c r="A24" s="1341" t="s">
        <v>2923</v>
      </c>
    </row>
    <row r="49" spans="1:1">
      <c r="A49" s="1341" t="s">
        <v>2924</v>
      </c>
    </row>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
  <cols>
    <col min="1" max="1" width="10.453125" style="1667" customWidth="1"/>
    <col min="2" max="2" width="15.7265625" style="1667" customWidth="1"/>
    <col min="3" max="3" width="14.36328125" style="1667" customWidth="1"/>
    <col min="4" max="4" width="12.26953125" style="1667" customWidth="1"/>
    <col min="5" max="5" width="14.36328125" style="1667" customWidth="1"/>
    <col min="6" max="6" width="12.26953125" style="1667" customWidth="1"/>
    <col min="7" max="7" width="14.453125" style="1667" customWidth="1"/>
    <col min="8" max="8" width="12.26953125" style="1667" customWidth="1"/>
    <col min="9" max="9" width="14.453125" style="1667" customWidth="1"/>
    <col min="10" max="10" width="12.26953125" style="1667" customWidth="1"/>
    <col min="11" max="11" width="12.26953125" style="1910" customWidth="1"/>
    <col min="12" max="12" width="12.26953125" style="1911" customWidth="1"/>
    <col min="13" max="15" width="12.26953125" style="1667" customWidth="1"/>
    <col min="16" max="16" width="4.7265625" style="1807" customWidth="1"/>
    <col min="17" max="17" width="19.453125" style="1667" customWidth="1"/>
    <col min="18" max="22" width="6.08984375" style="1667" customWidth="1"/>
    <col min="23" max="23" width="5.7265625" style="1667" customWidth="1"/>
    <col min="24" max="24" width="4.26953125" style="1667" customWidth="1"/>
    <col min="25" max="25" width="3.453125" style="1667" customWidth="1"/>
    <col min="26" max="26" width="19.7265625" style="1667" customWidth="1"/>
    <col min="27" max="28" width="9.3632812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54.91</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c r="A4" s="1663" t="s">
        <v>2253</v>
      </c>
      <c r="B4" s="1664"/>
      <c r="C4" s="3456" t="s">
        <v>2254</v>
      </c>
      <c r="D4" s="3457"/>
      <c r="E4" s="3458" t="s">
        <v>2255</v>
      </c>
      <c r="F4" s="3459"/>
      <c r="G4" s="3456" t="s">
        <v>2256</v>
      </c>
      <c r="H4" s="3457"/>
      <c r="I4" s="3456" t="s">
        <v>2257</v>
      </c>
      <c r="J4" s="3457"/>
      <c r="K4" s="1966" t="s">
        <v>2258</v>
      </c>
      <c r="L4" s="2999"/>
      <c r="M4" s="3000"/>
      <c r="N4" s="3000"/>
      <c r="O4" s="3000"/>
      <c r="P4" s="3460" t="s">
        <v>2259</v>
      </c>
      <c r="Q4" s="3461"/>
      <c r="R4" s="3445" t="s">
        <v>2255</v>
      </c>
      <c r="S4" s="3446"/>
      <c r="T4" s="3445" t="s">
        <v>2256</v>
      </c>
      <c r="U4" s="3446"/>
      <c r="V4" s="3466" t="s">
        <v>2257</v>
      </c>
      <c r="W4" s="3466"/>
      <c r="X4" s="2075"/>
      <c r="Y4" s="3445" t="s">
        <v>2259</v>
      </c>
      <c r="Z4" s="3446"/>
      <c r="AA4" s="3453" t="s">
        <v>2255</v>
      </c>
      <c r="AB4" s="3466" t="s">
        <v>2256</v>
      </c>
      <c r="AC4" s="3453" t="s">
        <v>2257</v>
      </c>
    </row>
    <row r="5" spans="1:29">
      <c r="A5" s="1668"/>
      <c r="B5" s="1669"/>
      <c r="C5" s="3473" t="s">
        <v>2260</v>
      </c>
      <c r="D5" s="3442"/>
      <c r="E5" s="3472" t="s">
        <v>2261</v>
      </c>
      <c r="F5" s="3468"/>
      <c r="G5" s="3473" t="s">
        <v>2262</v>
      </c>
      <c r="H5" s="3442"/>
      <c r="I5" s="3473" t="s">
        <v>2263</v>
      </c>
      <c r="J5" s="3442"/>
      <c r="K5" s="1966"/>
      <c r="L5" s="2999"/>
      <c r="M5" s="3000"/>
      <c r="N5" s="3000"/>
      <c r="O5" s="3000"/>
      <c r="P5" s="3462"/>
      <c r="Q5" s="3463"/>
      <c r="R5" s="3447"/>
      <c r="S5" s="3448"/>
      <c r="T5" s="3447"/>
      <c r="U5" s="3448"/>
      <c r="V5" s="3466"/>
      <c r="W5" s="3466"/>
      <c r="X5" s="2075"/>
      <c r="Y5" s="3447"/>
      <c r="Z5" s="3448"/>
      <c r="AA5" s="3454"/>
      <c r="AB5" s="3466"/>
      <c r="AC5" s="3454"/>
    </row>
    <row r="6" spans="1:29" ht="15" thickBot="1">
      <c r="A6" s="1671"/>
      <c r="B6" s="1672"/>
      <c r="C6" s="3439" t="s">
        <v>2264</v>
      </c>
      <c r="D6" s="3440"/>
      <c r="E6" s="3470" t="s">
        <v>2264</v>
      </c>
      <c r="F6" s="3471"/>
      <c r="G6" s="3439" t="s">
        <v>2264</v>
      </c>
      <c r="H6" s="3440"/>
      <c r="I6" s="3439" t="s">
        <v>2264</v>
      </c>
      <c r="J6" s="3440"/>
      <c r="K6" s="1966" t="s">
        <v>2265</v>
      </c>
      <c r="L6" s="2999"/>
      <c r="M6" s="3000"/>
      <c r="N6" s="3000"/>
      <c r="O6" s="3000"/>
      <c r="P6" s="3464"/>
      <c r="Q6" s="3465"/>
      <c r="R6" s="3447"/>
      <c r="S6" s="3448"/>
      <c r="T6" s="3449"/>
      <c r="U6" s="3450"/>
      <c r="V6" s="3466"/>
      <c r="W6" s="3466"/>
      <c r="X6" s="2075"/>
      <c r="Y6" s="3449"/>
      <c r="Z6" s="3450"/>
      <c r="AA6" s="3455"/>
      <c r="AB6" s="3466"/>
      <c r="AC6" s="3455"/>
    </row>
    <row r="7" spans="1:29" s="1685" customFormat="1" ht="14.5" thickBot="1">
      <c r="A7" s="1673" t="s">
        <v>2266</v>
      </c>
      <c r="B7" s="1674"/>
      <c r="C7" s="1675">
        <f>'数据-取费表'!B2</f>
        <v>44062</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43" t="s">
        <v>2267</v>
      </c>
      <c r="Q7" s="3451"/>
      <c r="R7" s="1681" t="s">
        <v>25</v>
      </c>
      <c r="S7" s="1682">
        <f t="shared" ref="S7:S15" si="0">F7</f>
        <v>0</v>
      </c>
      <c r="T7" s="1681" t="s">
        <v>25</v>
      </c>
      <c r="U7" s="1682">
        <f t="shared" ref="U7:U15" si="1">H7</f>
        <v>0</v>
      </c>
      <c r="V7" s="1681" t="s">
        <v>25</v>
      </c>
      <c r="W7" s="1682">
        <f t="shared" ref="W7:W15" si="2">J7</f>
        <v>0</v>
      </c>
      <c r="X7" s="1683"/>
      <c r="Y7" s="3443" t="s">
        <v>2267</v>
      </c>
      <c r="Z7" s="3444"/>
      <c r="AA7" s="1684" t="e">
        <f>D7/F7</f>
        <v>#DIV/0!</v>
      </c>
      <c r="AB7" s="1684" t="e">
        <f>D7/H7</f>
        <v>#DIV/0!</v>
      </c>
      <c r="AC7" s="1684" t="e">
        <f>D7/J7</f>
        <v>#DIV/0!</v>
      </c>
    </row>
    <row r="8" spans="1:29" s="1685" customFormat="1" ht="14.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43" t="s">
        <v>2270</v>
      </c>
      <c r="Q8" s="3444"/>
      <c r="R8" s="1681" t="s">
        <v>25</v>
      </c>
      <c r="S8" s="1682">
        <f t="shared" si="0"/>
        <v>0</v>
      </c>
      <c r="T8" s="1681" t="s">
        <v>25</v>
      </c>
      <c r="U8" s="1682">
        <f t="shared" si="1"/>
        <v>0</v>
      </c>
      <c r="V8" s="1681" t="s">
        <v>25</v>
      </c>
      <c r="W8" s="1682">
        <f t="shared" si="2"/>
        <v>0</v>
      </c>
      <c r="X8" s="1683"/>
      <c r="Y8" s="3443" t="s">
        <v>2270</v>
      </c>
      <c r="Z8" s="3444"/>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2" t="s">
        <v>2273</v>
      </c>
      <c r="Q9" s="2066" t="str">
        <f t="shared" ref="Q9:Q15" si="6">B9</f>
        <v>用途</v>
      </c>
      <c r="R9" s="1681" t="s">
        <v>25</v>
      </c>
      <c r="S9" s="1682">
        <f t="shared" si="0"/>
        <v>100</v>
      </c>
      <c r="T9" s="1681" t="s">
        <v>25</v>
      </c>
      <c r="U9" s="1682">
        <f t="shared" si="1"/>
        <v>100</v>
      </c>
      <c r="V9" s="1681" t="s">
        <v>25</v>
      </c>
      <c r="W9" s="1682">
        <f t="shared" si="2"/>
        <v>100</v>
      </c>
      <c r="X9" s="1683"/>
      <c r="Y9" s="3290" t="s">
        <v>2274</v>
      </c>
      <c r="Z9" s="1694" t="str">
        <f t="shared" ref="Z9:Z15" si="7">Q9</f>
        <v>用途</v>
      </c>
      <c r="AA9" s="1684">
        <f t="shared" si="3"/>
        <v>1</v>
      </c>
      <c r="AB9" s="1684">
        <f t="shared" si="4"/>
        <v>1</v>
      </c>
      <c r="AC9" s="1684">
        <f t="shared" si="5"/>
        <v>1</v>
      </c>
    </row>
    <row r="10" spans="1:29" s="1702" customFormat="1" ht="28">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2"/>
      <c r="Q10" s="2066" t="str">
        <f t="shared" si="6"/>
        <v>土地使用年限（年）</v>
      </c>
      <c r="R10" s="1681" t="s">
        <v>25</v>
      </c>
      <c r="S10" s="1682">
        <f t="shared" si="0"/>
        <v>100</v>
      </c>
      <c r="T10" s="1681" t="s">
        <v>25</v>
      </c>
      <c r="U10" s="1682">
        <f t="shared" si="1"/>
        <v>100</v>
      </c>
      <c r="V10" s="1681" t="s">
        <v>25</v>
      </c>
      <c r="W10" s="1682">
        <f t="shared" si="2"/>
        <v>100</v>
      </c>
      <c r="X10" s="1683"/>
      <c r="Y10" s="3290"/>
      <c r="Z10" s="1694" t="str">
        <f t="shared" si="7"/>
        <v>土地使用年限（年）</v>
      </c>
      <c r="AA10" s="1684">
        <f t="shared" si="3"/>
        <v>1</v>
      </c>
      <c r="AB10" s="1684">
        <f t="shared" si="4"/>
        <v>1</v>
      </c>
      <c r="AC10" s="1684">
        <f t="shared" si="5"/>
        <v>1</v>
      </c>
    </row>
    <row r="11" spans="1:29" ht="15.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2"/>
      <c r="Q11" s="2066" t="str">
        <f t="shared" si="6"/>
        <v>容积率</v>
      </c>
      <c r="R11" s="1681" t="s">
        <v>25</v>
      </c>
      <c r="S11" s="1682" t="e">
        <f t="shared" si="0"/>
        <v>#N/A</v>
      </c>
      <c r="T11" s="1681" t="s">
        <v>25</v>
      </c>
      <c r="U11" s="1682" t="e">
        <f t="shared" si="1"/>
        <v>#N/A</v>
      </c>
      <c r="V11" s="1681" t="s">
        <v>25</v>
      </c>
      <c r="W11" s="1682" t="e">
        <f t="shared" si="2"/>
        <v>#N/A</v>
      </c>
      <c r="X11" s="1683"/>
      <c r="Y11" s="3290"/>
      <c r="Z11" s="1694" t="str">
        <f t="shared" si="7"/>
        <v>容积率</v>
      </c>
      <c r="AA11" s="1684" t="e">
        <f t="shared" si="3"/>
        <v>#N/A</v>
      </c>
      <c r="AB11" s="1684" t="e">
        <f t="shared" si="4"/>
        <v>#N/A</v>
      </c>
      <c r="AC11" s="1684" t="e">
        <f t="shared" si="5"/>
        <v>#N/A</v>
      </c>
    </row>
    <row r="12" spans="1:29" s="1685" customFormat="1" ht="15.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2"/>
      <c r="Q12" s="2066">
        <f t="shared" si="6"/>
        <v>111</v>
      </c>
      <c r="R12" s="1681" t="s">
        <v>25</v>
      </c>
      <c r="S12" s="1682">
        <f t="shared" si="0"/>
        <v>100</v>
      </c>
      <c r="T12" s="1681" t="s">
        <v>25</v>
      </c>
      <c r="U12" s="1682">
        <f t="shared" si="1"/>
        <v>100</v>
      </c>
      <c r="V12" s="1681" t="s">
        <v>25</v>
      </c>
      <c r="W12" s="1682">
        <f t="shared" si="2"/>
        <v>100</v>
      </c>
      <c r="X12" s="1683"/>
      <c r="Y12" s="3290"/>
      <c r="Z12" s="1694">
        <f t="shared" si="7"/>
        <v>111</v>
      </c>
      <c r="AA12" s="1684">
        <f>D12/F12</f>
        <v>1</v>
      </c>
      <c r="AB12" s="1684">
        <f>D12/H12</f>
        <v>1</v>
      </c>
      <c r="AC12" s="1684">
        <f>D12/J12</f>
        <v>1</v>
      </c>
    </row>
    <row r="13" spans="1:29" ht="15.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2"/>
      <c r="Q13" s="2066">
        <f t="shared" si="6"/>
        <v>111</v>
      </c>
      <c r="R13" s="1681" t="s">
        <v>25</v>
      </c>
      <c r="S13" s="1682">
        <f t="shared" si="0"/>
        <v>100</v>
      </c>
      <c r="T13" s="1681" t="s">
        <v>25</v>
      </c>
      <c r="U13" s="1682">
        <f t="shared" si="1"/>
        <v>100</v>
      </c>
      <c r="V13" s="1681" t="s">
        <v>25</v>
      </c>
      <c r="W13" s="1682">
        <f t="shared" si="2"/>
        <v>100</v>
      </c>
      <c r="X13" s="1683"/>
      <c r="Y13" s="3290"/>
      <c r="Z13" s="1694">
        <f t="shared" si="7"/>
        <v>111</v>
      </c>
      <c r="AA13" s="1684">
        <f t="shared" si="3"/>
        <v>1</v>
      </c>
      <c r="AB13" s="1684">
        <f t="shared" si="4"/>
        <v>1</v>
      </c>
      <c r="AC13" s="1684">
        <f t="shared" si="5"/>
        <v>1</v>
      </c>
    </row>
    <row r="14" spans="1:29" ht="1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2"/>
      <c r="Q14" s="2066">
        <f t="shared" si="6"/>
        <v>111</v>
      </c>
      <c r="R14" s="1681" t="s">
        <v>25</v>
      </c>
      <c r="S14" s="1682">
        <f t="shared" si="0"/>
        <v>100</v>
      </c>
      <c r="T14" s="1681" t="s">
        <v>25</v>
      </c>
      <c r="U14" s="1682">
        <f t="shared" si="1"/>
        <v>100</v>
      </c>
      <c r="V14" s="1681" t="s">
        <v>25</v>
      </c>
      <c r="W14" s="1682">
        <f t="shared" si="2"/>
        <v>100</v>
      </c>
      <c r="X14" s="1683"/>
      <c r="Y14" s="3290"/>
      <c r="Z14" s="1694">
        <f t="shared" si="7"/>
        <v>111</v>
      </c>
      <c r="AA14" s="1684">
        <f t="shared" si="3"/>
        <v>1</v>
      </c>
      <c r="AB14" s="1684">
        <f t="shared" si="4"/>
        <v>1</v>
      </c>
      <c r="AC14" s="1684">
        <f t="shared" si="5"/>
        <v>1</v>
      </c>
    </row>
    <row r="15" spans="1:29" ht="84">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30" t="s">
        <v>2278</v>
      </c>
      <c r="Q15" s="2072" t="str">
        <f t="shared" si="6"/>
        <v>商业繁华度</v>
      </c>
      <c r="R15" s="1726" t="s">
        <v>25</v>
      </c>
      <c r="S15" s="1727">
        <f t="shared" si="0"/>
        <v>100</v>
      </c>
      <c r="T15" s="1726" t="s">
        <v>25</v>
      </c>
      <c r="U15" s="1727">
        <f t="shared" si="1"/>
        <v>100</v>
      </c>
      <c r="V15" s="1726" t="s">
        <v>25</v>
      </c>
      <c r="W15" s="1727">
        <f t="shared" si="2"/>
        <v>100</v>
      </c>
      <c r="X15" s="2075"/>
      <c r="Y15" s="3432" t="s">
        <v>2278</v>
      </c>
      <c r="Z15" s="2079" t="str">
        <f t="shared" si="7"/>
        <v>商业繁华度</v>
      </c>
      <c r="AA15" s="2070">
        <f t="shared" si="3"/>
        <v>1</v>
      </c>
      <c r="AB15" s="2070">
        <f t="shared" si="4"/>
        <v>1</v>
      </c>
      <c r="AC15" s="2070">
        <f t="shared" si="5"/>
        <v>1</v>
      </c>
    </row>
    <row r="16" spans="1:29" ht="15.5">
      <c r="A16" s="1703"/>
      <c r="B16" s="1730"/>
      <c r="C16" s="1731"/>
      <c r="D16" s="1732"/>
      <c r="E16" s="1731"/>
      <c r="F16" s="1734"/>
      <c r="G16" s="1731"/>
      <c r="H16" s="1736"/>
      <c r="I16" s="1731"/>
      <c r="J16" s="1732"/>
      <c r="K16" s="2476"/>
      <c r="L16" s="3004"/>
      <c r="M16" s="3000"/>
      <c r="N16" s="3000"/>
      <c r="O16" s="3000"/>
      <c r="P16" s="3431"/>
      <c r="Q16" s="2072"/>
      <c r="R16" s="1726"/>
      <c r="S16" s="1727"/>
      <c r="T16" s="1726"/>
      <c r="U16" s="1727"/>
      <c r="V16" s="1726"/>
      <c r="W16" s="1727"/>
      <c r="X16" s="2075"/>
      <c r="Y16" s="3433"/>
      <c r="Z16" s="2079"/>
      <c r="AA16" s="2070">
        <v>1</v>
      </c>
      <c r="AB16" s="2070">
        <v>1</v>
      </c>
      <c r="AC16" s="2070">
        <v>1</v>
      </c>
    </row>
    <row r="17" spans="1:29" ht="168">
      <c r="A17" s="1703"/>
      <c r="B17" s="1738" t="s">
        <v>1713</v>
      </c>
      <c r="C17" s="1739" t="str">
        <f>估价对象房地状况!C6</f>
        <v>估价对象周边有昌11路、昌21路、昌52路、昌59路等多条公交线路。以估价对象为圆心，半径1000米范围内有地铁昌平线昌平地铁站，交通便捷程度好。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31"/>
      <c r="Q17" s="2072" t="str">
        <f>B17</f>
        <v>交通便捷度</v>
      </c>
      <c r="R17" s="1726" t="s">
        <v>25</v>
      </c>
      <c r="S17" s="1727">
        <f>F17</f>
        <v>100</v>
      </c>
      <c r="T17" s="1726" t="s">
        <v>25</v>
      </c>
      <c r="U17" s="1727">
        <f>H17</f>
        <v>100</v>
      </c>
      <c r="V17" s="1726" t="s">
        <v>25</v>
      </c>
      <c r="W17" s="1727">
        <f>J17</f>
        <v>100</v>
      </c>
      <c r="X17" s="2075"/>
      <c r="Y17" s="3433"/>
      <c r="Z17" s="2079" t="str">
        <f>Q17</f>
        <v>交通便捷度</v>
      </c>
      <c r="AA17" s="2070">
        <f t="shared" si="3"/>
        <v>1</v>
      </c>
      <c r="AB17" s="2070">
        <f t="shared" si="4"/>
        <v>1</v>
      </c>
      <c r="AC17" s="2070">
        <f t="shared" si="5"/>
        <v>1</v>
      </c>
    </row>
    <row r="18" spans="1:29" ht="15.5">
      <c r="A18" s="1703"/>
      <c r="B18" s="1744"/>
      <c r="C18" s="1745"/>
      <c r="D18" s="1736"/>
      <c r="E18" s="1746"/>
      <c r="F18" s="1741"/>
      <c r="G18" s="1747"/>
      <c r="H18" s="1732"/>
      <c r="I18" s="1746"/>
      <c r="J18" s="1732"/>
      <c r="K18" s="2476"/>
      <c r="L18" s="3004"/>
      <c r="M18" s="3000"/>
      <c r="N18" s="3000"/>
      <c r="O18" s="3000"/>
      <c r="P18" s="3431"/>
      <c r="Q18" s="2072"/>
      <c r="R18" s="1726"/>
      <c r="S18" s="1727"/>
      <c r="T18" s="1726"/>
      <c r="U18" s="1727"/>
      <c r="V18" s="1726"/>
      <c r="W18" s="1727"/>
      <c r="X18" s="2075"/>
      <c r="Y18" s="3433"/>
      <c r="Z18" s="2079"/>
      <c r="AA18" s="2070">
        <v>1</v>
      </c>
      <c r="AB18" s="2070">
        <v>1</v>
      </c>
      <c r="AC18" s="2070">
        <v>1</v>
      </c>
    </row>
    <row r="19" spans="1:29" ht="42">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31"/>
      <c r="Q19" s="2072" t="str">
        <f>B19</f>
        <v>公共配套设施</v>
      </c>
      <c r="R19" s="1726" t="s">
        <v>25</v>
      </c>
      <c r="S19" s="1727">
        <f>F19</f>
        <v>100</v>
      </c>
      <c r="T19" s="1726" t="s">
        <v>25</v>
      </c>
      <c r="U19" s="1727">
        <f>H19</f>
        <v>100</v>
      </c>
      <c r="V19" s="1726" t="s">
        <v>25</v>
      </c>
      <c r="W19" s="1727">
        <f>J19</f>
        <v>100</v>
      </c>
      <c r="X19" s="2075"/>
      <c r="Y19" s="3433"/>
      <c r="Z19" s="2079" t="str">
        <f>Q19</f>
        <v>公共配套设施</v>
      </c>
      <c r="AA19" s="2070">
        <f t="shared" si="3"/>
        <v>1</v>
      </c>
      <c r="AB19" s="2070">
        <f t="shared" si="4"/>
        <v>1</v>
      </c>
      <c r="AC19" s="2070">
        <f t="shared" si="5"/>
        <v>1</v>
      </c>
    </row>
    <row r="20" spans="1:29" ht="15.5">
      <c r="A20" s="1703"/>
      <c r="B20" s="1744"/>
      <c r="C20" s="1731"/>
      <c r="D20" s="1732"/>
      <c r="E20" s="1733"/>
      <c r="F20" s="1734"/>
      <c r="G20" s="1735"/>
      <c r="H20" s="1732"/>
      <c r="I20" s="1733"/>
      <c r="J20" s="1732"/>
      <c r="K20" s="2476"/>
      <c r="L20" s="3004"/>
      <c r="M20" s="3000"/>
      <c r="N20" s="3000"/>
      <c r="O20" s="3000"/>
      <c r="P20" s="3431"/>
      <c r="Q20" s="2072"/>
      <c r="R20" s="1726"/>
      <c r="S20" s="1727"/>
      <c r="T20" s="1726"/>
      <c r="U20" s="1727"/>
      <c r="V20" s="1726"/>
      <c r="W20" s="1727"/>
      <c r="X20" s="2075"/>
      <c r="Y20" s="3433"/>
      <c r="Z20" s="2079"/>
      <c r="AA20" s="2070">
        <v>1</v>
      </c>
      <c r="AB20" s="2070">
        <v>1</v>
      </c>
      <c r="AC20" s="2070">
        <v>1</v>
      </c>
    </row>
    <row r="21" spans="1:29" ht="42">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31"/>
      <c r="Q21" s="2072" t="str">
        <f>B21</f>
        <v>基础设施水平</v>
      </c>
      <c r="R21" s="1726" t="s">
        <v>25</v>
      </c>
      <c r="S21" s="1727">
        <f>F21</f>
        <v>100</v>
      </c>
      <c r="T21" s="1726" t="s">
        <v>25</v>
      </c>
      <c r="U21" s="1727">
        <f>H21</f>
        <v>100</v>
      </c>
      <c r="V21" s="1726" t="s">
        <v>25</v>
      </c>
      <c r="W21" s="1727">
        <f>J21</f>
        <v>100</v>
      </c>
      <c r="X21" s="2075"/>
      <c r="Y21" s="3433"/>
      <c r="Z21" s="2079" t="str">
        <f>Q21</f>
        <v>基础设施水平</v>
      </c>
      <c r="AA21" s="2070">
        <f t="shared" ref="AA21" si="8">D21/F21</f>
        <v>1</v>
      </c>
      <c r="AB21" s="2070">
        <f t="shared" ref="AB21" si="9">D21/H21</f>
        <v>1</v>
      </c>
      <c r="AC21" s="2070">
        <f t="shared" ref="AC21" si="10">D21/J21</f>
        <v>1</v>
      </c>
    </row>
    <row r="22" spans="1:29" ht="15.5">
      <c r="A22" s="1703"/>
      <c r="B22" s="1751"/>
      <c r="C22" s="1745"/>
      <c r="D22" s="1732"/>
      <c r="E22" s="1731"/>
      <c r="F22" s="1734"/>
      <c r="G22" s="1731"/>
      <c r="H22" s="1732"/>
      <c r="I22" s="1731"/>
      <c r="J22" s="1732"/>
      <c r="K22" s="2477"/>
      <c r="L22" s="3004"/>
      <c r="M22" s="3000"/>
      <c r="N22" s="3000"/>
      <c r="O22" s="3000"/>
      <c r="P22" s="3431"/>
      <c r="Q22" s="2072"/>
      <c r="R22" s="1726"/>
      <c r="S22" s="1727"/>
      <c r="T22" s="1726"/>
      <c r="U22" s="1727"/>
      <c r="V22" s="1726"/>
      <c r="W22" s="1727"/>
      <c r="X22" s="2075"/>
      <c r="Y22" s="3433"/>
      <c r="Z22" s="2079"/>
      <c r="AA22" s="2070">
        <v>1</v>
      </c>
      <c r="AB22" s="2070">
        <v>1</v>
      </c>
      <c r="AC22" s="2070">
        <v>1</v>
      </c>
    </row>
    <row r="23" spans="1:29" ht="168">
      <c r="A23" s="1703"/>
      <c r="B23" s="1738" t="s">
        <v>1715</v>
      </c>
      <c r="C23" s="2478" t="str">
        <f>估价对象房地状况!C9</f>
        <v xml:space="preserve">自然环境：昌平公园、北山公园等自然景观；
人文环境：中国石油大学、中国政法大学昌平校区等人文场所；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31"/>
      <c r="Q23" s="2072" t="str">
        <f>B23</f>
        <v>自然及人文环境</v>
      </c>
      <c r="R23" s="1726" t="s">
        <v>25</v>
      </c>
      <c r="S23" s="1727">
        <f>F23</f>
        <v>100</v>
      </c>
      <c r="T23" s="1726" t="s">
        <v>25</v>
      </c>
      <c r="U23" s="1727">
        <f>H23</f>
        <v>100</v>
      </c>
      <c r="V23" s="1726" t="s">
        <v>25</v>
      </c>
      <c r="W23" s="1727">
        <f>J23</f>
        <v>100</v>
      </c>
      <c r="X23" s="2075"/>
      <c r="Y23" s="3433"/>
      <c r="Z23" s="2079" t="str">
        <f>Q23</f>
        <v>自然及人文环境</v>
      </c>
      <c r="AA23" s="2070">
        <f t="shared" si="3"/>
        <v>1</v>
      </c>
      <c r="AB23" s="2070">
        <f t="shared" si="4"/>
        <v>1</v>
      </c>
      <c r="AC23" s="2070">
        <f t="shared" si="5"/>
        <v>1</v>
      </c>
    </row>
    <row r="24" spans="1:29" ht="15.5">
      <c r="A24" s="1703"/>
      <c r="B24" s="1744"/>
      <c r="C24" s="1731"/>
      <c r="D24" s="1732"/>
      <c r="E24" s="1733"/>
      <c r="F24" s="1734"/>
      <c r="G24" s="1735"/>
      <c r="H24" s="1732"/>
      <c r="I24" s="1733"/>
      <c r="J24" s="1732"/>
      <c r="K24" s="2476"/>
      <c r="L24" s="3004"/>
      <c r="M24" s="3000"/>
      <c r="N24" s="3000"/>
      <c r="O24" s="3000"/>
      <c r="P24" s="3431"/>
      <c r="Q24" s="2072"/>
      <c r="R24" s="1726"/>
      <c r="S24" s="1727"/>
      <c r="T24" s="1726"/>
      <c r="U24" s="1727"/>
      <c r="V24" s="1726"/>
      <c r="W24" s="1727"/>
      <c r="X24" s="2075"/>
      <c r="Y24" s="3433"/>
      <c r="Z24" s="2079"/>
      <c r="AA24" s="2070">
        <v>1</v>
      </c>
      <c r="AB24" s="2070">
        <v>1</v>
      </c>
      <c r="AC24" s="2070">
        <v>1</v>
      </c>
    </row>
    <row r="25" spans="1:29" ht="15.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31"/>
      <c r="Q25" s="2072" t="str">
        <f t="shared" ref="Q25:Q46" si="11">B25</f>
        <v>临街状况</v>
      </c>
      <c r="R25" s="1726" t="s">
        <v>25</v>
      </c>
      <c r="S25" s="1727">
        <f>F25</f>
        <v>100</v>
      </c>
      <c r="T25" s="1726" t="s">
        <v>25</v>
      </c>
      <c r="U25" s="1727">
        <f>H25</f>
        <v>100</v>
      </c>
      <c r="V25" s="1726" t="s">
        <v>25</v>
      </c>
      <c r="W25" s="1727">
        <f>J25</f>
        <v>100</v>
      </c>
      <c r="X25" s="2075"/>
      <c r="Y25" s="3433"/>
      <c r="Z25" s="2079" t="str">
        <f>Q25</f>
        <v>临街状况</v>
      </c>
      <c r="AA25" s="2070">
        <f t="shared" si="3"/>
        <v>1</v>
      </c>
      <c r="AB25" s="2070">
        <f t="shared" si="4"/>
        <v>1</v>
      </c>
      <c r="AC25" s="2070">
        <f t="shared" si="5"/>
        <v>1</v>
      </c>
    </row>
    <row r="26" spans="1:29" ht="15.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31"/>
      <c r="Q26" s="2072" t="str">
        <f t="shared" si="11"/>
        <v>平面位置/可视性</v>
      </c>
      <c r="R26" s="1726" t="s">
        <v>25</v>
      </c>
      <c r="S26" s="1727">
        <f>F26</f>
        <v>100</v>
      </c>
      <c r="T26" s="1726" t="s">
        <v>25</v>
      </c>
      <c r="U26" s="1727">
        <f>H26</f>
        <v>100</v>
      </c>
      <c r="V26" s="1726" t="s">
        <v>25</v>
      </c>
      <c r="W26" s="1727">
        <f>J26</f>
        <v>100</v>
      </c>
      <c r="X26" s="2075"/>
      <c r="Y26" s="3433"/>
      <c r="Z26" s="2079" t="str">
        <f>Q26</f>
        <v>平面位置/可视性</v>
      </c>
      <c r="AA26" s="2070">
        <f t="shared" si="3"/>
        <v>1</v>
      </c>
      <c r="AB26" s="2070">
        <f t="shared" si="4"/>
        <v>1</v>
      </c>
      <c r="AC26" s="2070">
        <f t="shared" si="5"/>
        <v>1</v>
      </c>
    </row>
    <row r="27" spans="1:29" s="1685" customFormat="1" ht="15.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31"/>
      <c r="Q27" s="2066" t="str">
        <f t="shared" si="11"/>
        <v>人流量</v>
      </c>
      <c r="R27" s="1681" t="s">
        <v>25</v>
      </c>
      <c r="S27" s="1682">
        <f>F27</f>
        <v>100</v>
      </c>
      <c r="T27" s="1681" t="s">
        <v>25</v>
      </c>
      <c r="U27" s="1682">
        <f>H27</f>
        <v>100</v>
      </c>
      <c r="V27" s="1681" t="s">
        <v>25</v>
      </c>
      <c r="W27" s="1682">
        <f>J27</f>
        <v>100</v>
      </c>
      <c r="X27" s="1683"/>
      <c r="Y27" s="3433"/>
      <c r="Z27" s="1694" t="str">
        <f>Q27</f>
        <v>人流量</v>
      </c>
      <c r="AA27" s="2070">
        <f>D27/F27</f>
        <v>1</v>
      </c>
      <c r="AB27" s="2070">
        <f>D27/H27</f>
        <v>1</v>
      </c>
      <c r="AC27" s="2070">
        <f>D27/J27</f>
        <v>1</v>
      </c>
    </row>
    <row r="28" spans="1:29" ht="15.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3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3"/>
      <c r="Z28" s="2079" t="str">
        <f t="shared" ref="Z28:Z46" si="15">Q28</f>
        <v>楼层</v>
      </c>
      <c r="AA28" s="2070">
        <f t="shared" si="3"/>
        <v>1</v>
      </c>
      <c r="AB28" s="2070">
        <f t="shared" si="4"/>
        <v>1</v>
      </c>
      <c r="AC28" s="2070">
        <f t="shared" si="5"/>
        <v>1</v>
      </c>
    </row>
    <row r="29" spans="1:29" ht="15.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31"/>
      <c r="Q29" s="2072">
        <f t="shared" si="11"/>
        <v>111</v>
      </c>
      <c r="R29" s="1726" t="s">
        <v>25</v>
      </c>
      <c r="S29" s="1727">
        <f t="shared" si="12"/>
        <v>100</v>
      </c>
      <c r="T29" s="1726" t="s">
        <v>25</v>
      </c>
      <c r="U29" s="1727">
        <f t="shared" si="13"/>
        <v>100</v>
      </c>
      <c r="V29" s="1726" t="s">
        <v>25</v>
      </c>
      <c r="W29" s="1727">
        <f t="shared" si="14"/>
        <v>100</v>
      </c>
      <c r="X29" s="2075"/>
      <c r="Y29" s="3433"/>
      <c r="Z29" s="2079">
        <f t="shared" si="15"/>
        <v>111</v>
      </c>
      <c r="AA29" s="2070">
        <f t="shared" si="3"/>
        <v>1</v>
      </c>
      <c r="AB29" s="2070">
        <f t="shared" si="4"/>
        <v>1</v>
      </c>
      <c r="AC29" s="2070">
        <f t="shared" si="5"/>
        <v>1</v>
      </c>
    </row>
    <row r="30" spans="1:29" ht="15.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31"/>
      <c r="Q30" s="2072">
        <f t="shared" si="11"/>
        <v>111</v>
      </c>
      <c r="R30" s="1726" t="s">
        <v>25</v>
      </c>
      <c r="S30" s="1727">
        <f t="shared" si="12"/>
        <v>100</v>
      </c>
      <c r="T30" s="1726" t="s">
        <v>25</v>
      </c>
      <c r="U30" s="1727">
        <f t="shared" si="13"/>
        <v>100</v>
      </c>
      <c r="V30" s="1726" t="s">
        <v>25</v>
      </c>
      <c r="W30" s="1727">
        <f t="shared" si="14"/>
        <v>100</v>
      </c>
      <c r="X30" s="2075"/>
      <c r="Y30" s="3433"/>
      <c r="Z30" s="2079">
        <f t="shared" si="15"/>
        <v>111</v>
      </c>
      <c r="AA30" s="2070">
        <f t="shared" si="3"/>
        <v>1</v>
      </c>
      <c r="AB30" s="2070">
        <f t="shared" si="4"/>
        <v>1</v>
      </c>
      <c r="AC30" s="2070">
        <f t="shared" si="5"/>
        <v>1</v>
      </c>
    </row>
    <row r="31" spans="1:29" ht="1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31"/>
      <c r="Q31" s="2072">
        <f t="shared" si="11"/>
        <v>111</v>
      </c>
      <c r="R31" s="1726" t="s">
        <v>25</v>
      </c>
      <c r="S31" s="1727">
        <f t="shared" si="12"/>
        <v>100</v>
      </c>
      <c r="T31" s="1726" t="s">
        <v>25</v>
      </c>
      <c r="U31" s="1727">
        <f t="shared" si="13"/>
        <v>100</v>
      </c>
      <c r="V31" s="1726" t="s">
        <v>25</v>
      </c>
      <c r="W31" s="1727">
        <f t="shared" si="14"/>
        <v>100</v>
      </c>
      <c r="X31" s="2075"/>
      <c r="Y31" s="3433"/>
      <c r="Z31" s="2079">
        <f t="shared" si="15"/>
        <v>111</v>
      </c>
      <c r="AA31" s="2070">
        <f t="shared" si="3"/>
        <v>1</v>
      </c>
      <c r="AB31" s="2070">
        <f t="shared" si="4"/>
        <v>1</v>
      </c>
      <c r="AC31" s="2070">
        <f t="shared" si="5"/>
        <v>1</v>
      </c>
    </row>
    <row r="32" spans="1:29" ht="15.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34" t="s">
        <v>2284</v>
      </c>
      <c r="Q32" s="2072" t="str">
        <f t="shared" si="11"/>
        <v>商业类型</v>
      </c>
      <c r="R32" s="1726" t="s">
        <v>25</v>
      </c>
      <c r="S32" s="1727">
        <f t="shared" si="12"/>
        <v>100</v>
      </c>
      <c r="T32" s="1726" t="s">
        <v>25</v>
      </c>
      <c r="U32" s="1727">
        <f t="shared" si="13"/>
        <v>100</v>
      </c>
      <c r="V32" s="1726" t="s">
        <v>25</v>
      </c>
      <c r="W32" s="1727">
        <f t="shared" si="14"/>
        <v>100</v>
      </c>
      <c r="X32" s="2075"/>
      <c r="Y32" s="3437" t="s">
        <v>2284</v>
      </c>
      <c r="Z32" s="2079" t="str">
        <f t="shared" si="15"/>
        <v>商业类型</v>
      </c>
      <c r="AA32" s="2070">
        <f t="shared" si="3"/>
        <v>1</v>
      </c>
      <c r="AB32" s="2070">
        <f t="shared" si="4"/>
        <v>1</v>
      </c>
      <c r="AC32" s="2070">
        <f t="shared" si="5"/>
        <v>1</v>
      </c>
    </row>
    <row r="33" spans="1:29" s="1772" customFormat="1" ht="15.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35"/>
      <c r="Q33" s="1767" t="str">
        <f t="shared" si="11"/>
        <v>项目建筑规模</v>
      </c>
      <c r="R33" s="1768" t="s">
        <v>25</v>
      </c>
      <c r="S33" s="1769" t="e">
        <f t="shared" si="12"/>
        <v>#N/A</v>
      </c>
      <c r="T33" s="1768" t="s">
        <v>25</v>
      </c>
      <c r="U33" s="1769" t="e">
        <f t="shared" si="13"/>
        <v>#N/A</v>
      </c>
      <c r="V33" s="1768" t="s">
        <v>25</v>
      </c>
      <c r="W33" s="1769" t="e">
        <f t="shared" si="14"/>
        <v>#N/A</v>
      </c>
      <c r="X33" s="1770"/>
      <c r="Y33" s="3437"/>
      <c r="Z33" s="1771" t="str">
        <f t="shared" si="15"/>
        <v>项目建筑规模</v>
      </c>
      <c r="AA33" s="2070" t="e">
        <f t="shared" si="3"/>
        <v>#N/A</v>
      </c>
      <c r="AB33" s="2070" t="e">
        <f t="shared" si="4"/>
        <v>#N/A</v>
      </c>
      <c r="AC33" s="2070" t="e">
        <f t="shared" si="5"/>
        <v>#N/A</v>
      </c>
    </row>
    <row r="34" spans="1:29" ht="15.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35"/>
      <c r="Q34" s="2072" t="str">
        <f t="shared" si="11"/>
        <v>建筑结构</v>
      </c>
      <c r="R34" s="1726" t="s">
        <v>25</v>
      </c>
      <c r="S34" s="1727">
        <f t="shared" si="12"/>
        <v>100</v>
      </c>
      <c r="T34" s="1726" t="s">
        <v>25</v>
      </c>
      <c r="U34" s="1727">
        <f t="shared" si="13"/>
        <v>100</v>
      </c>
      <c r="V34" s="1726" t="s">
        <v>25</v>
      </c>
      <c r="W34" s="1727">
        <f t="shared" si="14"/>
        <v>100</v>
      </c>
      <c r="X34" s="2075"/>
      <c r="Y34" s="3437"/>
      <c r="Z34" s="2079" t="str">
        <f t="shared" si="15"/>
        <v>建筑结构</v>
      </c>
      <c r="AA34" s="2070">
        <f t="shared" si="3"/>
        <v>1</v>
      </c>
      <c r="AB34" s="2070">
        <f t="shared" si="4"/>
        <v>1</v>
      </c>
      <c r="AC34" s="2070">
        <f t="shared" si="5"/>
        <v>1</v>
      </c>
    </row>
    <row r="35" spans="1:29" ht="15.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35"/>
      <c r="Q35" s="2072" t="str">
        <f t="shared" si="11"/>
        <v>公共部分装修</v>
      </c>
      <c r="R35" s="1726" t="s">
        <v>25</v>
      </c>
      <c r="S35" s="1727">
        <f t="shared" si="12"/>
        <v>100</v>
      </c>
      <c r="T35" s="1726" t="s">
        <v>25</v>
      </c>
      <c r="U35" s="1727">
        <f t="shared" si="13"/>
        <v>100</v>
      </c>
      <c r="V35" s="1726" t="s">
        <v>25</v>
      </c>
      <c r="W35" s="1727">
        <f t="shared" si="14"/>
        <v>100</v>
      </c>
      <c r="X35" s="2075"/>
      <c r="Y35" s="3437"/>
      <c r="Z35" s="2079" t="str">
        <f t="shared" si="15"/>
        <v>公共部分装修</v>
      </c>
      <c r="AA35" s="2070">
        <f t="shared" si="3"/>
        <v>1</v>
      </c>
      <c r="AB35" s="2070">
        <f t="shared" si="4"/>
        <v>1</v>
      </c>
      <c r="AC35" s="2070">
        <f t="shared" si="5"/>
        <v>1</v>
      </c>
    </row>
    <row r="36" spans="1:29" ht="15.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35"/>
      <c r="Q36" s="2072" t="str">
        <f t="shared" si="11"/>
        <v>成新度</v>
      </c>
      <c r="R36" s="1726" t="s">
        <v>25</v>
      </c>
      <c r="S36" s="1727" t="e">
        <f t="shared" si="12"/>
        <v>#N/A</v>
      </c>
      <c r="T36" s="1726" t="s">
        <v>25</v>
      </c>
      <c r="U36" s="1727" t="e">
        <f t="shared" si="13"/>
        <v>#N/A</v>
      </c>
      <c r="V36" s="1726" t="s">
        <v>25</v>
      </c>
      <c r="W36" s="1727" t="e">
        <f t="shared" si="14"/>
        <v>#N/A</v>
      </c>
      <c r="X36" s="2075"/>
      <c r="Y36" s="3437"/>
      <c r="Z36" s="2079" t="str">
        <f t="shared" si="15"/>
        <v>成新度</v>
      </c>
      <c r="AA36" s="2070" t="e">
        <f t="shared" si="3"/>
        <v>#N/A</v>
      </c>
      <c r="AB36" s="2070" t="e">
        <f t="shared" si="4"/>
        <v>#N/A</v>
      </c>
      <c r="AC36" s="2070" t="e">
        <f t="shared" si="5"/>
        <v>#N/A</v>
      </c>
    </row>
    <row r="37" spans="1:29" s="1685" customFormat="1" ht="15.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35"/>
      <c r="Q37" s="2066" t="str">
        <f t="shared" si="11"/>
        <v>市政基础设施</v>
      </c>
      <c r="R37" s="1681" t="s">
        <v>25</v>
      </c>
      <c r="S37" s="1682">
        <f t="shared" si="12"/>
        <v>100</v>
      </c>
      <c r="T37" s="1681" t="s">
        <v>25</v>
      </c>
      <c r="U37" s="1682">
        <f t="shared" si="13"/>
        <v>100</v>
      </c>
      <c r="V37" s="1681" t="s">
        <v>25</v>
      </c>
      <c r="W37" s="1682">
        <f t="shared" si="14"/>
        <v>100</v>
      </c>
      <c r="X37" s="1683"/>
      <c r="Y37" s="3437"/>
      <c r="Z37" s="1694" t="str">
        <f t="shared" si="15"/>
        <v>市政基础设施</v>
      </c>
      <c r="AA37" s="1684">
        <f t="shared" si="3"/>
        <v>1</v>
      </c>
      <c r="AB37" s="1684">
        <f t="shared" si="4"/>
        <v>1</v>
      </c>
      <c r="AC37" s="1684">
        <f t="shared" si="5"/>
        <v>1</v>
      </c>
    </row>
    <row r="38" spans="1:29" ht="15.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35" t="s">
        <v>2284</v>
      </c>
      <c r="Q38" s="2072" t="str">
        <f t="shared" si="11"/>
        <v>业态</v>
      </c>
      <c r="R38" s="1726" t="s">
        <v>25</v>
      </c>
      <c r="S38" s="1727">
        <f t="shared" si="12"/>
        <v>100</v>
      </c>
      <c r="T38" s="1726" t="s">
        <v>25</v>
      </c>
      <c r="U38" s="1727">
        <f t="shared" si="13"/>
        <v>100</v>
      </c>
      <c r="V38" s="1726" t="s">
        <v>25</v>
      </c>
      <c r="W38" s="1727">
        <f t="shared" si="14"/>
        <v>100</v>
      </c>
      <c r="X38" s="2075"/>
      <c r="Y38" s="3437" t="s">
        <v>2284</v>
      </c>
      <c r="Z38" s="2079" t="str">
        <f t="shared" si="15"/>
        <v>业态</v>
      </c>
      <c r="AA38" s="2070">
        <f t="shared" si="3"/>
        <v>1</v>
      </c>
      <c r="AB38" s="2070">
        <f t="shared" si="4"/>
        <v>1</v>
      </c>
      <c r="AC38" s="2070">
        <f t="shared" si="5"/>
        <v>1</v>
      </c>
    </row>
    <row r="39" spans="1:29" ht="15.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35"/>
      <c r="Q39" s="2072" t="str">
        <f t="shared" si="11"/>
        <v>层高</v>
      </c>
      <c r="R39" s="1726" t="s">
        <v>25</v>
      </c>
      <c r="S39" s="1727">
        <f t="shared" si="12"/>
        <v>100</v>
      </c>
      <c r="T39" s="1726" t="s">
        <v>25</v>
      </c>
      <c r="U39" s="1727">
        <f t="shared" si="13"/>
        <v>100</v>
      </c>
      <c r="V39" s="1726" t="s">
        <v>25</v>
      </c>
      <c r="W39" s="1727">
        <f t="shared" si="14"/>
        <v>100</v>
      </c>
      <c r="X39" s="2075"/>
      <c r="Y39" s="3437"/>
      <c r="Z39" s="2079" t="str">
        <f t="shared" si="15"/>
        <v>层高</v>
      </c>
      <c r="AA39" s="2070">
        <f t="shared" si="3"/>
        <v>1</v>
      </c>
      <c r="AB39" s="2070">
        <f t="shared" si="4"/>
        <v>1</v>
      </c>
      <c r="AC39" s="2070">
        <f t="shared" si="5"/>
        <v>1</v>
      </c>
    </row>
    <row r="40" spans="1:29" ht="15.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35"/>
      <c r="Q40" s="2072" t="str">
        <f t="shared" si="11"/>
        <v>单套建筑面积</v>
      </c>
      <c r="R40" s="1726" t="s">
        <v>25</v>
      </c>
      <c r="S40" s="1727">
        <f t="shared" si="12"/>
        <v>100</v>
      </c>
      <c r="T40" s="1726" t="s">
        <v>25</v>
      </c>
      <c r="U40" s="1727">
        <f t="shared" si="13"/>
        <v>100</v>
      </c>
      <c r="V40" s="1726" t="s">
        <v>25</v>
      </c>
      <c r="W40" s="1727">
        <f t="shared" si="14"/>
        <v>100</v>
      </c>
      <c r="X40" s="2075"/>
      <c r="Y40" s="3437"/>
      <c r="Z40" s="2079" t="str">
        <f t="shared" si="15"/>
        <v>单套建筑面积</v>
      </c>
      <c r="AA40" s="2070">
        <f t="shared" si="3"/>
        <v>1</v>
      </c>
      <c r="AB40" s="2070">
        <f t="shared" si="4"/>
        <v>1</v>
      </c>
      <c r="AC40" s="2070">
        <f t="shared" si="5"/>
        <v>1</v>
      </c>
    </row>
    <row r="41" spans="1:29" s="1772" customFormat="1" ht="15.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35"/>
      <c r="Q41" s="1767" t="str">
        <f t="shared" si="11"/>
        <v>进深比</v>
      </c>
      <c r="R41" s="1768" t="s">
        <v>25</v>
      </c>
      <c r="S41" s="1769">
        <f t="shared" si="12"/>
        <v>100</v>
      </c>
      <c r="T41" s="1768" t="s">
        <v>25</v>
      </c>
      <c r="U41" s="1769">
        <f t="shared" si="13"/>
        <v>100</v>
      </c>
      <c r="V41" s="1768" t="s">
        <v>25</v>
      </c>
      <c r="W41" s="1769">
        <f t="shared" si="14"/>
        <v>100</v>
      </c>
      <c r="X41" s="1770"/>
      <c r="Y41" s="3437"/>
      <c r="Z41" s="1771" t="str">
        <f t="shared" si="15"/>
        <v>进深比</v>
      </c>
      <c r="AA41" s="2070">
        <f t="shared" si="3"/>
        <v>1</v>
      </c>
      <c r="AB41" s="2070">
        <f t="shared" si="4"/>
        <v>1</v>
      </c>
      <c r="AC41" s="2070">
        <f t="shared" si="5"/>
        <v>1</v>
      </c>
    </row>
    <row r="42" spans="1:29" ht="15.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35"/>
      <c r="Q42" s="2072" t="str">
        <f t="shared" si="11"/>
        <v>内部装修</v>
      </c>
      <c r="R42" s="1726" t="s">
        <v>25</v>
      </c>
      <c r="S42" s="1727">
        <f t="shared" si="12"/>
        <v>100</v>
      </c>
      <c r="T42" s="1726" t="s">
        <v>25</v>
      </c>
      <c r="U42" s="1727">
        <f t="shared" si="13"/>
        <v>100</v>
      </c>
      <c r="V42" s="1726" t="s">
        <v>25</v>
      </c>
      <c r="W42" s="1727">
        <f t="shared" si="14"/>
        <v>100</v>
      </c>
      <c r="X42" s="2075"/>
      <c r="Y42" s="3437"/>
      <c r="Z42" s="2079" t="str">
        <f t="shared" si="15"/>
        <v>内部装修</v>
      </c>
      <c r="AA42" s="2070">
        <f t="shared" si="3"/>
        <v>1</v>
      </c>
      <c r="AB42" s="2070">
        <f t="shared" si="4"/>
        <v>1</v>
      </c>
      <c r="AC42" s="2070">
        <f t="shared" si="5"/>
        <v>1</v>
      </c>
    </row>
    <row r="43" spans="1:29" ht="28">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35"/>
      <c r="Q43" s="2072" t="str">
        <f t="shared" si="11"/>
        <v>内部装修维护情况</v>
      </c>
      <c r="R43" s="1726" t="s">
        <v>25</v>
      </c>
      <c r="S43" s="1727">
        <f t="shared" si="12"/>
        <v>100</v>
      </c>
      <c r="T43" s="1726" t="s">
        <v>25</v>
      </c>
      <c r="U43" s="1727">
        <f t="shared" si="13"/>
        <v>100</v>
      </c>
      <c r="V43" s="1726" t="s">
        <v>25</v>
      </c>
      <c r="W43" s="1727">
        <f t="shared" si="14"/>
        <v>100</v>
      </c>
      <c r="X43" s="2075"/>
      <c r="Y43" s="3437"/>
      <c r="Z43" s="2079" t="str">
        <f t="shared" si="15"/>
        <v>内部装修维护情况</v>
      </c>
      <c r="AA43" s="2070">
        <f t="shared" si="3"/>
        <v>1</v>
      </c>
      <c r="AB43" s="2070">
        <f t="shared" si="4"/>
        <v>1</v>
      </c>
      <c r="AC43" s="2070">
        <f t="shared" si="5"/>
        <v>1</v>
      </c>
    </row>
    <row r="44" spans="1:29" s="1685" customFormat="1" ht="15.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35"/>
      <c r="Q44" s="2066">
        <f t="shared" si="11"/>
        <v>111</v>
      </c>
      <c r="R44" s="1681" t="s">
        <v>25</v>
      </c>
      <c r="S44" s="1682">
        <f t="shared" si="12"/>
        <v>100</v>
      </c>
      <c r="T44" s="1681" t="s">
        <v>25</v>
      </c>
      <c r="U44" s="1682">
        <f t="shared" si="13"/>
        <v>100</v>
      </c>
      <c r="V44" s="1681" t="s">
        <v>25</v>
      </c>
      <c r="W44" s="1682">
        <f t="shared" si="14"/>
        <v>100</v>
      </c>
      <c r="X44" s="1683"/>
      <c r="Y44" s="3437"/>
      <c r="Z44" s="1694">
        <f t="shared" si="15"/>
        <v>111</v>
      </c>
      <c r="AA44" s="1684">
        <f t="shared" si="3"/>
        <v>1</v>
      </c>
      <c r="AB44" s="1684">
        <f t="shared" si="4"/>
        <v>1</v>
      </c>
      <c r="AC44" s="1684">
        <f t="shared" si="5"/>
        <v>1</v>
      </c>
    </row>
    <row r="45" spans="1:29" ht="15.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35"/>
      <c r="Q45" s="2072">
        <f t="shared" si="11"/>
        <v>111</v>
      </c>
      <c r="R45" s="1726" t="s">
        <v>25</v>
      </c>
      <c r="S45" s="1727">
        <f t="shared" si="12"/>
        <v>100</v>
      </c>
      <c r="T45" s="1726" t="s">
        <v>25</v>
      </c>
      <c r="U45" s="1727">
        <f t="shared" si="13"/>
        <v>100</v>
      </c>
      <c r="V45" s="1726" t="s">
        <v>25</v>
      </c>
      <c r="W45" s="1727">
        <f t="shared" si="14"/>
        <v>100</v>
      </c>
      <c r="X45" s="2075"/>
      <c r="Y45" s="3437"/>
      <c r="Z45" s="2079">
        <f t="shared" si="15"/>
        <v>111</v>
      </c>
      <c r="AA45" s="2070">
        <f t="shared" si="3"/>
        <v>1</v>
      </c>
      <c r="AB45" s="2070">
        <f t="shared" si="4"/>
        <v>1</v>
      </c>
      <c r="AC45" s="2070">
        <f t="shared" si="5"/>
        <v>1</v>
      </c>
    </row>
    <row r="46" spans="1:29" ht="16"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36"/>
      <c r="Q46" s="2072">
        <f t="shared" si="11"/>
        <v>111</v>
      </c>
      <c r="R46" s="1726" t="s">
        <v>25</v>
      </c>
      <c r="S46" s="1727">
        <f t="shared" si="12"/>
        <v>100</v>
      </c>
      <c r="T46" s="1726" t="s">
        <v>25</v>
      </c>
      <c r="U46" s="1727">
        <f t="shared" si="13"/>
        <v>100</v>
      </c>
      <c r="V46" s="1726" t="s">
        <v>25</v>
      </c>
      <c r="W46" s="1727">
        <f t="shared" si="14"/>
        <v>100</v>
      </c>
      <c r="X46" s="2075"/>
      <c r="Y46" s="3438"/>
      <c r="Z46" s="2079">
        <f t="shared" si="15"/>
        <v>111</v>
      </c>
      <c r="AA46" s="2070">
        <f t="shared" si="3"/>
        <v>1</v>
      </c>
      <c r="AB46" s="2070">
        <f t="shared" si="4"/>
        <v>1</v>
      </c>
      <c r="AC46" s="2070">
        <f t="shared" si="5"/>
        <v>1</v>
      </c>
    </row>
    <row r="47" spans="1:29">
      <c r="A47" s="1782" t="s">
        <v>2296</v>
      </c>
      <c r="B47" s="1783"/>
      <c r="C47" s="1784" t="s">
        <v>1</v>
      </c>
      <c r="D47" s="1785"/>
      <c r="E47" s="1786"/>
      <c r="F47" s="1787"/>
      <c r="G47" s="1788"/>
      <c r="H47" s="1789"/>
      <c r="I47" s="1786"/>
      <c r="J47" s="1789"/>
      <c r="K47" s="2014"/>
      <c r="L47" s="3005"/>
      <c r="N47" s="3000"/>
      <c r="P47" s="3429" t="str">
        <f>A47</f>
        <v>成交单价（元/平方米）</v>
      </c>
      <c r="Q47" s="3429"/>
      <c r="R47" s="3425">
        <f>E47</f>
        <v>0</v>
      </c>
      <c r="S47" s="3425"/>
      <c r="T47" s="3425">
        <f>G47</f>
        <v>0</v>
      </c>
      <c r="U47" s="3425"/>
      <c r="V47" s="3425">
        <f>I47</f>
        <v>0</v>
      </c>
      <c r="W47" s="3425"/>
      <c r="X47" s="1792"/>
      <c r="Y47" s="2074"/>
      <c r="Z47" s="1792"/>
      <c r="AA47" s="1792"/>
      <c r="AB47" s="1792"/>
      <c r="AC47" s="1792"/>
    </row>
    <row r="48" spans="1:29" ht="14.5" thickBot="1">
      <c r="A48" s="1794" t="s">
        <v>2379</v>
      </c>
      <c r="B48" s="1795"/>
      <c r="C48" s="1796" t="e">
        <f>R49</f>
        <v>#DIV/0!</v>
      </c>
      <c r="D48" s="1797" t="s">
        <v>2752</v>
      </c>
      <c r="E48" s="1798" t="e">
        <f>R48</f>
        <v>#DIV/0!</v>
      </c>
      <c r="F48" s="1799"/>
      <c r="G48" s="1796" t="e">
        <f>T48</f>
        <v>#DIV/0!</v>
      </c>
      <c r="H48" s="1799"/>
      <c r="I48" s="1798" t="e">
        <f>V48</f>
        <v>#DIV/0!</v>
      </c>
      <c r="J48" s="1799"/>
      <c r="K48" s="2513">
        <f>F48+H48+J48</f>
        <v>0</v>
      </c>
      <c r="L48" s="3005"/>
      <c r="N48" s="3000"/>
      <c r="P48" s="3429" t="str">
        <f>A48</f>
        <v>比较价值（元/平方米）</v>
      </c>
      <c r="Q48" s="3429"/>
      <c r="R48" s="3425" t="e">
        <f>IF(E1="售价",ROUND(PRODUCT(R47,AA7:AA46),0),ROUND(PRODUCT(R47,AA7:AA46),1))</f>
        <v>#DIV/0!</v>
      </c>
      <c r="S48" s="3425"/>
      <c r="T48" s="3425" t="e">
        <f>IF(E1="售价",ROUND(PRODUCT(T47,AB7:AB46),0),ROUND(PRODUCT(T47,AB7:AB46),1))</f>
        <v>#DIV/0!</v>
      </c>
      <c r="U48" s="3425"/>
      <c r="V48" s="3425" t="e">
        <f>IF(E1="售价",ROUND(PRODUCT(V47,AC7:AC46),0),ROUND(PRODUCT(V47,AC7:AC46),1))</f>
        <v>#DIV/0!</v>
      </c>
      <c r="W48" s="3425"/>
      <c r="X48" s="1792"/>
      <c r="Y48" s="1792"/>
      <c r="Z48" s="1792"/>
      <c r="AA48" s="1792"/>
      <c r="AB48" s="1792"/>
      <c r="AC48" s="1792"/>
    </row>
    <row r="49" spans="1:29" ht="14.5" thickBot="1">
      <c r="A49" s="1800" t="s">
        <v>2380</v>
      </c>
      <c r="B49" s="1801"/>
      <c r="C49" s="1803" t="e">
        <f>R49</f>
        <v>#DIV/0!</v>
      </c>
      <c r="D49" s="1803"/>
      <c r="E49" s="1803"/>
      <c r="F49" s="1803"/>
      <c r="G49" s="1803"/>
      <c r="H49" s="1803"/>
      <c r="I49" s="1803"/>
      <c r="J49" s="1803"/>
      <c r="K49" s="2019"/>
      <c r="L49" s="3005"/>
      <c r="N49" s="3000"/>
      <c r="P49" s="3426" t="str">
        <f>A49</f>
        <v>估价对象XX用房的比较价值（楼面单价，元/平方米）</v>
      </c>
      <c r="Q49" s="3427"/>
      <c r="R49" s="3428" t="e">
        <f>IF(E1="售价",ROUND(IF(D48="简单平均",AVERAGE(R48:V48),R48*F48+T48*H48+V48*J48),0),ROUND(IF(D48="简单平均",AVERAGE(R48:V48),R48*F48+T48*H48+V48*J48),1))</f>
        <v>#DIV/0!</v>
      </c>
      <c r="S49" s="3428"/>
      <c r="T49" s="3428"/>
      <c r="U49" s="3428"/>
      <c r="V49" s="3428"/>
      <c r="W49" s="3428"/>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c r="A58" s="1823" t="s">
        <v>2266</v>
      </c>
      <c r="B58" s="1824"/>
      <c r="C58" s="1825" t="str">
        <f>YEAR(C7)&amp;"-"&amp;MONTH(C7)</f>
        <v>2020-8</v>
      </c>
      <c r="D58" s="1826">
        <f>EDATE(C58,-1)</f>
        <v>44013</v>
      </c>
      <c r="E58" s="1826">
        <f t="shared" ref="E58:O58" si="16">EDATE(D58,-1)</f>
        <v>43983</v>
      </c>
      <c r="F58" s="1826">
        <f t="shared" si="16"/>
        <v>43952</v>
      </c>
      <c r="G58" s="1826">
        <f t="shared" si="16"/>
        <v>43922</v>
      </c>
      <c r="H58" s="1826">
        <f t="shared" si="16"/>
        <v>43891</v>
      </c>
      <c r="I58" s="1826">
        <f t="shared" si="16"/>
        <v>43862</v>
      </c>
      <c r="J58" s="1826">
        <f t="shared" si="16"/>
        <v>43831</v>
      </c>
      <c r="K58" s="1826">
        <f t="shared" si="16"/>
        <v>43800</v>
      </c>
      <c r="L58" s="1826">
        <f t="shared" si="16"/>
        <v>43770</v>
      </c>
      <c r="M58" s="1826">
        <f t="shared" si="16"/>
        <v>43739</v>
      </c>
      <c r="N58" s="1826">
        <f t="shared" si="16"/>
        <v>43709</v>
      </c>
      <c r="O58" s="1826">
        <f t="shared" si="16"/>
        <v>43678</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4.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4.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4.5" thickBot="1">
      <c r="A64" s="1854"/>
      <c r="B64" s="1855"/>
      <c r="C64" s="1856">
        <v>100</v>
      </c>
      <c r="D64" s="1856"/>
      <c r="E64" s="1856"/>
      <c r="F64" s="1856"/>
      <c r="G64" s="1856"/>
      <c r="H64" s="1856"/>
      <c r="I64" s="1856"/>
      <c r="J64" s="1856"/>
      <c r="K64" s="1856"/>
      <c r="L64" s="1856"/>
      <c r="M64" s="1857"/>
      <c r="N64" s="3019"/>
      <c r="O64" s="3019"/>
      <c r="P64" s="1853"/>
      <c r="Q64" s="1822"/>
    </row>
    <row r="65" spans="1:17" ht="28.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4.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4.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c r="A68" s="1854"/>
      <c r="B68" s="1867"/>
      <c r="C68" s="1868"/>
      <c r="D68" s="1868"/>
      <c r="E68" s="1868"/>
      <c r="F68" s="1868"/>
      <c r="G68" s="1868"/>
      <c r="H68" s="1868"/>
      <c r="I68" s="1868"/>
      <c r="J68" s="1868"/>
      <c r="K68" s="438"/>
      <c r="L68" s="438"/>
      <c r="M68" s="1869"/>
      <c r="N68" s="3018"/>
      <c r="O68" s="3018"/>
      <c r="P68" s="1853"/>
      <c r="Q68" s="1822"/>
    </row>
    <row r="69" spans="1:17" ht="14.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4.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4.5" thickBot="1">
      <c r="A71" s="1870"/>
      <c r="B71" s="1862"/>
      <c r="C71" s="1875"/>
      <c r="D71" s="1856"/>
      <c r="E71" s="1856"/>
      <c r="F71" s="1856"/>
      <c r="G71" s="1856"/>
      <c r="H71" s="1856"/>
      <c r="I71" s="1856"/>
      <c r="J71" s="1856"/>
      <c r="K71" s="1856"/>
      <c r="L71" s="1856"/>
      <c r="M71" s="1857"/>
      <c r="N71" s="3019"/>
      <c r="O71" s="3019"/>
      <c r="P71" s="1873"/>
      <c r="Q71" s="1874"/>
    </row>
    <row r="72" spans="1:17" s="1772" customFormat="1" ht="14.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4.5" thickBot="1">
      <c r="A73" s="1870"/>
      <c r="B73" s="1862"/>
      <c r="C73" s="1875"/>
      <c r="D73" s="1856"/>
      <c r="E73" s="1856"/>
      <c r="F73" s="1856"/>
      <c r="G73" s="1875"/>
      <c r="H73" s="1878"/>
      <c r="I73" s="1878"/>
      <c r="J73" s="1878"/>
      <c r="K73" s="1878"/>
      <c r="L73" s="1878"/>
      <c r="M73" s="1879"/>
      <c r="N73" s="3020"/>
      <c r="O73" s="3020"/>
      <c r="P73" s="1873"/>
      <c r="Q73" s="1874"/>
    </row>
    <row r="74" spans="1:17" s="1772" customFormat="1" ht="14.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4.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4.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4.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4.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4.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4.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4.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4.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4.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4.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4.5" thickTop="1">
      <c r="A86" s="1890"/>
      <c r="B86" s="1859" t="s">
        <v>2385</v>
      </c>
      <c r="C86" s="468"/>
      <c r="D86" s="468"/>
      <c r="E86" s="468"/>
      <c r="F86" s="468"/>
      <c r="G86" s="468"/>
      <c r="H86" s="468"/>
      <c r="I86" s="468"/>
      <c r="J86" s="468"/>
      <c r="K86" s="468"/>
      <c r="L86" s="468"/>
      <c r="M86" s="1891"/>
      <c r="N86" s="3017"/>
      <c r="O86" s="3017"/>
      <c r="P86" s="1853"/>
      <c r="Q86" s="1822"/>
    </row>
    <row r="87" spans="1:17" s="1685" customFormat="1" ht="14.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4.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4.5" thickBot="1">
      <c r="A89" s="1890"/>
      <c r="B89" s="1862"/>
      <c r="C89" s="1875"/>
      <c r="D89" s="1856"/>
      <c r="E89" s="1856"/>
      <c r="F89" s="1856"/>
      <c r="G89" s="1856"/>
      <c r="H89" s="1856"/>
      <c r="I89" s="1856"/>
      <c r="J89" s="1856"/>
      <c r="K89" s="1856"/>
      <c r="L89" s="1856"/>
      <c r="M89" s="1856"/>
      <c r="N89" s="3019"/>
      <c r="O89" s="3019"/>
      <c r="P89" s="1853"/>
      <c r="Q89" s="1822"/>
    </row>
    <row r="90" spans="1:17" s="1772" customFormat="1" ht="14.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4.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4.5" thickTop="1">
      <c r="A92" s="1854"/>
      <c r="B92" s="1859" t="str">
        <f>B28</f>
        <v>楼层</v>
      </c>
      <c r="C92" s="468"/>
      <c r="D92" s="468"/>
      <c r="E92" s="468"/>
      <c r="F92" s="468"/>
      <c r="G92" s="468"/>
      <c r="H92" s="468"/>
      <c r="I92" s="468"/>
      <c r="J92" s="468"/>
      <c r="K92" s="468"/>
      <c r="L92" s="468"/>
      <c r="M92" s="1891"/>
      <c r="N92" s="3018"/>
      <c r="O92" s="3018"/>
      <c r="P92" s="1853"/>
      <c r="Q92" s="1822"/>
    </row>
    <row r="93" spans="1:17" ht="14.5" thickBot="1">
      <c r="A93" s="1854"/>
      <c r="B93" s="1862"/>
      <c r="C93" s="1856"/>
      <c r="D93" s="1856"/>
      <c r="E93" s="1856"/>
      <c r="F93" s="1856"/>
      <c r="G93" s="1856"/>
      <c r="H93" s="1856"/>
      <c r="I93" s="1856"/>
      <c r="J93" s="1856"/>
      <c r="K93" s="1856"/>
      <c r="L93" s="1856"/>
      <c r="M93" s="1857"/>
      <c r="N93" s="3019"/>
      <c r="O93" s="3019"/>
      <c r="P93" s="1853"/>
      <c r="Q93" s="1822"/>
    </row>
    <row r="94" spans="1:17" ht="14.5" thickTop="1">
      <c r="A94" s="1854"/>
      <c r="B94" s="1859">
        <f>B29</f>
        <v>111</v>
      </c>
      <c r="C94" s="468"/>
      <c r="D94" s="468"/>
      <c r="E94" s="468"/>
      <c r="F94" s="468"/>
      <c r="G94" s="1578"/>
      <c r="H94" s="1578"/>
      <c r="I94" s="1578"/>
      <c r="J94" s="1578"/>
      <c r="K94" s="473"/>
      <c r="L94" s="473"/>
      <c r="M94" s="1894"/>
      <c r="N94" s="3018"/>
      <c r="O94" s="3018"/>
      <c r="P94" s="1853"/>
      <c r="Q94" s="1822"/>
    </row>
    <row r="95" spans="1:17" ht="14.5" thickBot="1">
      <c r="A95" s="1854"/>
      <c r="B95" s="1862"/>
      <c r="C95" s="1875"/>
      <c r="D95" s="1856"/>
      <c r="E95" s="1856"/>
      <c r="F95" s="1856"/>
      <c r="G95" s="1856"/>
      <c r="H95" s="1856"/>
      <c r="I95" s="1856"/>
      <c r="J95" s="1856"/>
      <c r="K95" s="1856"/>
      <c r="L95" s="1856"/>
      <c r="M95" s="1857"/>
      <c r="N95" s="3019"/>
      <c r="O95" s="3019"/>
      <c r="P95" s="1853"/>
      <c r="Q95" s="1822"/>
    </row>
    <row r="96" spans="1:17" ht="14.5" thickTop="1">
      <c r="A96" s="1854"/>
      <c r="B96" s="1859">
        <f>B30</f>
        <v>111</v>
      </c>
      <c r="C96" s="468"/>
      <c r="D96" s="468"/>
      <c r="E96" s="468"/>
      <c r="F96" s="468"/>
      <c r="G96" s="1578"/>
      <c r="H96" s="1578"/>
      <c r="I96" s="1578"/>
      <c r="J96" s="1578"/>
      <c r="K96" s="473"/>
      <c r="L96" s="473"/>
      <c r="M96" s="1894"/>
      <c r="N96" s="3018"/>
      <c r="O96" s="3018"/>
      <c r="P96" s="1853"/>
      <c r="Q96" s="1822"/>
    </row>
    <row r="97" spans="1:17" ht="14.5" thickBot="1">
      <c r="A97" s="1854"/>
      <c r="B97" s="1862"/>
      <c r="C97" s="1875"/>
      <c r="D97" s="1856"/>
      <c r="E97" s="1856"/>
      <c r="F97" s="1856"/>
      <c r="G97" s="1856"/>
      <c r="H97" s="1856"/>
      <c r="I97" s="1856"/>
      <c r="J97" s="1856"/>
      <c r="K97" s="1856"/>
      <c r="L97" s="1856"/>
      <c r="M97" s="1857"/>
      <c r="N97" s="3019"/>
      <c r="O97" s="3019"/>
      <c r="P97" s="1853"/>
      <c r="Q97" s="1822"/>
    </row>
    <row r="98" spans="1:17" ht="14.5" thickTop="1">
      <c r="A98" s="1854"/>
      <c r="B98" s="1865">
        <f>B31</f>
        <v>111</v>
      </c>
      <c r="C98" s="468"/>
      <c r="D98" s="468"/>
      <c r="E98" s="468"/>
      <c r="F98" s="468"/>
      <c r="G98" s="1895"/>
      <c r="H98" s="1895"/>
      <c r="I98" s="1895"/>
      <c r="J98" s="1895"/>
      <c r="K98" s="477"/>
      <c r="L98" s="477"/>
      <c r="M98" s="1896"/>
      <c r="N98" s="3018"/>
      <c r="O98" s="3018"/>
      <c r="P98" s="1853"/>
      <c r="Q98" s="1822"/>
    </row>
    <row r="99" spans="1:17" ht="14.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4.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4.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4.5" thickBot="1">
      <c r="A104" s="1870"/>
      <c r="B104" s="1862"/>
      <c r="C104" s="1875"/>
      <c r="D104" s="1856"/>
      <c r="E104" s="1856"/>
      <c r="F104" s="1856"/>
      <c r="G104" s="1856"/>
      <c r="H104" s="1856"/>
      <c r="I104" s="1856"/>
      <c r="J104" s="1856"/>
      <c r="K104" s="1856"/>
      <c r="L104" s="1856"/>
      <c r="M104" s="1857"/>
      <c r="N104" s="3019"/>
      <c r="O104" s="3019"/>
      <c r="P104" s="1873"/>
      <c r="Q104" s="1874"/>
    </row>
    <row r="105" spans="1:17" ht="14.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4.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4.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4.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4.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4.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4.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4.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4.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4.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4.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4.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4.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4.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4.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4.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4.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4.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28.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4.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4.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4.5" thickBot="1">
      <c r="A127" s="1870"/>
      <c r="B127" s="1862"/>
      <c r="C127" s="1875"/>
      <c r="D127" s="1856"/>
      <c r="E127" s="1856"/>
      <c r="F127" s="1856"/>
      <c r="G127" s="1875"/>
      <c r="H127" s="1878"/>
      <c r="I127" s="1878"/>
      <c r="J127" s="1878"/>
      <c r="K127" s="1878"/>
      <c r="L127" s="1878"/>
      <c r="M127" s="1879"/>
      <c r="N127" s="3020"/>
      <c r="O127" s="3020"/>
      <c r="P127" s="1873"/>
      <c r="Q127" s="1874"/>
    </row>
    <row r="128" spans="1:17" ht="14.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4.5" thickBot="1">
      <c r="A129" s="1854"/>
      <c r="B129" s="1862"/>
      <c r="C129" s="1875"/>
      <c r="D129" s="1856"/>
      <c r="E129" s="1856"/>
      <c r="F129" s="1856"/>
      <c r="G129" s="1856"/>
      <c r="H129" s="1856"/>
      <c r="I129" s="1856"/>
      <c r="J129" s="1856"/>
      <c r="K129" s="1856"/>
      <c r="L129" s="1856"/>
      <c r="M129" s="1857"/>
      <c r="N129" s="3019"/>
      <c r="O129" s="3019"/>
      <c r="P129" s="1853"/>
      <c r="Q129" s="1822"/>
    </row>
    <row r="130" spans="1:17" ht="14.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4.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
  <cols>
    <col min="1" max="1" width="10.453125" style="1667" customWidth="1"/>
    <col min="2" max="2" width="15.7265625" style="1667" customWidth="1"/>
    <col min="3" max="3" width="14.36328125" style="1667" customWidth="1"/>
    <col min="4" max="4" width="12.26953125" style="1667" customWidth="1"/>
    <col min="5" max="5" width="14.36328125" style="1667" customWidth="1"/>
    <col min="6" max="6" width="12.26953125" style="1667" customWidth="1"/>
    <col min="7" max="7" width="14.453125" style="1667" customWidth="1"/>
    <col min="8" max="8" width="12.26953125" style="1667" customWidth="1"/>
    <col min="9" max="9" width="14.453125" style="1667" customWidth="1"/>
    <col min="10" max="10" width="12.26953125" style="1667" customWidth="1"/>
    <col min="11" max="11" width="12.26953125" style="1910" customWidth="1"/>
    <col min="12" max="12" width="12.26953125" style="1911" customWidth="1"/>
    <col min="13" max="15" width="12.26953125" style="1667" customWidth="1"/>
    <col min="16" max="16" width="4.7265625" style="1667" customWidth="1"/>
    <col min="17" max="17" width="19.453125" style="1667" customWidth="1"/>
    <col min="18" max="22" width="6.08984375" style="1667" customWidth="1"/>
    <col min="23" max="23" width="5.7265625" style="1667" customWidth="1"/>
    <col min="24" max="24" width="4.26953125" style="1667" customWidth="1"/>
    <col min="25" max="25" width="3.453125" style="1667" customWidth="1"/>
    <col min="26" max="26" width="19.7265625" style="1667" customWidth="1"/>
    <col min="27" max="28" width="9.3632812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54.91</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c r="A4" s="1663" t="s">
        <v>2253</v>
      </c>
      <c r="B4" s="1664"/>
      <c r="C4" s="3456" t="s">
        <v>2254</v>
      </c>
      <c r="D4" s="3457"/>
      <c r="E4" s="3458" t="s">
        <v>2255</v>
      </c>
      <c r="F4" s="3459"/>
      <c r="G4" s="3456" t="s">
        <v>2256</v>
      </c>
      <c r="H4" s="3457"/>
      <c r="I4" s="3456" t="s">
        <v>2257</v>
      </c>
      <c r="J4" s="3457"/>
      <c r="K4" s="1966" t="s">
        <v>2258</v>
      </c>
      <c r="L4" s="2999"/>
      <c r="M4" s="3000"/>
      <c r="N4" s="3000"/>
      <c r="O4" s="3000"/>
      <c r="P4" s="3460" t="s">
        <v>2259</v>
      </c>
      <c r="Q4" s="3461"/>
      <c r="R4" s="3445" t="s">
        <v>2255</v>
      </c>
      <c r="S4" s="3446"/>
      <c r="T4" s="3445" t="s">
        <v>2256</v>
      </c>
      <c r="U4" s="3446"/>
      <c r="V4" s="3466" t="s">
        <v>2257</v>
      </c>
      <c r="W4" s="3466"/>
      <c r="X4" s="2075"/>
      <c r="Y4" s="3445" t="s">
        <v>2259</v>
      </c>
      <c r="Z4" s="3446"/>
      <c r="AA4" s="3453" t="s">
        <v>2255</v>
      </c>
      <c r="AB4" s="3453" t="s">
        <v>2256</v>
      </c>
      <c r="AC4" s="3453" t="s">
        <v>2257</v>
      </c>
    </row>
    <row r="5" spans="1:29">
      <c r="A5" s="1668"/>
      <c r="B5" s="1669"/>
      <c r="C5" s="3473" t="s">
        <v>2260</v>
      </c>
      <c r="D5" s="3442"/>
      <c r="E5" s="3472" t="s">
        <v>2261</v>
      </c>
      <c r="F5" s="3468"/>
      <c r="G5" s="3473" t="s">
        <v>2262</v>
      </c>
      <c r="H5" s="3442"/>
      <c r="I5" s="3473" t="s">
        <v>2263</v>
      </c>
      <c r="J5" s="3442"/>
      <c r="K5" s="1966"/>
      <c r="L5" s="2999"/>
      <c r="M5" s="3000"/>
      <c r="N5" s="3000"/>
      <c r="O5" s="3000"/>
      <c r="P5" s="3462"/>
      <c r="Q5" s="3463"/>
      <c r="R5" s="3447"/>
      <c r="S5" s="3448"/>
      <c r="T5" s="3447"/>
      <c r="U5" s="3448"/>
      <c r="V5" s="3466"/>
      <c r="W5" s="3466"/>
      <c r="X5" s="2075"/>
      <c r="Y5" s="3447"/>
      <c r="Z5" s="3448"/>
      <c r="AA5" s="3454"/>
      <c r="AB5" s="3454"/>
      <c r="AC5" s="3454"/>
    </row>
    <row r="6" spans="1:29" ht="15" thickBot="1">
      <c r="A6" s="1671"/>
      <c r="B6" s="1672"/>
      <c r="C6" s="3439" t="s">
        <v>2264</v>
      </c>
      <c r="D6" s="3440"/>
      <c r="E6" s="3470" t="s">
        <v>2264</v>
      </c>
      <c r="F6" s="3471"/>
      <c r="G6" s="3439" t="s">
        <v>2264</v>
      </c>
      <c r="H6" s="3440"/>
      <c r="I6" s="3439" t="s">
        <v>2264</v>
      </c>
      <c r="J6" s="3440"/>
      <c r="K6" s="1966" t="s">
        <v>2265</v>
      </c>
      <c r="L6" s="2999"/>
      <c r="M6" s="3000"/>
      <c r="N6" s="3000"/>
      <c r="O6" s="3000"/>
      <c r="P6" s="3464"/>
      <c r="Q6" s="3465"/>
      <c r="R6" s="3447"/>
      <c r="S6" s="3448"/>
      <c r="T6" s="3449"/>
      <c r="U6" s="3450"/>
      <c r="V6" s="3466"/>
      <c r="W6" s="3466"/>
      <c r="X6" s="2075"/>
      <c r="Y6" s="3449"/>
      <c r="Z6" s="3450"/>
      <c r="AA6" s="3455"/>
      <c r="AB6" s="3455"/>
      <c r="AC6" s="3455"/>
    </row>
    <row r="7" spans="1:29" s="1685" customFormat="1" ht="14.5" thickBot="1">
      <c r="A7" s="1673" t="s">
        <v>2266</v>
      </c>
      <c r="B7" s="1674"/>
      <c r="C7" s="1675">
        <f>'数据-取费表'!B2</f>
        <v>44062</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43" t="s">
        <v>2267</v>
      </c>
      <c r="Q7" s="3451"/>
      <c r="R7" s="1681" t="s">
        <v>25</v>
      </c>
      <c r="S7" s="1682">
        <f t="shared" ref="S7:S15" si="0">F7</f>
        <v>0</v>
      </c>
      <c r="T7" s="1681" t="s">
        <v>25</v>
      </c>
      <c r="U7" s="1682">
        <f t="shared" ref="U7:U15" si="1">H7</f>
        <v>0</v>
      </c>
      <c r="V7" s="1681" t="s">
        <v>25</v>
      </c>
      <c r="W7" s="1682">
        <f t="shared" ref="W7:W15" si="2">J7</f>
        <v>0</v>
      </c>
      <c r="X7" s="1683"/>
      <c r="Y7" s="3443" t="s">
        <v>2267</v>
      </c>
      <c r="Z7" s="3444"/>
      <c r="AA7" s="1684" t="e">
        <f>D7/F7</f>
        <v>#DIV/0!</v>
      </c>
      <c r="AB7" s="1684" t="e">
        <f>D7/H7</f>
        <v>#DIV/0!</v>
      </c>
      <c r="AC7" s="1684" t="e">
        <f>D7/J7</f>
        <v>#DIV/0!</v>
      </c>
    </row>
    <row r="8" spans="1:29" s="1685" customFormat="1" ht="14.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43" t="s">
        <v>2270</v>
      </c>
      <c r="Q8" s="3444"/>
      <c r="R8" s="1681" t="s">
        <v>25</v>
      </c>
      <c r="S8" s="1682">
        <f t="shared" si="0"/>
        <v>0</v>
      </c>
      <c r="T8" s="1681" t="s">
        <v>25</v>
      </c>
      <c r="U8" s="1682">
        <f t="shared" si="1"/>
        <v>0</v>
      </c>
      <c r="V8" s="1681" t="s">
        <v>25</v>
      </c>
      <c r="W8" s="1682">
        <f t="shared" si="2"/>
        <v>0</v>
      </c>
      <c r="X8" s="1683"/>
      <c r="Y8" s="3443" t="s">
        <v>2270</v>
      </c>
      <c r="Z8" s="3444"/>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29" t="s">
        <v>2273</v>
      </c>
      <c r="Q9" s="2917" t="str">
        <f t="shared" ref="Q9:Q15" si="6">B9</f>
        <v>用途</v>
      </c>
      <c r="R9" s="1681" t="s">
        <v>25</v>
      </c>
      <c r="S9" s="1682">
        <f t="shared" si="0"/>
        <v>100</v>
      </c>
      <c r="T9" s="1681" t="s">
        <v>25</v>
      </c>
      <c r="U9" s="1682">
        <f t="shared" si="1"/>
        <v>100</v>
      </c>
      <c r="V9" s="1681" t="s">
        <v>25</v>
      </c>
      <c r="W9" s="1682">
        <f t="shared" si="2"/>
        <v>100</v>
      </c>
      <c r="X9" s="1683"/>
      <c r="Y9" s="3290" t="s">
        <v>2274</v>
      </c>
      <c r="Z9" s="1694" t="str">
        <f t="shared" ref="Z9:Z15" si="7">Q9</f>
        <v>用途</v>
      </c>
      <c r="AA9" s="1684">
        <f t="shared" si="3"/>
        <v>1</v>
      </c>
      <c r="AB9" s="1684">
        <f t="shared" si="4"/>
        <v>1</v>
      </c>
      <c r="AC9" s="1684">
        <f t="shared" si="5"/>
        <v>1</v>
      </c>
    </row>
    <row r="10" spans="1:29" s="1702" customFormat="1" ht="28">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29"/>
      <c r="Q10" s="2917" t="str">
        <f t="shared" si="6"/>
        <v>土地使用年限（年）</v>
      </c>
      <c r="R10" s="1681" t="s">
        <v>25</v>
      </c>
      <c r="S10" s="1682">
        <f t="shared" si="0"/>
        <v>100</v>
      </c>
      <c r="T10" s="1681" t="s">
        <v>25</v>
      </c>
      <c r="U10" s="1682">
        <f t="shared" si="1"/>
        <v>100</v>
      </c>
      <c r="V10" s="1681" t="s">
        <v>25</v>
      </c>
      <c r="W10" s="1682">
        <f t="shared" si="2"/>
        <v>100</v>
      </c>
      <c r="X10" s="1683"/>
      <c r="Y10" s="3290"/>
      <c r="Z10" s="1694" t="str">
        <f t="shared" si="7"/>
        <v>土地使用年限（年）</v>
      </c>
      <c r="AA10" s="1684">
        <f t="shared" si="3"/>
        <v>1</v>
      </c>
      <c r="AB10" s="1684">
        <f t="shared" si="4"/>
        <v>1</v>
      </c>
      <c r="AC10" s="1684">
        <f t="shared" si="5"/>
        <v>1</v>
      </c>
    </row>
    <row r="11" spans="1:29" ht="15.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29"/>
      <c r="Q11" s="2917" t="str">
        <f t="shared" si="6"/>
        <v>容积率</v>
      </c>
      <c r="R11" s="1681" t="s">
        <v>25</v>
      </c>
      <c r="S11" s="1682" t="e">
        <f t="shared" si="0"/>
        <v>#N/A</v>
      </c>
      <c r="T11" s="1681" t="s">
        <v>25</v>
      </c>
      <c r="U11" s="1682" t="e">
        <f t="shared" si="1"/>
        <v>#N/A</v>
      </c>
      <c r="V11" s="1681" t="s">
        <v>25</v>
      </c>
      <c r="W11" s="1682" t="e">
        <f t="shared" si="2"/>
        <v>#N/A</v>
      </c>
      <c r="X11" s="1683"/>
      <c r="Y11" s="3290"/>
      <c r="Z11" s="1694" t="str">
        <f t="shared" si="7"/>
        <v>容积率</v>
      </c>
      <c r="AA11" s="1684" t="e">
        <f t="shared" si="3"/>
        <v>#N/A</v>
      </c>
      <c r="AB11" s="1684" t="e">
        <f t="shared" si="4"/>
        <v>#N/A</v>
      </c>
      <c r="AC11" s="1684" t="e">
        <f t="shared" si="5"/>
        <v>#N/A</v>
      </c>
    </row>
    <row r="12" spans="1:29" s="1685" customFormat="1" ht="15.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29"/>
      <c r="Q12" s="2917">
        <f t="shared" si="6"/>
        <v>111</v>
      </c>
      <c r="R12" s="1681" t="s">
        <v>25</v>
      </c>
      <c r="S12" s="1682">
        <f t="shared" si="0"/>
        <v>100</v>
      </c>
      <c r="T12" s="1681" t="s">
        <v>25</v>
      </c>
      <c r="U12" s="1682">
        <f t="shared" si="1"/>
        <v>100</v>
      </c>
      <c r="V12" s="1681" t="s">
        <v>25</v>
      </c>
      <c r="W12" s="1682">
        <f t="shared" si="2"/>
        <v>100</v>
      </c>
      <c r="X12" s="1683"/>
      <c r="Y12" s="3290"/>
      <c r="Z12" s="1694">
        <f t="shared" si="7"/>
        <v>111</v>
      </c>
      <c r="AA12" s="1684">
        <f>D12/F12</f>
        <v>1</v>
      </c>
      <c r="AB12" s="1684">
        <f>D12/H12</f>
        <v>1</v>
      </c>
      <c r="AC12" s="1684">
        <f>D12/J12</f>
        <v>1</v>
      </c>
    </row>
    <row r="13" spans="1:29" ht="15.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29"/>
      <c r="Q13" s="2917">
        <f t="shared" si="6"/>
        <v>111</v>
      </c>
      <c r="R13" s="1681" t="s">
        <v>25</v>
      </c>
      <c r="S13" s="1682">
        <f t="shared" si="0"/>
        <v>100</v>
      </c>
      <c r="T13" s="1681" t="s">
        <v>25</v>
      </c>
      <c r="U13" s="1682">
        <f t="shared" si="1"/>
        <v>100</v>
      </c>
      <c r="V13" s="1681" t="s">
        <v>25</v>
      </c>
      <c r="W13" s="1682">
        <f t="shared" si="2"/>
        <v>100</v>
      </c>
      <c r="X13" s="1683"/>
      <c r="Y13" s="3290"/>
      <c r="Z13" s="1694">
        <f t="shared" si="7"/>
        <v>111</v>
      </c>
      <c r="AA13" s="1684">
        <f t="shared" si="3"/>
        <v>1</v>
      </c>
      <c r="AB13" s="1684">
        <f t="shared" si="4"/>
        <v>1</v>
      </c>
      <c r="AC13" s="1684">
        <f t="shared" si="5"/>
        <v>1</v>
      </c>
    </row>
    <row r="14" spans="1:29" ht="16"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29"/>
      <c r="Q14" s="2917">
        <f t="shared" si="6"/>
        <v>111</v>
      </c>
      <c r="R14" s="1681" t="s">
        <v>25</v>
      </c>
      <c r="S14" s="1682">
        <f t="shared" si="0"/>
        <v>100</v>
      </c>
      <c r="T14" s="1681" t="s">
        <v>25</v>
      </c>
      <c r="U14" s="1682">
        <f t="shared" si="1"/>
        <v>100</v>
      </c>
      <c r="V14" s="1681" t="s">
        <v>25</v>
      </c>
      <c r="W14" s="1682">
        <f t="shared" si="2"/>
        <v>100</v>
      </c>
      <c r="X14" s="1683"/>
      <c r="Y14" s="3290"/>
      <c r="Z14" s="1694">
        <f t="shared" si="7"/>
        <v>111</v>
      </c>
      <c r="AA14" s="1684">
        <f t="shared" si="3"/>
        <v>1</v>
      </c>
      <c r="AB14" s="1684">
        <f t="shared" si="4"/>
        <v>1</v>
      </c>
      <c r="AC14" s="1684">
        <f t="shared" si="5"/>
        <v>1</v>
      </c>
    </row>
    <row r="15" spans="1:29" ht="84">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32" t="s">
        <v>2278</v>
      </c>
      <c r="Q15" s="2918" t="str">
        <f t="shared" si="6"/>
        <v>办公集聚程度</v>
      </c>
      <c r="R15" s="1726" t="s">
        <v>25</v>
      </c>
      <c r="S15" s="1727">
        <f t="shared" si="0"/>
        <v>100</v>
      </c>
      <c r="T15" s="1726" t="s">
        <v>25</v>
      </c>
      <c r="U15" s="1727">
        <f t="shared" si="1"/>
        <v>100</v>
      </c>
      <c r="V15" s="1726" t="s">
        <v>25</v>
      </c>
      <c r="W15" s="1727">
        <f t="shared" si="2"/>
        <v>100</v>
      </c>
      <c r="X15" s="2075"/>
      <c r="Y15" s="3432" t="s">
        <v>2278</v>
      </c>
      <c r="Z15" s="2079" t="str">
        <f t="shared" si="7"/>
        <v>办公集聚程度</v>
      </c>
      <c r="AA15" s="2070">
        <f t="shared" si="3"/>
        <v>1</v>
      </c>
      <c r="AB15" s="2070">
        <f t="shared" si="4"/>
        <v>1</v>
      </c>
      <c r="AC15" s="2070">
        <f t="shared" si="5"/>
        <v>1</v>
      </c>
    </row>
    <row r="16" spans="1:29" ht="15.5">
      <c r="A16" s="1703"/>
      <c r="B16" s="2496"/>
      <c r="C16" s="1976"/>
      <c r="D16" s="1732"/>
      <c r="E16" s="1731"/>
      <c r="F16" s="1732"/>
      <c r="G16" s="1976"/>
      <c r="H16" s="1736"/>
      <c r="I16" s="1731"/>
      <c r="J16" s="1732"/>
      <c r="K16" s="2476"/>
      <c r="L16" s="3004"/>
      <c r="M16" s="3000"/>
      <c r="N16" s="3000"/>
      <c r="O16" s="3000"/>
      <c r="P16" s="3433"/>
      <c r="Q16" s="2918"/>
      <c r="R16" s="1726"/>
      <c r="S16" s="1727"/>
      <c r="T16" s="1726"/>
      <c r="U16" s="1727"/>
      <c r="V16" s="1726"/>
      <c r="W16" s="1727"/>
      <c r="X16" s="2075"/>
      <c r="Y16" s="3433"/>
      <c r="Z16" s="2079"/>
      <c r="AA16" s="2070">
        <v>1</v>
      </c>
      <c r="AB16" s="2070">
        <v>1</v>
      </c>
      <c r="AC16" s="2070">
        <v>1</v>
      </c>
    </row>
    <row r="17" spans="1:29" ht="168">
      <c r="A17" s="1703"/>
      <c r="B17" s="2497" t="s">
        <v>1713</v>
      </c>
      <c r="C17" s="1981" t="str">
        <f>估价对象房地状况!C6</f>
        <v>估价对象周边有昌11路、昌21路、昌52路、昌59路等多条公交线路。以估价对象为圆心，半径1000米范围内有地铁昌平线昌平地铁站，交通便捷程度好。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33"/>
      <c r="Q17" s="2918" t="str">
        <f>B17</f>
        <v>交通便捷度</v>
      </c>
      <c r="R17" s="1726" t="s">
        <v>25</v>
      </c>
      <c r="S17" s="1727">
        <f>F17</f>
        <v>100</v>
      </c>
      <c r="T17" s="1726" t="s">
        <v>25</v>
      </c>
      <c r="U17" s="1727">
        <f>H17</f>
        <v>100</v>
      </c>
      <c r="V17" s="1726" t="s">
        <v>25</v>
      </c>
      <c r="W17" s="1727">
        <f>J17</f>
        <v>100</v>
      </c>
      <c r="X17" s="2075"/>
      <c r="Y17" s="3433"/>
      <c r="Z17" s="2079" t="str">
        <f>Q17</f>
        <v>交通便捷度</v>
      </c>
      <c r="AA17" s="2070">
        <f t="shared" si="3"/>
        <v>1</v>
      </c>
      <c r="AB17" s="2070">
        <f t="shared" si="4"/>
        <v>1</v>
      </c>
      <c r="AC17" s="2070">
        <f t="shared" si="5"/>
        <v>1</v>
      </c>
    </row>
    <row r="18" spans="1:29" ht="15.5">
      <c r="A18" s="1703"/>
      <c r="B18" s="2498"/>
      <c r="C18" s="1980"/>
      <c r="D18" s="1736"/>
      <c r="E18" s="1747"/>
      <c r="F18" s="1736"/>
      <c r="G18" s="1746"/>
      <c r="H18" s="1732"/>
      <c r="I18" s="1746"/>
      <c r="J18" s="1732"/>
      <c r="K18" s="2476"/>
      <c r="L18" s="3004"/>
      <c r="M18" s="3000"/>
      <c r="N18" s="3000"/>
      <c r="O18" s="3000"/>
      <c r="P18" s="3433"/>
      <c r="Q18" s="2918"/>
      <c r="R18" s="1726"/>
      <c r="S18" s="1727"/>
      <c r="T18" s="1726"/>
      <c r="U18" s="1727"/>
      <c r="V18" s="1726"/>
      <c r="W18" s="1727"/>
      <c r="X18" s="2075"/>
      <c r="Y18" s="3433"/>
      <c r="Z18" s="2079"/>
      <c r="AA18" s="2070">
        <v>1</v>
      </c>
      <c r="AB18" s="2070">
        <v>1</v>
      </c>
      <c r="AC18" s="2070">
        <v>1</v>
      </c>
    </row>
    <row r="19" spans="1:29" ht="42">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33"/>
      <c r="Q19" s="2918" t="str">
        <f>B19</f>
        <v>公共配套设施</v>
      </c>
      <c r="R19" s="1726" t="s">
        <v>25</v>
      </c>
      <c r="S19" s="1727">
        <f>F19</f>
        <v>100</v>
      </c>
      <c r="T19" s="1726" t="s">
        <v>25</v>
      </c>
      <c r="U19" s="1727">
        <f>H19</f>
        <v>100</v>
      </c>
      <c r="V19" s="1726" t="s">
        <v>25</v>
      </c>
      <c r="W19" s="1727">
        <f>J19</f>
        <v>100</v>
      </c>
      <c r="X19" s="2075"/>
      <c r="Y19" s="3433"/>
      <c r="Z19" s="2079" t="str">
        <f>Q19</f>
        <v>公共配套设施</v>
      </c>
      <c r="AA19" s="2070">
        <f t="shared" si="3"/>
        <v>1</v>
      </c>
      <c r="AB19" s="2070">
        <f t="shared" si="4"/>
        <v>1</v>
      </c>
      <c r="AC19" s="2070">
        <f t="shared" si="5"/>
        <v>1</v>
      </c>
    </row>
    <row r="20" spans="1:29" ht="15.5">
      <c r="A20" s="1703"/>
      <c r="B20" s="2498"/>
      <c r="C20" s="1976"/>
      <c r="D20" s="1732"/>
      <c r="E20" s="1735"/>
      <c r="F20" s="1732"/>
      <c r="G20" s="1733"/>
      <c r="H20" s="1732"/>
      <c r="I20" s="1733"/>
      <c r="J20" s="1732"/>
      <c r="K20" s="2476"/>
      <c r="L20" s="3004"/>
      <c r="M20" s="3000"/>
      <c r="N20" s="3000"/>
      <c r="O20" s="3000"/>
      <c r="P20" s="3433"/>
      <c r="Q20" s="2918"/>
      <c r="R20" s="1726"/>
      <c r="S20" s="1727"/>
      <c r="T20" s="1726"/>
      <c r="U20" s="1727"/>
      <c r="V20" s="1726"/>
      <c r="W20" s="1727"/>
      <c r="X20" s="2075"/>
      <c r="Y20" s="3433"/>
      <c r="Z20" s="2079"/>
      <c r="AA20" s="2070">
        <v>1</v>
      </c>
      <c r="AB20" s="2070">
        <v>1</v>
      </c>
      <c r="AC20" s="2070">
        <v>1</v>
      </c>
    </row>
    <row r="21" spans="1:29" ht="42">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33"/>
      <c r="Q21" s="2918" t="str">
        <f>B21</f>
        <v>基础设施水平</v>
      </c>
      <c r="R21" s="1726" t="s">
        <v>25</v>
      </c>
      <c r="S21" s="1727">
        <f>F21</f>
        <v>100</v>
      </c>
      <c r="T21" s="1726" t="s">
        <v>25</v>
      </c>
      <c r="U21" s="1727">
        <f>H21</f>
        <v>100</v>
      </c>
      <c r="V21" s="1726" t="s">
        <v>25</v>
      </c>
      <c r="W21" s="1727">
        <f>J21</f>
        <v>100</v>
      </c>
      <c r="X21" s="2075"/>
      <c r="Y21" s="3433"/>
      <c r="Z21" s="2079" t="str">
        <f>Q21</f>
        <v>基础设施水平</v>
      </c>
      <c r="AA21" s="2070">
        <f t="shared" ref="AA21" si="8">D21/F21</f>
        <v>1</v>
      </c>
      <c r="AB21" s="2070">
        <f t="shared" ref="AB21" si="9">D21/H21</f>
        <v>1</v>
      </c>
      <c r="AC21" s="2070">
        <f t="shared" ref="AC21" si="10">D21/J21</f>
        <v>1</v>
      </c>
    </row>
    <row r="22" spans="1:29" ht="15.5">
      <c r="A22" s="1703"/>
      <c r="B22" s="2499"/>
      <c r="C22" s="1980"/>
      <c r="D22" s="1732"/>
      <c r="E22" s="1731"/>
      <c r="F22" s="1732"/>
      <c r="G22" s="1976"/>
      <c r="H22" s="1732"/>
      <c r="I22" s="1976"/>
      <c r="J22" s="1732"/>
      <c r="K22" s="2477"/>
      <c r="L22" s="3004"/>
      <c r="M22" s="3000"/>
      <c r="N22" s="3000"/>
      <c r="O22" s="3000"/>
      <c r="P22" s="3433"/>
      <c r="Q22" s="2918"/>
      <c r="R22" s="1726"/>
      <c r="S22" s="1727"/>
      <c r="T22" s="1726"/>
      <c r="U22" s="1727"/>
      <c r="V22" s="1726"/>
      <c r="W22" s="1727"/>
      <c r="X22" s="2075"/>
      <c r="Y22" s="3433"/>
      <c r="Z22" s="2079"/>
      <c r="AA22" s="2070">
        <v>1</v>
      </c>
      <c r="AB22" s="2070">
        <v>1</v>
      </c>
      <c r="AC22" s="2070">
        <v>1</v>
      </c>
    </row>
    <row r="23" spans="1:29" ht="168">
      <c r="A23" s="1703"/>
      <c r="B23" s="2497" t="s">
        <v>2395</v>
      </c>
      <c r="C23" s="1981" t="str">
        <f>估价对象房地状况!C9</f>
        <v xml:space="preserve">自然环境：昌平公园、北山公园等自然景观；
人文环境：中国石油大学、中国政法大学昌平校区等人文场所；
综合评价环境状况好。
</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33"/>
      <c r="Q23" s="2918" t="str">
        <f>B23</f>
        <v>环境质量</v>
      </c>
      <c r="R23" s="1726" t="s">
        <v>25</v>
      </c>
      <c r="S23" s="1727">
        <f>F23</f>
        <v>100</v>
      </c>
      <c r="T23" s="1726" t="s">
        <v>25</v>
      </c>
      <c r="U23" s="1727">
        <f>H23</f>
        <v>100</v>
      </c>
      <c r="V23" s="1726" t="s">
        <v>25</v>
      </c>
      <c r="W23" s="1727">
        <f>J23</f>
        <v>100</v>
      </c>
      <c r="X23" s="2075"/>
      <c r="Y23" s="3433"/>
      <c r="Z23" s="2079" t="str">
        <f>Q23</f>
        <v>环境质量</v>
      </c>
      <c r="AA23" s="2070">
        <f t="shared" si="3"/>
        <v>1</v>
      </c>
      <c r="AB23" s="2070">
        <f t="shared" si="4"/>
        <v>1</v>
      </c>
      <c r="AC23" s="2070">
        <f t="shared" si="5"/>
        <v>1</v>
      </c>
    </row>
    <row r="24" spans="1:29" ht="15.5">
      <c r="A24" s="1703"/>
      <c r="B24" s="2499"/>
      <c r="C24" s="1976"/>
      <c r="D24" s="1732"/>
      <c r="E24" s="1735"/>
      <c r="F24" s="1732"/>
      <c r="G24" s="1733"/>
      <c r="H24" s="1732"/>
      <c r="I24" s="1733"/>
      <c r="J24" s="1732"/>
      <c r="K24" s="2476"/>
      <c r="L24" s="3004"/>
      <c r="M24" s="3000"/>
      <c r="N24" s="3000"/>
      <c r="O24" s="3000"/>
      <c r="P24" s="3433"/>
      <c r="Q24" s="2918"/>
      <c r="R24" s="1726"/>
      <c r="S24" s="1727"/>
      <c r="T24" s="1726"/>
      <c r="U24" s="1727"/>
      <c r="V24" s="1726"/>
      <c r="W24" s="1727"/>
      <c r="X24" s="2075"/>
      <c r="Y24" s="3433"/>
      <c r="Z24" s="2079"/>
      <c r="AA24" s="2070">
        <v>1</v>
      </c>
      <c r="AB24" s="2070">
        <v>1</v>
      </c>
      <c r="AC24" s="2070">
        <v>1</v>
      </c>
    </row>
    <row r="25" spans="1:29" ht="28">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33"/>
      <c r="Q25" s="2918" t="str">
        <f>B25</f>
        <v>毗邻道路的类型与等级</v>
      </c>
      <c r="R25" s="1726" t="s">
        <v>25</v>
      </c>
      <c r="S25" s="1727">
        <f>F25</f>
        <v>100</v>
      </c>
      <c r="T25" s="1726" t="s">
        <v>25</v>
      </c>
      <c r="U25" s="1727">
        <f>H25</f>
        <v>100</v>
      </c>
      <c r="V25" s="1726" t="s">
        <v>25</v>
      </c>
      <c r="W25" s="1727">
        <f>J25</f>
        <v>100</v>
      </c>
      <c r="X25" s="2075"/>
      <c r="Y25" s="3433"/>
      <c r="Z25" s="2079" t="str">
        <f>Q25</f>
        <v>毗邻道路的类型与等级</v>
      </c>
      <c r="AA25" s="2070">
        <f t="shared" si="3"/>
        <v>1</v>
      </c>
      <c r="AB25" s="2070">
        <f t="shared" si="4"/>
        <v>1</v>
      </c>
      <c r="AC25" s="2070">
        <f t="shared" si="5"/>
        <v>1</v>
      </c>
    </row>
    <row r="26" spans="1:29" ht="15.5">
      <c r="A26" s="1668"/>
      <c r="B26" s="2498"/>
      <c r="C26" s="1984"/>
      <c r="D26" s="1712"/>
      <c r="E26" s="1992"/>
      <c r="F26" s="1712"/>
      <c r="G26" s="1984"/>
      <c r="H26" s="1712"/>
      <c r="I26" s="1992"/>
      <c r="J26" s="1712"/>
      <c r="K26" s="2476"/>
      <c r="L26" s="3004"/>
      <c r="M26" s="3000"/>
      <c r="N26" s="3000"/>
      <c r="O26" s="3000"/>
      <c r="P26" s="3433"/>
      <c r="Q26" s="2918"/>
      <c r="R26" s="1726"/>
      <c r="S26" s="1727"/>
      <c r="T26" s="1726"/>
      <c r="U26" s="1727"/>
      <c r="V26" s="1726"/>
      <c r="W26" s="1727"/>
      <c r="X26" s="2075"/>
      <c r="Y26" s="3433"/>
      <c r="Z26" s="2079"/>
      <c r="AA26" s="2070">
        <v>1</v>
      </c>
      <c r="AB26" s="2070">
        <v>1</v>
      </c>
      <c r="AC26" s="2070">
        <v>1</v>
      </c>
    </row>
    <row r="27" spans="1:29" ht="15.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33"/>
      <c r="Q27" s="2918" t="str">
        <f t="shared" ref="Q27:Q47" si="11">B27</f>
        <v>楼层</v>
      </c>
      <c r="R27" s="1726" t="s">
        <v>25</v>
      </c>
      <c r="S27" s="1727">
        <f>F27</f>
        <v>100</v>
      </c>
      <c r="T27" s="1726" t="s">
        <v>25</v>
      </c>
      <c r="U27" s="1727">
        <f>H27</f>
        <v>100</v>
      </c>
      <c r="V27" s="1726" t="s">
        <v>25</v>
      </c>
      <c r="W27" s="1727">
        <f>J27</f>
        <v>100</v>
      </c>
      <c r="X27" s="2075"/>
      <c r="Y27" s="3433"/>
      <c r="Z27" s="2079" t="str">
        <f>Q27</f>
        <v>楼层</v>
      </c>
      <c r="AA27" s="2070">
        <f t="shared" si="3"/>
        <v>1</v>
      </c>
      <c r="AB27" s="2070">
        <f t="shared" si="4"/>
        <v>1</v>
      </c>
      <c r="AC27" s="2070">
        <f t="shared" si="5"/>
        <v>1</v>
      </c>
    </row>
    <row r="28" spans="1:29" s="1685" customFormat="1" ht="15.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33"/>
      <c r="Q28" s="2917" t="str">
        <f t="shared" si="11"/>
        <v>朝向</v>
      </c>
      <c r="R28" s="1681" t="s">
        <v>25</v>
      </c>
      <c r="S28" s="1682">
        <f>F28</f>
        <v>100</v>
      </c>
      <c r="T28" s="1681" t="s">
        <v>25</v>
      </c>
      <c r="U28" s="1682">
        <f>H28</f>
        <v>100</v>
      </c>
      <c r="V28" s="1681" t="s">
        <v>25</v>
      </c>
      <c r="W28" s="1682">
        <f>J28</f>
        <v>100</v>
      </c>
      <c r="X28" s="1683"/>
      <c r="Y28" s="3433"/>
      <c r="Z28" s="1694" t="str">
        <f>Q28</f>
        <v>朝向</v>
      </c>
      <c r="AA28" s="2070">
        <f>D28/F28</f>
        <v>1</v>
      </c>
      <c r="AB28" s="2070">
        <f>D28/H28</f>
        <v>1</v>
      </c>
      <c r="AC28" s="2070">
        <f>D28/J28</f>
        <v>1</v>
      </c>
    </row>
    <row r="29" spans="1:29" ht="15.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33"/>
      <c r="Q29" s="2918">
        <f t="shared" si="11"/>
        <v>111</v>
      </c>
      <c r="R29" s="1726" t="s">
        <v>25</v>
      </c>
      <c r="S29" s="1727">
        <f t="shared" ref="S29:S47" si="12">F29</f>
        <v>100</v>
      </c>
      <c r="T29" s="1726" t="s">
        <v>25</v>
      </c>
      <c r="U29" s="1727">
        <f t="shared" ref="U29:U47" si="13">H29</f>
        <v>100</v>
      </c>
      <c r="V29" s="1726" t="s">
        <v>25</v>
      </c>
      <c r="W29" s="1727">
        <f t="shared" ref="W29:W47" si="14">J29</f>
        <v>100</v>
      </c>
      <c r="X29" s="2075"/>
      <c r="Y29" s="3433"/>
      <c r="Z29" s="2079">
        <f t="shared" ref="Z29:Z47" si="15">Q29</f>
        <v>111</v>
      </c>
      <c r="AA29" s="2070">
        <f t="shared" si="3"/>
        <v>1</v>
      </c>
      <c r="AB29" s="2070">
        <f t="shared" si="4"/>
        <v>1</v>
      </c>
      <c r="AC29" s="2070">
        <f t="shared" si="5"/>
        <v>1</v>
      </c>
    </row>
    <row r="30" spans="1:29" ht="15.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33"/>
      <c r="Q30" s="2918">
        <f t="shared" si="11"/>
        <v>111</v>
      </c>
      <c r="R30" s="1726" t="s">
        <v>25</v>
      </c>
      <c r="S30" s="1727">
        <f t="shared" si="12"/>
        <v>100</v>
      </c>
      <c r="T30" s="1726" t="s">
        <v>25</v>
      </c>
      <c r="U30" s="1727">
        <f t="shared" si="13"/>
        <v>100</v>
      </c>
      <c r="V30" s="1726" t="s">
        <v>25</v>
      </c>
      <c r="W30" s="1727">
        <f t="shared" si="14"/>
        <v>100</v>
      </c>
      <c r="X30" s="2075"/>
      <c r="Y30" s="3433"/>
      <c r="Z30" s="2079">
        <f t="shared" si="15"/>
        <v>111</v>
      </c>
      <c r="AA30" s="2070">
        <f t="shared" si="3"/>
        <v>1</v>
      </c>
      <c r="AB30" s="2070">
        <f t="shared" si="4"/>
        <v>1</v>
      </c>
      <c r="AC30" s="2070">
        <f t="shared" si="5"/>
        <v>1</v>
      </c>
    </row>
    <row r="31" spans="1:29" ht="15.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33"/>
      <c r="Q31" s="2918">
        <f t="shared" si="11"/>
        <v>111</v>
      </c>
      <c r="R31" s="1726" t="s">
        <v>25</v>
      </c>
      <c r="S31" s="1727">
        <f t="shared" si="12"/>
        <v>100</v>
      </c>
      <c r="T31" s="1726" t="s">
        <v>25</v>
      </c>
      <c r="U31" s="1727">
        <f t="shared" si="13"/>
        <v>100</v>
      </c>
      <c r="V31" s="1726" t="s">
        <v>25</v>
      </c>
      <c r="W31" s="1727">
        <f t="shared" si="14"/>
        <v>100</v>
      </c>
      <c r="X31" s="2075"/>
      <c r="Y31" s="3433"/>
      <c r="Z31" s="2079">
        <f t="shared" si="15"/>
        <v>111</v>
      </c>
      <c r="AA31" s="2070">
        <f t="shared" si="3"/>
        <v>1</v>
      </c>
      <c r="AB31" s="2070">
        <f t="shared" si="4"/>
        <v>1</v>
      </c>
      <c r="AC31" s="2070">
        <f t="shared" si="5"/>
        <v>1</v>
      </c>
    </row>
    <row r="32" spans="1:29" ht="16"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33"/>
      <c r="Q32" s="2918">
        <f t="shared" si="11"/>
        <v>111</v>
      </c>
      <c r="R32" s="1726" t="s">
        <v>25</v>
      </c>
      <c r="S32" s="1727">
        <f t="shared" si="12"/>
        <v>100</v>
      </c>
      <c r="T32" s="1726" t="s">
        <v>25</v>
      </c>
      <c r="U32" s="1727">
        <f t="shared" si="13"/>
        <v>100</v>
      </c>
      <c r="V32" s="1726" t="s">
        <v>25</v>
      </c>
      <c r="W32" s="1727">
        <f t="shared" si="14"/>
        <v>100</v>
      </c>
      <c r="X32" s="2075"/>
      <c r="Y32" s="3433"/>
      <c r="Z32" s="2079">
        <f t="shared" si="15"/>
        <v>111</v>
      </c>
      <c r="AA32" s="2070">
        <f t="shared" si="3"/>
        <v>1</v>
      </c>
      <c r="AB32" s="2070">
        <f t="shared" si="4"/>
        <v>1</v>
      </c>
      <c r="AC32" s="2070">
        <f t="shared" si="5"/>
        <v>1</v>
      </c>
    </row>
    <row r="33" spans="1:29" ht="15.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74" t="s">
        <v>2284</v>
      </c>
      <c r="Q33" s="2918" t="str">
        <f t="shared" si="11"/>
        <v>建筑类型</v>
      </c>
      <c r="R33" s="1726" t="s">
        <v>25</v>
      </c>
      <c r="S33" s="1727">
        <f t="shared" si="12"/>
        <v>100</v>
      </c>
      <c r="T33" s="1726" t="s">
        <v>25</v>
      </c>
      <c r="U33" s="1727">
        <f t="shared" si="13"/>
        <v>100</v>
      </c>
      <c r="V33" s="1726" t="s">
        <v>25</v>
      </c>
      <c r="W33" s="1727">
        <f t="shared" si="14"/>
        <v>100</v>
      </c>
      <c r="X33" s="2075"/>
      <c r="Y33" s="3437" t="s">
        <v>2284</v>
      </c>
      <c r="Z33" s="2079" t="str">
        <f t="shared" si="15"/>
        <v>建筑类型</v>
      </c>
      <c r="AA33" s="2070">
        <f t="shared" si="3"/>
        <v>1</v>
      </c>
      <c r="AB33" s="2070">
        <f t="shared" si="4"/>
        <v>1</v>
      </c>
      <c r="AC33" s="2070">
        <f t="shared" si="5"/>
        <v>1</v>
      </c>
    </row>
    <row r="34" spans="1:29" s="1772" customFormat="1" ht="15.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37"/>
      <c r="Q34" s="1767" t="str">
        <f t="shared" si="11"/>
        <v>项目建筑规模</v>
      </c>
      <c r="R34" s="1768" t="s">
        <v>25</v>
      </c>
      <c r="S34" s="1769" t="e">
        <f t="shared" si="12"/>
        <v>#N/A</v>
      </c>
      <c r="T34" s="1768" t="s">
        <v>25</v>
      </c>
      <c r="U34" s="1769" t="e">
        <f t="shared" si="13"/>
        <v>#N/A</v>
      </c>
      <c r="V34" s="1768" t="s">
        <v>25</v>
      </c>
      <c r="W34" s="1769" t="e">
        <f t="shared" si="14"/>
        <v>#N/A</v>
      </c>
      <c r="X34" s="1770"/>
      <c r="Y34" s="3437"/>
      <c r="Z34" s="1771" t="str">
        <f t="shared" si="15"/>
        <v>项目建筑规模</v>
      </c>
      <c r="AA34" s="2070" t="e">
        <f t="shared" si="3"/>
        <v>#N/A</v>
      </c>
      <c r="AB34" s="2070" t="e">
        <f t="shared" si="4"/>
        <v>#N/A</v>
      </c>
      <c r="AC34" s="2070" t="e">
        <f t="shared" si="5"/>
        <v>#N/A</v>
      </c>
    </row>
    <row r="35" spans="1:29" ht="15.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37"/>
      <c r="Q35" s="2918" t="str">
        <f t="shared" si="11"/>
        <v>建筑结构</v>
      </c>
      <c r="R35" s="1726" t="s">
        <v>25</v>
      </c>
      <c r="S35" s="1727">
        <f t="shared" si="12"/>
        <v>100</v>
      </c>
      <c r="T35" s="1726" t="s">
        <v>25</v>
      </c>
      <c r="U35" s="1727">
        <f t="shared" si="13"/>
        <v>100</v>
      </c>
      <c r="V35" s="1726" t="s">
        <v>25</v>
      </c>
      <c r="W35" s="1727">
        <f t="shared" si="14"/>
        <v>100</v>
      </c>
      <c r="X35" s="2075"/>
      <c r="Y35" s="3437"/>
      <c r="Z35" s="2079" t="str">
        <f t="shared" si="15"/>
        <v>建筑结构</v>
      </c>
      <c r="AA35" s="2070">
        <f t="shared" si="3"/>
        <v>1</v>
      </c>
      <c r="AB35" s="2070">
        <f t="shared" si="4"/>
        <v>1</v>
      </c>
      <c r="AC35" s="2070">
        <f t="shared" si="5"/>
        <v>1</v>
      </c>
    </row>
    <row r="36" spans="1:29" ht="15.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37"/>
      <c r="Q36" s="2918" t="str">
        <f t="shared" si="11"/>
        <v>公共部分装修</v>
      </c>
      <c r="R36" s="1726" t="s">
        <v>25</v>
      </c>
      <c r="S36" s="1727">
        <f t="shared" si="12"/>
        <v>100</v>
      </c>
      <c r="T36" s="1726" t="s">
        <v>25</v>
      </c>
      <c r="U36" s="1727">
        <f t="shared" si="13"/>
        <v>100</v>
      </c>
      <c r="V36" s="1726" t="s">
        <v>25</v>
      </c>
      <c r="W36" s="1727">
        <f t="shared" si="14"/>
        <v>100</v>
      </c>
      <c r="X36" s="2075"/>
      <c r="Y36" s="3437"/>
      <c r="Z36" s="2079" t="str">
        <f t="shared" si="15"/>
        <v>公共部分装修</v>
      </c>
      <c r="AA36" s="2070">
        <f t="shared" si="3"/>
        <v>1</v>
      </c>
      <c r="AB36" s="2070">
        <f t="shared" si="4"/>
        <v>1</v>
      </c>
      <c r="AC36" s="2070">
        <f t="shared" si="5"/>
        <v>1</v>
      </c>
    </row>
    <row r="37" spans="1:29" ht="15.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37"/>
      <c r="Q37" s="2918" t="str">
        <f t="shared" si="11"/>
        <v>成新度</v>
      </c>
      <c r="R37" s="1726" t="s">
        <v>25</v>
      </c>
      <c r="S37" s="1727" t="e">
        <f t="shared" si="12"/>
        <v>#N/A</v>
      </c>
      <c r="T37" s="1726" t="s">
        <v>25</v>
      </c>
      <c r="U37" s="1727" t="e">
        <f t="shared" si="13"/>
        <v>#N/A</v>
      </c>
      <c r="V37" s="1726" t="s">
        <v>25</v>
      </c>
      <c r="W37" s="1727" t="e">
        <f t="shared" si="14"/>
        <v>#N/A</v>
      </c>
      <c r="X37" s="2075"/>
      <c r="Y37" s="3437"/>
      <c r="Z37" s="2079" t="str">
        <f t="shared" si="15"/>
        <v>成新度</v>
      </c>
      <c r="AA37" s="2070" t="e">
        <f t="shared" si="3"/>
        <v>#N/A</v>
      </c>
      <c r="AB37" s="2070" t="e">
        <f t="shared" si="4"/>
        <v>#N/A</v>
      </c>
      <c r="AC37" s="2070" t="e">
        <f t="shared" si="5"/>
        <v>#N/A</v>
      </c>
    </row>
    <row r="38" spans="1:29" s="1685" customFormat="1" ht="15.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37"/>
      <c r="Q38" s="2917" t="str">
        <f t="shared" si="11"/>
        <v>写字楼等级</v>
      </c>
      <c r="R38" s="1681" t="s">
        <v>25</v>
      </c>
      <c r="S38" s="1682">
        <f t="shared" si="12"/>
        <v>100</v>
      </c>
      <c r="T38" s="1681" t="s">
        <v>25</v>
      </c>
      <c r="U38" s="1682">
        <f t="shared" si="13"/>
        <v>100</v>
      </c>
      <c r="V38" s="1681" t="s">
        <v>25</v>
      </c>
      <c r="W38" s="1682">
        <f t="shared" si="14"/>
        <v>100</v>
      </c>
      <c r="X38" s="1683"/>
      <c r="Y38" s="3437"/>
      <c r="Z38" s="1694" t="str">
        <f t="shared" si="15"/>
        <v>写字楼等级</v>
      </c>
      <c r="AA38" s="1684">
        <f t="shared" si="3"/>
        <v>1</v>
      </c>
      <c r="AB38" s="1684">
        <f t="shared" si="4"/>
        <v>1</v>
      </c>
      <c r="AC38" s="1684">
        <f t="shared" si="5"/>
        <v>1</v>
      </c>
    </row>
    <row r="39" spans="1:29" ht="15.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37" t="s">
        <v>2284</v>
      </c>
      <c r="Q39" s="2918" t="str">
        <f t="shared" si="11"/>
        <v>物业管理</v>
      </c>
      <c r="R39" s="1726" t="s">
        <v>25</v>
      </c>
      <c r="S39" s="1727">
        <f t="shared" si="12"/>
        <v>100</v>
      </c>
      <c r="T39" s="1726" t="s">
        <v>25</v>
      </c>
      <c r="U39" s="1727">
        <f t="shared" si="13"/>
        <v>100</v>
      </c>
      <c r="V39" s="1726" t="s">
        <v>25</v>
      </c>
      <c r="W39" s="1727">
        <f t="shared" si="14"/>
        <v>100</v>
      </c>
      <c r="X39" s="2075"/>
      <c r="Y39" s="3437" t="s">
        <v>2284</v>
      </c>
      <c r="Z39" s="2079" t="str">
        <f t="shared" si="15"/>
        <v>物业管理</v>
      </c>
      <c r="AA39" s="2070">
        <f t="shared" si="3"/>
        <v>1</v>
      </c>
      <c r="AB39" s="2070">
        <f t="shared" si="4"/>
        <v>1</v>
      </c>
      <c r="AC39" s="2070">
        <f t="shared" si="5"/>
        <v>1</v>
      </c>
    </row>
    <row r="40" spans="1:29" ht="15.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37"/>
      <c r="Q40" s="2918" t="str">
        <f t="shared" si="11"/>
        <v>市政基础设施</v>
      </c>
      <c r="R40" s="1726" t="s">
        <v>25</v>
      </c>
      <c r="S40" s="1727">
        <f t="shared" si="12"/>
        <v>100</v>
      </c>
      <c r="T40" s="1726" t="s">
        <v>25</v>
      </c>
      <c r="U40" s="1727">
        <f t="shared" si="13"/>
        <v>100</v>
      </c>
      <c r="V40" s="1726" t="s">
        <v>25</v>
      </c>
      <c r="W40" s="1727">
        <f t="shared" si="14"/>
        <v>100</v>
      </c>
      <c r="X40" s="2075"/>
      <c r="Y40" s="3437"/>
      <c r="Z40" s="2079" t="str">
        <f t="shared" si="15"/>
        <v>市政基础设施</v>
      </c>
      <c r="AA40" s="2070">
        <f t="shared" si="3"/>
        <v>1</v>
      </c>
      <c r="AB40" s="2070">
        <f t="shared" si="4"/>
        <v>1</v>
      </c>
      <c r="AC40" s="2070">
        <f t="shared" si="5"/>
        <v>1</v>
      </c>
    </row>
    <row r="41" spans="1:29" ht="15.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37"/>
      <c r="Q41" s="2918" t="str">
        <f t="shared" si="11"/>
        <v>层高</v>
      </c>
      <c r="R41" s="1726" t="s">
        <v>25</v>
      </c>
      <c r="S41" s="1727">
        <f t="shared" si="12"/>
        <v>100</v>
      </c>
      <c r="T41" s="1726" t="s">
        <v>25</v>
      </c>
      <c r="U41" s="1727">
        <f t="shared" si="13"/>
        <v>100</v>
      </c>
      <c r="V41" s="1726" t="s">
        <v>25</v>
      </c>
      <c r="W41" s="1727">
        <f t="shared" si="14"/>
        <v>100</v>
      </c>
      <c r="X41" s="2075"/>
      <c r="Y41" s="3437"/>
      <c r="Z41" s="2079" t="str">
        <f t="shared" si="15"/>
        <v>层高</v>
      </c>
      <c r="AA41" s="2070">
        <f t="shared" si="3"/>
        <v>1</v>
      </c>
      <c r="AB41" s="2070">
        <f t="shared" si="4"/>
        <v>1</v>
      </c>
      <c r="AC41" s="2070">
        <f t="shared" si="5"/>
        <v>1</v>
      </c>
    </row>
    <row r="42" spans="1:29" s="1772" customFormat="1" ht="15.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37"/>
      <c r="Q42" s="1767" t="str">
        <f t="shared" si="11"/>
        <v>单套建筑面积</v>
      </c>
      <c r="R42" s="1768" t="s">
        <v>25</v>
      </c>
      <c r="S42" s="1769">
        <f t="shared" si="12"/>
        <v>100</v>
      </c>
      <c r="T42" s="1768" t="s">
        <v>25</v>
      </c>
      <c r="U42" s="1769">
        <f t="shared" si="13"/>
        <v>100</v>
      </c>
      <c r="V42" s="1768" t="s">
        <v>25</v>
      </c>
      <c r="W42" s="1769">
        <f t="shared" si="14"/>
        <v>100</v>
      </c>
      <c r="X42" s="1770"/>
      <c r="Y42" s="3437"/>
      <c r="Z42" s="1771" t="str">
        <f t="shared" si="15"/>
        <v>单套建筑面积</v>
      </c>
      <c r="AA42" s="2070">
        <f t="shared" si="3"/>
        <v>1</v>
      </c>
      <c r="AB42" s="2070">
        <f t="shared" si="4"/>
        <v>1</v>
      </c>
      <c r="AC42" s="2070">
        <f t="shared" si="5"/>
        <v>1</v>
      </c>
    </row>
    <row r="43" spans="1:29" ht="15.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37"/>
      <c r="Q43" s="2918" t="str">
        <f t="shared" si="11"/>
        <v>内部装修</v>
      </c>
      <c r="R43" s="1726" t="s">
        <v>25</v>
      </c>
      <c r="S43" s="1727">
        <f t="shared" si="12"/>
        <v>100</v>
      </c>
      <c r="T43" s="1726" t="s">
        <v>25</v>
      </c>
      <c r="U43" s="1727">
        <f t="shared" si="13"/>
        <v>100</v>
      </c>
      <c r="V43" s="1726" t="s">
        <v>25</v>
      </c>
      <c r="W43" s="1727">
        <f t="shared" si="14"/>
        <v>100</v>
      </c>
      <c r="X43" s="2075"/>
      <c r="Y43" s="3437"/>
      <c r="Z43" s="2079" t="str">
        <f t="shared" si="15"/>
        <v>内部装修</v>
      </c>
      <c r="AA43" s="2070">
        <f t="shared" si="3"/>
        <v>1</v>
      </c>
      <c r="AB43" s="2070">
        <f t="shared" si="4"/>
        <v>1</v>
      </c>
      <c r="AC43" s="2070">
        <f t="shared" si="5"/>
        <v>1</v>
      </c>
    </row>
    <row r="44" spans="1:29" ht="28">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37"/>
      <c r="Q44" s="2918" t="str">
        <f t="shared" si="11"/>
        <v>内部装修维护情况</v>
      </c>
      <c r="R44" s="1726" t="s">
        <v>25</v>
      </c>
      <c r="S44" s="1727">
        <f t="shared" si="12"/>
        <v>100</v>
      </c>
      <c r="T44" s="1726" t="s">
        <v>25</v>
      </c>
      <c r="U44" s="1727">
        <f t="shared" si="13"/>
        <v>100</v>
      </c>
      <c r="V44" s="1726" t="s">
        <v>25</v>
      </c>
      <c r="W44" s="1727">
        <f t="shared" si="14"/>
        <v>100</v>
      </c>
      <c r="X44" s="2075"/>
      <c r="Y44" s="3437"/>
      <c r="Z44" s="2079" t="str">
        <f t="shared" si="15"/>
        <v>内部装修维护情况</v>
      </c>
      <c r="AA44" s="2070">
        <f t="shared" si="3"/>
        <v>1</v>
      </c>
      <c r="AB44" s="2070">
        <f t="shared" si="4"/>
        <v>1</v>
      </c>
      <c r="AC44" s="2070">
        <f t="shared" si="5"/>
        <v>1</v>
      </c>
    </row>
    <row r="45" spans="1:29" s="1685" customFormat="1" ht="15.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37"/>
      <c r="Q45" s="2917">
        <f t="shared" si="11"/>
        <v>111</v>
      </c>
      <c r="R45" s="1681" t="s">
        <v>25</v>
      </c>
      <c r="S45" s="1682">
        <f t="shared" si="12"/>
        <v>100</v>
      </c>
      <c r="T45" s="1681" t="s">
        <v>25</v>
      </c>
      <c r="U45" s="1682">
        <f t="shared" si="13"/>
        <v>100</v>
      </c>
      <c r="V45" s="1681" t="s">
        <v>25</v>
      </c>
      <c r="W45" s="1682">
        <f t="shared" si="14"/>
        <v>100</v>
      </c>
      <c r="X45" s="1683"/>
      <c r="Y45" s="3437"/>
      <c r="Z45" s="1694">
        <f t="shared" si="15"/>
        <v>111</v>
      </c>
      <c r="AA45" s="1684">
        <f t="shared" si="3"/>
        <v>1</v>
      </c>
      <c r="AB45" s="1684">
        <f t="shared" si="4"/>
        <v>1</v>
      </c>
      <c r="AC45" s="1684">
        <f t="shared" si="5"/>
        <v>1</v>
      </c>
    </row>
    <row r="46" spans="1:29" ht="15.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37"/>
      <c r="Q46" s="2918">
        <f t="shared" si="11"/>
        <v>111</v>
      </c>
      <c r="R46" s="1726" t="s">
        <v>25</v>
      </c>
      <c r="S46" s="1727">
        <f t="shared" si="12"/>
        <v>100</v>
      </c>
      <c r="T46" s="1726" t="s">
        <v>25</v>
      </c>
      <c r="U46" s="1727">
        <f t="shared" si="13"/>
        <v>100</v>
      </c>
      <c r="V46" s="1726" t="s">
        <v>25</v>
      </c>
      <c r="W46" s="1727">
        <f t="shared" si="14"/>
        <v>100</v>
      </c>
      <c r="X46" s="2075"/>
      <c r="Y46" s="3437"/>
      <c r="Z46" s="2079">
        <f t="shared" si="15"/>
        <v>111</v>
      </c>
      <c r="AA46" s="2070">
        <f t="shared" si="3"/>
        <v>1</v>
      </c>
      <c r="AB46" s="2070">
        <f t="shared" si="4"/>
        <v>1</v>
      </c>
      <c r="AC46" s="2070">
        <f t="shared" si="5"/>
        <v>1</v>
      </c>
    </row>
    <row r="47" spans="1:29" ht="16"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38"/>
      <c r="Q47" s="2918">
        <f t="shared" si="11"/>
        <v>111</v>
      </c>
      <c r="R47" s="1726" t="s">
        <v>25</v>
      </c>
      <c r="S47" s="1727">
        <f t="shared" si="12"/>
        <v>100</v>
      </c>
      <c r="T47" s="1726" t="s">
        <v>25</v>
      </c>
      <c r="U47" s="1727">
        <f t="shared" si="13"/>
        <v>100</v>
      </c>
      <c r="V47" s="1726" t="s">
        <v>25</v>
      </c>
      <c r="W47" s="1727">
        <f t="shared" si="14"/>
        <v>100</v>
      </c>
      <c r="X47" s="2075"/>
      <c r="Y47" s="3438"/>
      <c r="Z47" s="2079">
        <f t="shared" si="15"/>
        <v>111</v>
      </c>
      <c r="AA47" s="2070">
        <f t="shared" si="3"/>
        <v>1</v>
      </c>
      <c r="AB47" s="2070">
        <f t="shared" si="4"/>
        <v>1</v>
      </c>
      <c r="AC47" s="2070">
        <f t="shared" si="5"/>
        <v>1</v>
      </c>
    </row>
    <row r="48" spans="1:29">
      <c r="A48" s="1782" t="s">
        <v>2296</v>
      </c>
      <c r="B48" s="1783"/>
      <c r="C48" s="1784" t="s">
        <v>1</v>
      </c>
      <c r="D48" s="1785"/>
      <c r="E48" s="1786"/>
      <c r="F48" s="1787"/>
      <c r="G48" s="1788"/>
      <c r="H48" s="1789"/>
      <c r="I48" s="1786"/>
      <c r="J48" s="1789"/>
      <c r="K48" s="2014"/>
      <c r="L48" s="3005"/>
      <c r="M48" s="3000"/>
      <c r="N48" s="3000"/>
      <c r="O48" s="3000"/>
      <c r="P48" s="3429" t="str">
        <f>A48</f>
        <v>成交单价（元/平方米）</v>
      </c>
      <c r="Q48" s="3429"/>
      <c r="R48" s="3425">
        <f>E48</f>
        <v>0</v>
      </c>
      <c r="S48" s="3425"/>
      <c r="T48" s="3425">
        <f>G48</f>
        <v>0</v>
      </c>
      <c r="U48" s="3425"/>
      <c r="V48" s="3425">
        <f>I48</f>
        <v>0</v>
      </c>
      <c r="W48" s="3425"/>
      <c r="X48" s="1792"/>
      <c r="Y48" s="2074"/>
      <c r="Z48" s="1792"/>
      <c r="AA48" s="1792"/>
      <c r="AB48" s="1792"/>
      <c r="AC48" s="1792"/>
    </row>
    <row r="49" spans="1:29" ht="14.5" thickBot="1">
      <c r="A49" s="1794" t="s">
        <v>2379</v>
      </c>
      <c r="B49" s="1795"/>
      <c r="C49" s="1796" t="e">
        <f>R50</f>
        <v>#DIV/0!</v>
      </c>
      <c r="D49" s="1797" t="s">
        <v>2752</v>
      </c>
      <c r="E49" s="1798" t="e">
        <f>R49</f>
        <v>#DIV/0!</v>
      </c>
      <c r="F49" s="1799"/>
      <c r="G49" s="1796" t="e">
        <f>T49</f>
        <v>#DIV/0!</v>
      </c>
      <c r="H49" s="1799"/>
      <c r="I49" s="1798" t="e">
        <f>V49</f>
        <v>#DIV/0!</v>
      </c>
      <c r="J49" s="1799"/>
      <c r="K49" s="2513">
        <f>F49+H49+J49</f>
        <v>0</v>
      </c>
      <c r="L49" s="3005"/>
      <c r="M49" s="3000"/>
      <c r="N49" s="3000"/>
      <c r="O49" s="3000"/>
      <c r="P49" s="3429" t="str">
        <f>A49</f>
        <v>比较价值（元/平方米）</v>
      </c>
      <c r="Q49" s="3429"/>
      <c r="R49" s="3425" t="e">
        <f>IF(E1="售价",ROUND(PRODUCT(R48,AA7:AA47),0),ROUND(PRODUCT(R48,AA7:AA47),1))</f>
        <v>#DIV/0!</v>
      </c>
      <c r="S49" s="3425"/>
      <c r="T49" s="3425" t="e">
        <f>IF(E1="售价",ROUND(PRODUCT(T48,AB7:AB47),0),ROUND(PRODUCT(T48,AB7:AB47),1))</f>
        <v>#DIV/0!</v>
      </c>
      <c r="U49" s="3425"/>
      <c r="V49" s="3425" t="e">
        <f>IF(E1="售价",ROUND(PRODUCT(V48,AC7:AC47),0),ROUND(PRODUCT(V48,AC7:AC47),1))</f>
        <v>#DIV/0!</v>
      </c>
      <c r="W49" s="3425"/>
      <c r="X49" s="1792"/>
      <c r="Y49" s="1792"/>
      <c r="Z49" s="1792"/>
      <c r="AA49" s="1792"/>
      <c r="AB49" s="1792"/>
      <c r="AC49" s="1792"/>
    </row>
    <row r="50" spans="1:29" ht="14.5" thickBot="1">
      <c r="A50" s="1800" t="s">
        <v>2402</v>
      </c>
      <c r="B50" s="1801"/>
      <c r="C50" s="1803" t="e">
        <f>R50</f>
        <v>#DIV/0!</v>
      </c>
      <c r="D50" s="1803"/>
      <c r="E50" s="1803"/>
      <c r="F50" s="1803"/>
      <c r="G50" s="1803"/>
      <c r="H50" s="1803"/>
      <c r="I50" s="1803"/>
      <c r="J50" s="1803"/>
      <c r="K50" s="2019"/>
      <c r="L50" s="3005"/>
      <c r="M50" s="3000"/>
      <c r="N50" s="3000"/>
      <c r="O50" s="3000"/>
      <c r="P50" s="3426" t="str">
        <f>A50</f>
        <v>估价对象XX用房的比较价值（楼面单价，元/平方米）</v>
      </c>
      <c r="Q50" s="3427"/>
      <c r="R50" s="3428" t="e">
        <f>IF(E1="售价",ROUND(IF(D49="简单平均",AVERAGE(R49:V49),R49*F49+T49*H49+V49*J49),0),ROUND(IF(D49="简单平均",AVERAGE(R49:V49),R49*F49+T49*H49+V49*J49),1))</f>
        <v>#DIV/0!</v>
      </c>
      <c r="S50" s="3428"/>
      <c r="T50" s="3428"/>
      <c r="U50" s="3428"/>
      <c r="V50" s="3428"/>
      <c r="W50" s="3428"/>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c r="A59" s="1823" t="s">
        <v>2266</v>
      </c>
      <c r="B59" s="1824"/>
      <c r="C59" s="1825" t="str">
        <f>YEAR(C7)&amp;"-"&amp;MONTH(C7)</f>
        <v>2020-8</v>
      </c>
      <c r="D59" s="1826">
        <f>EDATE(C59,-1)</f>
        <v>44013</v>
      </c>
      <c r="E59" s="1826">
        <f t="shared" ref="E59:O59" si="16">EDATE(D59,-1)</f>
        <v>43983</v>
      </c>
      <c r="F59" s="1826">
        <f t="shared" si="16"/>
        <v>43952</v>
      </c>
      <c r="G59" s="1826">
        <f t="shared" si="16"/>
        <v>43922</v>
      </c>
      <c r="H59" s="1826">
        <f t="shared" si="16"/>
        <v>43891</v>
      </c>
      <c r="I59" s="1826">
        <f t="shared" si="16"/>
        <v>43862</v>
      </c>
      <c r="J59" s="1826">
        <f t="shared" si="16"/>
        <v>43831</v>
      </c>
      <c r="K59" s="1826">
        <f t="shared" si="16"/>
        <v>43800</v>
      </c>
      <c r="L59" s="1826">
        <f t="shared" si="16"/>
        <v>43770</v>
      </c>
      <c r="M59" s="1826">
        <f t="shared" si="16"/>
        <v>43739</v>
      </c>
      <c r="N59" s="1826">
        <f t="shared" si="16"/>
        <v>43709</v>
      </c>
      <c r="O59" s="1826">
        <f t="shared" si="16"/>
        <v>43678</v>
      </c>
      <c r="P59" s="2506"/>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4.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4.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4.5" thickBot="1">
      <c r="A65" s="1854"/>
      <c r="B65" s="1855"/>
      <c r="C65" s="1856">
        <v>100</v>
      </c>
      <c r="D65" s="1856"/>
      <c r="E65" s="1856"/>
      <c r="F65" s="1856"/>
      <c r="G65" s="1856"/>
      <c r="H65" s="1856"/>
      <c r="I65" s="1856"/>
      <c r="J65" s="1856"/>
      <c r="K65" s="1856"/>
      <c r="L65" s="1856"/>
      <c r="M65" s="1857"/>
      <c r="N65" s="3019"/>
      <c r="O65" s="3019"/>
      <c r="P65" s="2058"/>
      <c r="Q65" s="1822"/>
    </row>
    <row r="66" spans="1:17" ht="28.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4.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4.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c r="A69" s="1854"/>
      <c r="B69" s="1867"/>
      <c r="C69" s="1868"/>
      <c r="D69" s="1868"/>
      <c r="E69" s="1868"/>
      <c r="F69" s="1868"/>
      <c r="G69" s="1868"/>
      <c r="H69" s="1868"/>
      <c r="I69" s="1868"/>
      <c r="J69" s="1868"/>
      <c r="K69" s="438"/>
      <c r="L69" s="438"/>
      <c r="M69" s="1869"/>
      <c r="N69" s="3018"/>
      <c r="O69" s="3018"/>
      <c r="P69" s="2058"/>
      <c r="Q69" s="1822"/>
    </row>
    <row r="70" spans="1:17" ht="14.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4.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4.5" thickBot="1">
      <c r="A72" s="1870"/>
      <c r="B72" s="1862"/>
      <c r="C72" s="1875"/>
      <c r="D72" s="1856"/>
      <c r="E72" s="1856"/>
      <c r="F72" s="1856"/>
      <c r="G72" s="1856"/>
      <c r="H72" s="1856"/>
      <c r="I72" s="1856"/>
      <c r="J72" s="1856"/>
      <c r="K72" s="1856"/>
      <c r="L72" s="1856"/>
      <c r="M72" s="1857"/>
      <c r="N72" s="3019"/>
      <c r="O72" s="3019"/>
      <c r="P72" s="2059"/>
      <c r="Q72" s="1874"/>
    </row>
    <row r="73" spans="1:17" s="1772" customFormat="1" ht="14.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4.5" thickBot="1">
      <c r="A74" s="1870"/>
      <c r="B74" s="1862"/>
      <c r="C74" s="1875"/>
      <c r="D74" s="1875"/>
      <c r="E74" s="1875"/>
      <c r="F74" s="1875"/>
      <c r="G74" s="1875"/>
      <c r="H74" s="1878"/>
      <c r="I74" s="1878"/>
      <c r="J74" s="1878"/>
      <c r="K74" s="1878"/>
      <c r="L74" s="1878"/>
      <c r="M74" s="1879"/>
      <c r="N74" s="3020"/>
      <c r="O74" s="3020"/>
      <c r="P74" s="2059"/>
      <c r="Q74" s="1874"/>
    </row>
    <row r="75" spans="1:17" s="1772" customFormat="1" ht="14.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4.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4.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4.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4.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4.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4.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4.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4.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4.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4.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8.5" thickTop="1">
      <c r="A87" s="1890"/>
      <c r="B87" s="1859" t="s">
        <v>2405</v>
      </c>
      <c r="C87" s="468"/>
      <c r="D87" s="468"/>
      <c r="E87" s="468"/>
      <c r="F87" s="468"/>
      <c r="G87" s="468"/>
      <c r="H87" s="468"/>
      <c r="I87" s="468"/>
      <c r="J87" s="468"/>
      <c r="K87" s="468"/>
      <c r="L87" s="468"/>
      <c r="M87" s="1891"/>
      <c r="N87" s="3017"/>
      <c r="O87" s="3017"/>
      <c r="P87" s="2058"/>
      <c r="Q87" s="1822"/>
    </row>
    <row r="88" spans="1:17" s="1685" customFormat="1" ht="14.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4.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4.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4.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4.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4.5" thickTop="1">
      <c r="A93" s="1854"/>
      <c r="B93" s="1859">
        <f>B29</f>
        <v>111</v>
      </c>
      <c r="C93" s="468"/>
      <c r="D93" s="468"/>
      <c r="E93" s="468"/>
      <c r="F93" s="468"/>
      <c r="G93" s="468"/>
      <c r="H93" s="468"/>
      <c r="I93" s="468"/>
      <c r="J93" s="468"/>
      <c r="K93" s="468"/>
      <c r="L93" s="468"/>
      <c r="M93" s="1891"/>
      <c r="N93" s="3018"/>
      <c r="O93" s="3018"/>
      <c r="P93" s="2058"/>
      <c r="Q93" s="1822"/>
    </row>
    <row r="94" spans="1:17" ht="14.5" thickBot="1">
      <c r="A94" s="1854"/>
      <c r="B94" s="1862"/>
      <c r="C94" s="1875"/>
      <c r="D94" s="1856"/>
      <c r="E94" s="1856"/>
      <c r="F94" s="1856"/>
      <c r="G94" s="1856"/>
      <c r="H94" s="1856"/>
      <c r="I94" s="1856"/>
      <c r="J94" s="1856"/>
      <c r="K94" s="1856"/>
      <c r="L94" s="1856"/>
      <c r="M94" s="1857"/>
      <c r="N94" s="3019"/>
      <c r="O94" s="3019"/>
      <c r="P94" s="2058"/>
      <c r="Q94" s="1822"/>
    </row>
    <row r="95" spans="1:17" ht="14.5" thickTop="1">
      <c r="A95" s="1854"/>
      <c r="B95" s="1859">
        <f>B30</f>
        <v>111</v>
      </c>
      <c r="C95" s="468"/>
      <c r="D95" s="468"/>
      <c r="E95" s="468"/>
      <c r="F95" s="468"/>
      <c r="G95" s="1578"/>
      <c r="H95" s="1578"/>
      <c r="I95" s="1578"/>
      <c r="J95" s="1578"/>
      <c r="K95" s="473"/>
      <c r="L95" s="473"/>
      <c r="M95" s="1894"/>
      <c r="N95" s="3018"/>
      <c r="O95" s="3018"/>
      <c r="P95" s="2058"/>
      <c r="Q95" s="1822"/>
    </row>
    <row r="96" spans="1:17" ht="14.5" thickBot="1">
      <c r="A96" s="1854"/>
      <c r="B96" s="1862"/>
      <c r="C96" s="1875"/>
      <c r="D96" s="1875"/>
      <c r="E96" s="1875"/>
      <c r="F96" s="1875"/>
      <c r="G96" s="1856"/>
      <c r="H96" s="1856"/>
      <c r="I96" s="1856"/>
      <c r="J96" s="1856"/>
      <c r="K96" s="1856"/>
      <c r="L96" s="1856"/>
      <c r="M96" s="1857"/>
      <c r="N96" s="3019"/>
      <c r="O96" s="3019"/>
      <c r="P96" s="2058"/>
      <c r="Q96" s="1822"/>
    </row>
    <row r="97" spans="1:17" ht="14.5" thickTop="1">
      <c r="A97" s="1854"/>
      <c r="B97" s="1859">
        <f>B31</f>
        <v>111</v>
      </c>
      <c r="C97" s="468"/>
      <c r="D97" s="468"/>
      <c r="E97" s="468"/>
      <c r="F97" s="468"/>
      <c r="G97" s="1578"/>
      <c r="H97" s="1578"/>
      <c r="I97" s="1578"/>
      <c r="J97" s="1578"/>
      <c r="K97" s="473"/>
      <c r="L97" s="473"/>
      <c r="M97" s="1894"/>
      <c r="N97" s="3018"/>
      <c r="O97" s="3018"/>
      <c r="P97" s="2058"/>
      <c r="Q97" s="1822"/>
    </row>
    <row r="98" spans="1:17" ht="14.5" thickBot="1">
      <c r="A98" s="1854"/>
      <c r="B98" s="1862"/>
      <c r="C98" s="1875"/>
      <c r="D98" s="1856"/>
      <c r="E98" s="1856"/>
      <c r="F98" s="1856"/>
      <c r="G98" s="1856"/>
      <c r="H98" s="1856"/>
      <c r="I98" s="1856"/>
      <c r="J98" s="1856"/>
      <c r="K98" s="1856"/>
      <c r="L98" s="1856"/>
      <c r="M98" s="1857"/>
      <c r="N98" s="3019"/>
      <c r="O98" s="3019"/>
      <c r="P98" s="2058"/>
      <c r="Q98" s="1822"/>
    </row>
    <row r="99" spans="1:17" ht="14.5" thickTop="1">
      <c r="A99" s="1854"/>
      <c r="B99" s="1865">
        <f>B32</f>
        <v>111</v>
      </c>
      <c r="C99" s="409"/>
      <c r="D99" s="409"/>
      <c r="E99" s="409"/>
      <c r="F99" s="409"/>
      <c r="G99" s="1895"/>
      <c r="H99" s="1895"/>
      <c r="I99" s="1895"/>
      <c r="J99" s="1895"/>
      <c r="K99" s="477"/>
      <c r="L99" s="477"/>
      <c r="M99" s="1896"/>
      <c r="N99" s="3018"/>
      <c r="O99" s="3018"/>
      <c r="P99" s="2058"/>
      <c r="Q99" s="1822"/>
    </row>
    <row r="100" spans="1:17" ht="14.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4.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4.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4.5" thickBot="1">
      <c r="A105" s="1870"/>
      <c r="B105" s="1862"/>
      <c r="C105" s="1875"/>
      <c r="D105" s="1856"/>
      <c r="E105" s="1856"/>
      <c r="F105" s="1856"/>
      <c r="G105" s="1856"/>
      <c r="H105" s="1856"/>
      <c r="I105" s="1856"/>
      <c r="J105" s="1856"/>
      <c r="K105" s="1856"/>
      <c r="L105" s="1856"/>
      <c r="M105" s="1857"/>
      <c r="N105" s="3019"/>
      <c r="O105" s="3019"/>
      <c r="P105" s="2059"/>
      <c r="Q105" s="1874"/>
    </row>
    <row r="106" spans="1:17" ht="14.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4.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4.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4.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4.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4.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4.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4.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4.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4.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4.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4.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4.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4.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4.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4.5" thickBot="1">
      <c r="A122" s="1870"/>
      <c r="B122" s="1855"/>
      <c r="C122" s="1875"/>
      <c r="D122" s="1875"/>
      <c r="E122" s="1875"/>
      <c r="F122" s="1875"/>
      <c r="G122" s="1875"/>
      <c r="H122" s="1875"/>
      <c r="I122" s="1875"/>
      <c r="J122" s="1875"/>
      <c r="K122" s="1875"/>
      <c r="L122" s="1875"/>
      <c r="M122" s="1875"/>
      <c r="N122" s="3020"/>
      <c r="O122" s="3020"/>
      <c r="P122" s="2059"/>
      <c r="Q122" s="1874"/>
    </row>
    <row r="123" spans="1:17" ht="14.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4.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28.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4.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4.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4.5" thickBot="1">
      <c r="A128" s="1870"/>
      <c r="B128" s="1862"/>
      <c r="C128" s="1875"/>
      <c r="D128" s="1856"/>
      <c r="E128" s="1856"/>
      <c r="F128" s="1856"/>
      <c r="G128" s="1875"/>
      <c r="H128" s="1878"/>
      <c r="I128" s="1878"/>
      <c r="J128" s="1878"/>
      <c r="K128" s="1878"/>
      <c r="L128" s="1878"/>
      <c r="M128" s="1879"/>
      <c r="N128" s="3020"/>
      <c r="O128" s="3020"/>
      <c r="P128" s="2059"/>
      <c r="Q128" s="1874"/>
    </row>
    <row r="129" spans="1:17" ht="14.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4.5" thickBot="1">
      <c r="A130" s="1854"/>
      <c r="B130" s="1862"/>
      <c r="C130" s="1875"/>
      <c r="D130" s="1875"/>
      <c r="E130" s="1875"/>
      <c r="F130" s="1875"/>
      <c r="G130" s="1856"/>
      <c r="H130" s="1856"/>
      <c r="I130" s="1856"/>
      <c r="J130" s="1856"/>
      <c r="K130" s="1856"/>
      <c r="L130" s="1856"/>
      <c r="M130" s="1857"/>
      <c r="N130" s="3019"/>
      <c r="O130" s="3019"/>
      <c r="P130" s="2058"/>
      <c r="Q130" s="1822"/>
    </row>
    <row r="131" spans="1:17" ht="14.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4.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54.91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498" t="s">
        <v>2254</v>
      </c>
      <c r="D4" s="3499"/>
      <c r="E4" s="3500" t="s">
        <v>2255</v>
      </c>
      <c r="F4" s="3501"/>
      <c r="G4" s="3498" t="s">
        <v>2256</v>
      </c>
      <c r="H4" s="3499"/>
      <c r="I4" s="3498" t="s">
        <v>2257</v>
      </c>
      <c r="J4" s="3499"/>
      <c r="K4" s="496" t="s">
        <v>2258</v>
      </c>
      <c r="L4" s="3027"/>
      <c r="M4" s="3028"/>
      <c r="N4" s="3028"/>
      <c r="O4" s="3028"/>
      <c r="P4" s="3502" t="s">
        <v>2259</v>
      </c>
      <c r="Q4" s="3503"/>
      <c r="R4" s="3485" t="s">
        <v>2255</v>
      </c>
      <c r="S4" s="3486"/>
      <c r="T4" s="3485" t="s">
        <v>2256</v>
      </c>
      <c r="U4" s="3486"/>
      <c r="V4" s="3508" t="s">
        <v>2257</v>
      </c>
      <c r="W4" s="3508"/>
      <c r="X4" s="1335"/>
      <c r="Y4" s="3485" t="s">
        <v>2259</v>
      </c>
      <c r="Z4" s="3486"/>
      <c r="AA4" s="3495" t="s">
        <v>2255</v>
      </c>
      <c r="AB4" s="3496" t="s">
        <v>2256</v>
      </c>
      <c r="AC4" s="3495" t="s">
        <v>2257</v>
      </c>
    </row>
    <row r="5" spans="1:29">
      <c r="A5" s="297"/>
      <c r="B5" s="298"/>
      <c r="C5" s="3511" t="s">
        <v>2260</v>
      </c>
      <c r="D5" s="3512"/>
      <c r="E5" s="3509" t="s">
        <v>2261</v>
      </c>
      <c r="F5" s="3510"/>
      <c r="G5" s="3511" t="s">
        <v>2262</v>
      </c>
      <c r="H5" s="3512"/>
      <c r="I5" s="3511" t="s">
        <v>2263</v>
      </c>
      <c r="J5" s="3512"/>
      <c r="K5" s="496"/>
      <c r="L5" s="3027"/>
      <c r="M5" s="3028"/>
      <c r="N5" s="3028"/>
      <c r="O5" s="3028"/>
      <c r="P5" s="3504"/>
      <c r="Q5" s="3505"/>
      <c r="R5" s="3487"/>
      <c r="S5" s="3488"/>
      <c r="T5" s="3487"/>
      <c r="U5" s="3488"/>
      <c r="V5" s="3508"/>
      <c r="W5" s="3508"/>
      <c r="X5" s="1335"/>
      <c r="Y5" s="3487"/>
      <c r="Z5" s="3488"/>
      <c r="AA5" s="3496"/>
      <c r="AB5" s="3496"/>
      <c r="AC5" s="3496"/>
    </row>
    <row r="6" spans="1:29" ht="15" thickBot="1">
      <c r="A6" s="299"/>
      <c r="B6" s="300"/>
      <c r="C6" s="3513" t="s">
        <v>2264</v>
      </c>
      <c r="D6" s="3514"/>
      <c r="E6" s="3515" t="s">
        <v>2264</v>
      </c>
      <c r="F6" s="3516"/>
      <c r="G6" s="3513" t="s">
        <v>2264</v>
      </c>
      <c r="H6" s="3514"/>
      <c r="I6" s="3513" t="s">
        <v>2264</v>
      </c>
      <c r="J6" s="3514"/>
      <c r="K6" s="496" t="s">
        <v>2265</v>
      </c>
      <c r="L6" s="3027"/>
      <c r="M6" s="3028"/>
      <c r="N6" s="3028"/>
      <c r="O6" s="3028"/>
      <c r="P6" s="3506"/>
      <c r="Q6" s="3507"/>
      <c r="R6" s="3487"/>
      <c r="S6" s="3488"/>
      <c r="T6" s="3489"/>
      <c r="U6" s="3490"/>
      <c r="V6" s="3508"/>
      <c r="W6" s="3508"/>
      <c r="X6" s="1335"/>
      <c r="Y6" s="3489"/>
      <c r="Z6" s="3490"/>
      <c r="AA6" s="3497"/>
      <c r="AB6" s="3497"/>
      <c r="AC6" s="3497"/>
    </row>
    <row r="7" spans="1:29" s="25" customFormat="1" ht="14.5" thickBot="1">
      <c r="A7" s="301" t="s">
        <v>2266</v>
      </c>
      <c r="B7" s="302"/>
      <c r="C7" s="303">
        <f>'数据-取费表'!B2</f>
        <v>44062</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83" t="s">
        <v>2267</v>
      </c>
      <c r="Q7" s="3491"/>
      <c r="R7" s="627" t="s">
        <v>25</v>
      </c>
      <c r="S7" s="628">
        <f t="shared" ref="S7:S15" si="0">F7</f>
        <v>0</v>
      </c>
      <c r="T7" s="627" t="s">
        <v>25</v>
      </c>
      <c r="U7" s="628">
        <f t="shared" ref="U7:U15" si="1">H7</f>
        <v>0</v>
      </c>
      <c r="V7" s="627" t="s">
        <v>25</v>
      </c>
      <c r="W7" s="628">
        <f t="shared" ref="W7:W15" si="2">J7</f>
        <v>0</v>
      </c>
      <c r="X7" s="629"/>
      <c r="Y7" s="3483" t="s">
        <v>2267</v>
      </c>
      <c r="Z7" s="3484"/>
      <c r="AA7" s="630" t="e">
        <f>D7/F7</f>
        <v>#DIV/0!</v>
      </c>
      <c r="AB7" s="630" t="e">
        <f>D7/H7</f>
        <v>#DIV/0!</v>
      </c>
      <c r="AC7" s="630" t="e">
        <f>D7/J7</f>
        <v>#DIV/0!</v>
      </c>
    </row>
    <row r="8" spans="1:29" s="25" customFormat="1" ht="14.5" thickBot="1">
      <c r="A8" s="301" t="s">
        <v>2268</v>
      </c>
      <c r="B8" s="302"/>
      <c r="C8" s="307" t="s">
        <v>2889</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83" t="s">
        <v>2270</v>
      </c>
      <c r="Q8" s="3484"/>
      <c r="R8" s="627" t="s">
        <v>25</v>
      </c>
      <c r="S8" s="628">
        <f t="shared" si="0"/>
        <v>0</v>
      </c>
      <c r="T8" s="627" t="s">
        <v>25</v>
      </c>
      <c r="U8" s="628">
        <f t="shared" si="1"/>
        <v>0</v>
      </c>
      <c r="V8" s="627" t="s">
        <v>25</v>
      </c>
      <c r="W8" s="628">
        <f t="shared" si="2"/>
        <v>0</v>
      </c>
      <c r="X8" s="629"/>
      <c r="Y8" s="3483" t="s">
        <v>2270</v>
      </c>
      <c r="Z8" s="3484"/>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75" t="s">
        <v>2273</v>
      </c>
      <c r="Q9" s="1327" t="str">
        <f t="shared" ref="Q9:Q15" si="6">B9</f>
        <v>用途</v>
      </c>
      <c r="R9" s="627" t="s">
        <v>25</v>
      </c>
      <c r="S9" s="628">
        <f t="shared" si="0"/>
        <v>100</v>
      </c>
      <c r="T9" s="627" t="s">
        <v>25</v>
      </c>
      <c r="U9" s="628">
        <f t="shared" si="1"/>
        <v>100</v>
      </c>
      <c r="V9" s="627" t="s">
        <v>25</v>
      </c>
      <c r="W9" s="628">
        <f t="shared" si="2"/>
        <v>100</v>
      </c>
      <c r="X9" s="629"/>
      <c r="Y9" s="3494" t="s">
        <v>2274</v>
      </c>
      <c r="Z9" s="19" t="str">
        <f t="shared" ref="Z9:Z15" si="7">Q9</f>
        <v>用途</v>
      </c>
      <c r="AA9" s="630">
        <f t="shared" si="3"/>
        <v>1</v>
      </c>
      <c r="AB9" s="630">
        <f t="shared" si="4"/>
        <v>1</v>
      </c>
      <c r="AC9" s="630">
        <f t="shared" si="5"/>
        <v>1</v>
      </c>
    </row>
    <row r="10" spans="1:29" s="317" customFormat="1" ht="2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75"/>
      <c r="Q11" s="1327" t="str">
        <f t="shared" si="6"/>
        <v>容积率</v>
      </c>
      <c r="R11" s="627" t="s">
        <v>25</v>
      </c>
      <c r="S11" s="628" t="e">
        <f t="shared" si="0"/>
        <v>#N/A</v>
      </c>
      <c r="T11" s="627" t="s">
        <v>25</v>
      </c>
      <c r="U11" s="628" t="e">
        <f t="shared" si="1"/>
        <v>#N/A</v>
      </c>
      <c r="V11" s="627" t="s">
        <v>25</v>
      </c>
      <c r="W11" s="628" t="e">
        <f t="shared" si="2"/>
        <v>#N/A</v>
      </c>
      <c r="X11" s="629"/>
      <c r="Y11" s="3494"/>
      <c r="Z11" s="19" t="str">
        <f t="shared" si="7"/>
        <v>容积率</v>
      </c>
      <c r="AA11" s="630" t="e">
        <f t="shared" si="3"/>
        <v>#N/A</v>
      </c>
      <c r="AB11" s="630" t="e">
        <f t="shared" si="4"/>
        <v>#N/A</v>
      </c>
      <c r="AC11" s="630" t="e">
        <f t="shared" si="5"/>
        <v>#N/A</v>
      </c>
    </row>
    <row r="12" spans="1:29" s="25" customFormat="1" ht="15.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75"/>
      <c r="Q14" s="1327">
        <f t="shared" si="6"/>
        <v>111</v>
      </c>
      <c r="R14" s="627" t="s">
        <v>25</v>
      </c>
      <c r="S14" s="628">
        <f t="shared" si="0"/>
        <v>100</v>
      </c>
      <c r="T14" s="627" t="s">
        <v>25</v>
      </c>
      <c r="U14" s="628">
        <f t="shared" si="1"/>
        <v>100</v>
      </c>
      <c r="V14" s="627" t="s">
        <v>25</v>
      </c>
      <c r="W14" s="628">
        <f t="shared" si="2"/>
        <v>100</v>
      </c>
      <c r="X14" s="629"/>
      <c r="Y14" s="3494"/>
      <c r="Z14" s="19">
        <f t="shared" si="7"/>
        <v>111</v>
      </c>
      <c r="AA14" s="630">
        <f t="shared" si="3"/>
        <v>1</v>
      </c>
      <c r="AB14" s="630">
        <f t="shared" si="4"/>
        <v>1</v>
      </c>
      <c r="AC14" s="630">
        <f t="shared" si="5"/>
        <v>1</v>
      </c>
    </row>
    <row r="15" spans="1:29" ht="70">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2" t="s">
        <v>2278</v>
      </c>
      <c r="Q15" s="1334" t="str">
        <f t="shared" si="6"/>
        <v>产业集聚程度</v>
      </c>
      <c r="R15" s="631" t="s">
        <v>25</v>
      </c>
      <c r="S15" s="632">
        <f t="shared" si="0"/>
        <v>100</v>
      </c>
      <c r="T15" s="631" t="s">
        <v>25</v>
      </c>
      <c r="U15" s="632">
        <f t="shared" si="1"/>
        <v>100</v>
      </c>
      <c r="V15" s="631" t="s">
        <v>25</v>
      </c>
      <c r="W15" s="632">
        <f t="shared" si="2"/>
        <v>100</v>
      </c>
      <c r="X15" s="1335"/>
      <c r="Y15" s="3492" t="s">
        <v>2278</v>
      </c>
      <c r="Z15" s="1336" t="str">
        <f t="shared" si="7"/>
        <v>产业集聚程度</v>
      </c>
      <c r="AA15" s="1337">
        <f t="shared" si="3"/>
        <v>1</v>
      </c>
      <c r="AB15" s="1337">
        <f t="shared" si="4"/>
        <v>1</v>
      </c>
      <c r="AC15" s="1337">
        <f t="shared" si="5"/>
        <v>1</v>
      </c>
    </row>
    <row r="16" spans="1:29" ht="15.5">
      <c r="A16" s="318"/>
      <c r="B16" s="334"/>
      <c r="C16" s="335"/>
      <c r="D16" s="336"/>
      <c r="E16" s="335"/>
      <c r="F16" s="338"/>
      <c r="G16" s="335"/>
      <c r="H16" s="339"/>
      <c r="I16" s="335"/>
      <c r="J16" s="336"/>
      <c r="K16" s="501"/>
      <c r="L16" s="3037"/>
      <c r="M16" s="3028"/>
      <c r="N16" s="3028"/>
      <c r="O16" s="3036"/>
      <c r="P16" s="3493"/>
      <c r="Q16" s="1334"/>
      <c r="R16" s="631"/>
      <c r="S16" s="632"/>
      <c r="T16" s="631"/>
      <c r="U16" s="632"/>
      <c r="V16" s="631"/>
      <c r="W16" s="632"/>
      <c r="X16" s="1335"/>
      <c r="Y16" s="3493"/>
      <c r="Z16" s="1336"/>
      <c r="AA16" s="1337">
        <v>1</v>
      </c>
      <c r="AB16" s="1337">
        <v>1</v>
      </c>
      <c r="AC16" s="1337">
        <v>1</v>
      </c>
    </row>
    <row r="17" spans="1:29" ht="98">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3"/>
      <c r="Q17" s="1334" t="str">
        <f>B17</f>
        <v>交通便捷度</v>
      </c>
      <c r="R17" s="631" t="s">
        <v>25</v>
      </c>
      <c r="S17" s="632">
        <f>F17</f>
        <v>100</v>
      </c>
      <c r="T17" s="631" t="s">
        <v>25</v>
      </c>
      <c r="U17" s="632">
        <f>H17</f>
        <v>100</v>
      </c>
      <c r="V17" s="631" t="s">
        <v>25</v>
      </c>
      <c r="W17" s="632">
        <f>J17</f>
        <v>100</v>
      </c>
      <c r="X17" s="1335"/>
      <c r="Y17" s="3493"/>
      <c r="Z17" s="1336" t="str">
        <f>Q17</f>
        <v>交通便捷度</v>
      </c>
      <c r="AA17" s="1337">
        <f t="shared" si="3"/>
        <v>1</v>
      </c>
      <c r="AB17" s="1337">
        <f t="shared" si="4"/>
        <v>1</v>
      </c>
      <c r="AC17" s="1337">
        <f t="shared" si="5"/>
        <v>1</v>
      </c>
    </row>
    <row r="18" spans="1:29" ht="15.5">
      <c r="A18" s="318"/>
      <c r="B18" s="345"/>
      <c r="C18" s="346"/>
      <c r="D18" s="339"/>
      <c r="E18" s="1131"/>
      <c r="F18" s="342"/>
      <c r="G18" s="1568"/>
      <c r="H18" s="336"/>
      <c r="I18" s="1131"/>
      <c r="J18" s="336"/>
      <c r="K18" s="501"/>
      <c r="L18" s="3037"/>
      <c r="M18" s="3028"/>
      <c r="N18" s="3028"/>
      <c r="O18" s="3036"/>
      <c r="P18" s="3493"/>
      <c r="Q18" s="1334"/>
      <c r="R18" s="631"/>
      <c r="S18" s="632"/>
      <c r="T18" s="631"/>
      <c r="U18" s="632"/>
      <c r="V18" s="631"/>
      <c r="W18" s="632"/>
      <c r="X18" s="1335"/>
      <c r="Y18" s="3493"/>
      <c r="Z18" s="1336"/>
      <c r="AA18" s="1337">
        <v>1</v>
      </c>
      <c r="AB18" s="1337">
        <v>1</v>
      </c>
      <c r="AC18" s="1337">
        <v>1</v>
      </c>
    </row>
    <row r="19" spans="1:29" ht="42">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3"/>
      <c r="Q19" s="1334" t="str">
        <f>B19</f>
        <v>公共配套设施</v>
      </c>
      <c r="R19" s="631" t="s">
        <v>25</v>
      </c>
      <c r="S19" s="632">
        <f>F19</f>
        <v>100</v>
      </c>
      <c r="T19" s="631" t="s">
        <v>25</v>
      </c>
      <c r="U19" s="632">
        <f>H19</f>
        <v>100</v>
      </c>
      <c r="V19" s="631" t="s">
        <v>25</v>
      </c>
      <c r="W19" s="632">
        <f>J19</f>
        <v>100</v>
      </c>
      <c r="X19" s="1335"/>
      <c r="Y19" s="3493"/>
      <c r="Z19" s="1336" t="str">
        <f>Q19</f>
        <v>公共配套设施</v>
      </c>
      <c r="AA19" s="1337">
        <f t="shared" si="3"/>
        <v>1</v>
      </c>
      <c r="AB19" s="1337">
        <f t="shared" si="4"/>
        <v>1</v>
      </c>
      <c r="AC19" s="1337">
        <f t="shared" si="5"/>
        <v>1</v>
      </c>
    </row>
    <row r="20" spans="1:29" ht="15.5">
      <c r="A20" s="318"/>
      <c r="B20" s="514"/>
      <c r="C20" s="335"/>
      <c r="D20" s="336"/>
      <c r="E20" s="337"/>
      <c r="F20" s="338"/>
      <c r="G20" s="1566"/>
      <c r="H20" s="336"/>
      <c r="I20" s="337"/>
      <c r="J20" s="336"/>
      <c r="K20" s="501"/>
      <c r="L20" s="3037"/>
      <c r="M20" s="3028"/>
      <c r="N20" s="3028"/>
      <c r="O20" s="3036"/>
      <c r="P20" s="3493"/>
      <c r="Q20" s="1334"/>
      <c r="R20" s="631"/>
      <c r="S20" s="632"/>
      <c r="T20" s="631"/>
      <c r="U20" s="632"/>
      <c r="V20" s="631"/>
      <c r="W20" s="632"/>
      <c r="X20" s="1335"/>
      <c r="Y20" s="3493"/>
      <c r="Z20" s="1336"/>
      <c r="AA20" s="1337">
        <v>1</v>
      </c>
      <c r="AB20" s="1337">
        <v>1</v>
      </c>
      <c r="AC20" s="1337">
        <v>1</v>
      </c>
    </row>
    <row r="21" spans="1:29" ht="42">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3"/>
      <c r="Q21" s="1334" t="str">
        <f>B21</f>
        <v>基础设施水平</v>
      </c>
      <c r="R21" s="631" t="s">
        <v>25</v>
      </c>
      <c r="S21" s="632">
        <f>F21</f>
        <v>100</v>
      </c>
      <c r="T21" s="631" t="s">
        <v>25</v>
      </c>
      <c r="U21" s="632">
        <f>H21</f>
        <v>100</v>
      </c>
      <c r="V21" s="631" t="s">
        <v>25</v>
      </c>
      <c r="W21" s="632">
        <f>J21</f>
        <v>100</v>
      </c>
      <c r="X21" s="1335"/>
      <c r="Y21" s="3493"/>
      <c r="Z21" s="1336" t="str">
        <f>Q21</f>
        <v>基础设施水平</v>
      </c>
      <c r="AA21" s="1337">
        <f t="shared" ref="AA21" si="8">D21/F21</f>
        <v>1</v>
      </c>
      <c r="AB21" s="1337">
        <f t="shared" ref="AB21" si="9">D21/H21</f>
        <v>1</v>
      </c>
      <c r="AC21" s="1337">
        <f t="shared" ref="AC21" si="10">D21/J21</f>
        <v>1</v>
      </c>
    </row>
    <row r="22" spans="1:29" ht="15.5">
      <c r="A22" s="318"/>
      <c r="B22" s="1569"/>
      <c r="C22" s="346"/>
      <c r="D22" s="336"/>
      <c r="E22" s="335"/>
      <c r="F22" s="338"/>
      <c r="G22" s="335"/>
      <c r="H22" s="336"/>
      <c r="I22" s="335"/>
      <c r="J22" s="336"/>
      <c r="K22" s="1132"/>
      <c r="L22" s="3037"/>
      <c r="M22" s="3028"/>
      <c r="N22" s="3028"/>
      <c r="O22" s="3036"/>
      <c r="P22" s="3493"/>
      <c r="Q22" s="1334"/>
      <c r="R22" s="631"/>
      <c r="S22" s="632"/>
      <c r="T22" s="631"/>
      <c r="U22" s="632"/>
      <c r="V22" s="631"/>
      <c r="W22" s="632"/>
      <c r="X22" s="1335"/>
      <c r="Y22" s="3493"/>
      <c r="Z22" s="1336"/>
      <c r="AA22" s="1337">
        <v>1</v>
      </c>
      <c r="AB22" s="1337">
        <v>1</v>
      </c>
      <c r="AC22" s="1337">
        <v>1</v>
      </c>
    </row>
    <row r="23" spans="1:29" ht="84">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3"/>
      <c r="Q23" s="1334" t="str">
        <f>B23</f>
        <v>环境质量</v>
      </c>
      <c r="R23" s="631" t="s">
        <v>25</v>
      </c>
      <c r="S23" s="632">
        <f>F23</f>
        <v>100</v>
      </c>
      <c r="T23" s="631" t="s">
        <v>25</v>
      </c>
      <c r="U23" s="632">
        <f>H23</f>
        <v>100</v>
      </c>
      <c r="V23" s="631" t="s">
        <v>25</v>
      </c>
      <c r="W23" s="632">
        <f>J23</f>
        <v>100</v>
      </c>
      <c r="X23" s="1335"/>
      <c r="Y23" s="3493"/>
      <c r="Z23" s="1336" t="str">
        <f>Q23</f>
        <v>环境质量</v>
      </c>
      <c r="AA23" s="1337">
        <f t="shared" si="3"/>
        <v>1</v>
      </c>
      <c r="AB23" s="1337">
        <f t="shared" si="4"/>
        <v>1</v>
      </c>
      <c r="AC23" s="1337">
        <f t="shared" si="5"/>
        <v>1</v>
      </c>
    </row>
    <row r="24" spans="1:29" ht="15.5">
      <c r="A24" s="318"/>
      <c r="B24" s="1569"/>
      <c r="C24" s="335"/>
      <c r="D24" s="336"/>
      <c r="E24" s="337"/>
      <c r="F24" s="338"/>
      <c r="G24" s="1566"/>
      <c r="H24" s="336"/>
      <c r="I24" s="337"/>
      <c r="J24" s="336"/>
      <c r="K24" s="501"/>
      <c r="L24" s="3037"/>
      <c r="M24" s="3028"/>
      <c r="N24" s="3028"/>
      <c r="O24" s="3036"/>
      <c r="P24" s="3493"/>
      <c r="Q24" s="1334"/>
      <c r="R24" s="631"/>
      <c r="S24" s="632"/>
      <c r="T24" s="631"/>
      <c r="U24" s="632"/>
      <c r="V24" s="631"/>
      <c r="W24" s="632"/>
      <c r="X24" s="1335"/>
      <c r="Y24" s="3493"/>
      <c r="Z24" s="1336"/>
      <c r="AA24" s="1337">
        <v>1</v>
      </c>
      <c r="AB24" s="1337">
        <v>1</v>
      </c>
      <c r="AC24" s="1337">
        <v>1</v>
      </c>
    </row>
    <row r="25" spans="1:29" ht="15.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3"/>
      <c r="Q25" s="1334">
        <f>B25</f>
        <v>111</v>
      </c>
      <c r="R25" s="631" t="s">
        <v>25</v>
      </c>
      <c r="S25" s="632">
        <f>F25</f>
        <v>100</v>
      </c>
      <c r="T25" s="631" t="s">
        <v>25</v>
      </c>
      <c r="U25" s="632">
        <f>H25</f>
        <v>100</v>
      </c>
      <c r="V25" s="631" t="s">
        <v>25</v>
      </c>
      <c r="W25" s="632">
        <f>J25</f>
        <v>100</v>
      </c>
      <c r="X25" s="1335"/>
      <c r="Y25" s="3493"/>
      <c r="Z25" s="1336">
        <f>Q25</f>
        <v>111</v>
      </c>
      <c r="AA25" s="1337">
        <f t="shared" si="3"/>
        <v>1</v>
      </c>
      <c r="AB25" s="1337">
        <f t="shared" si="4"/>
        <v>1</v>
      </c>
      <c r="AC25" s="1337">
        <f t="shared" si="5"/>
        <v>1</v>
      </c>
    </row>
    <row r="26" spans="1:29" ht="15.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3"/>
      <c r="Q26" s="1334">
        <f t="shared" ref="Q26:Q40" si="11">B26</f>
        <v>111</v>
      </c>
      <c r="R26" s="631" t="s">
        <v>25</v>
      </c>
      <c r="S26" s="632">
        <f>F26</f>
        <v>100</v>
      </c>
      <c r="T26" s="631" t="s">
        <v>25</v>
      </c>
      <c r="U26" s="632">
        <f>H26</f>
        <v>100</v>
      </c>
      <c r="V26" s="631" t="s">
        <v>25</v>
      </c>
      <c r="W26" s="632">
        <f>J26</f>
        <v>100</v>
      </c>
      <c r="X26" s="1335"/>
      <c r="Y26" s="3493"/>
      <c r="Z26" s="1336">
        <f>Q26</f>
        <v>111</v>
      </c>
      <c r="AA26" s="1337">
        <f t="shared" si="3"/>
        <v>1</v>
      </c>
      <c r="AB26" s="1337">
        <f t="shared" si="4"/>
        <v>1</v>
      </c>
      <c r="AC26" s="1337">
        <f t="shared" si="5"/>
        <v>1</v>
      </c>
    </row>
    <row r="27" spans="1:29" s="25" customFormat="1" ht="15.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3"/>
      <c r="Q27" s="1327">
        <f t="shared" si="11"/>
        <v>111</v>
      </c>
      <c r="R27" s="627" t="s">
        <v>25</v>
      </c>
      <c r="S27" s="628">
        <f>F27</f>
        <v>100</v>
      </c>
      <c r="T27" s="627" t="s">
        <v>25</v>
      </c>
      <c r="U27" s="628">
        <f>H27</f>
        <v>100</v>
      </c>
      <c r="V27" s="627" t="s">
        <v>25</v>
      </c>
      <c r="W27" s="628">
        <f>J27</f>
        <v>100</v>
      </c>
      <c r="X27" s="629"/>
      <c r="Y27" s="3493"/>
      <c r="Z27" s="19">
        <f>Q27</f>
        <v>111</v>
      </c>
      <c r="AA27" s="1337">
        <f>D27/F27</f>
        <v>1</v>
      </c>
      <c r="AB27" s="1337">
        <f>D27/H27</f>
        <v>1</v>
      </c>
      <c r="AC27" s="1337">
        <f>D27/J27</f>
        <v>1</v>
      </c>
    </row>
    <row r="28" spans="1:29" ht="1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3"/>
      <c r="Q28" s="1334">
        <f t="shared" si="11"/>
        <v>111</v>
      </c>
      <c r="R28" s="631" t="s">
        <v>25</v>
      </c>
      <c r="S28" s="632">
        <f t="shared" ref="S28:S40" si="12">F28</f>
        <v>100</v>
      </c>
      <c r="T28" s="631" t="s">
        <v>25</v>
      </c>
      <c r="U28" s="632">
        <f t="shared" ref="U28:U40" si="13">H28</f>
        <v>100</v>
      </c>
      <c r="V28" s="631" t="s">
        <v>25</v>
      </c>
      <c r="W28" s="632">
        <f t="shared" ref="W28:W40" si="14">J28</f>
        <v>100</v>
      </c>
      <c r="X28" s="1335"/>
      <c r="Y28" s="3493"/>
      <c r="Z28" s="1336">
        <f t="shared" ref="Z28:Z40" si="15">Q28</f>
        <v>111</v>
      </c>
      <c r="AA28" s="1337">
        <f t="shared" si="3"/>
        <v>1</v>
      </c>
      <c r="AB28" s="1337">
        <f t="shared" si="4"/>
        <v>1</v>
      </c>
      <c r="AC28" s="1337">
        <f t="shared" si="5"/>
        <v>1</v>
      </c>
    </row>
    <row r="29" spans="1:29" ht="29">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80" t="s">
        <v>2284</v>
      </c>
      <c r="Q29" s="1334" t="str">
        <f t="shared" si="11"/>
        <v>建筑类型</v>
      </c>
      <c r="R29" s="631" t="s">
        <v>25</v>
      </c>
      <c r="S29" s="632">
        <f t="shared" si="12"/>
        <v>100</v>
      </c>
      <c r="T29" s="631" t="s">
        <v>25</v>
      </c>
      <c r="U29" s="632">
        <f t="shared" si="13"/>
        <v>100</v>
      </c>
      <c r="V29" s="631" t="s">
        <v>25</v>
      </c>
      <c r="W29" s="632">
        <f t="shared" si="14"/>
        <v>100</v>
      </c>
      <c r="X29" s="1335"/>
      <c r="Y29" s="3481" t="s">
        <v>2284</v>
      </c>
      <c r="Z29" s="1336" t="str">
        <f t="shared" si="15"/>
        <v>建筑类型</v>
      </c>
      <c r="AA29" s="1337">
        <f t="shared" si="3"/>
        <v>1</v>
      </c>
      <c r="AB29" s="1337">
        <f t="shared" si="4"/>
        <v>1</v>
      </c>
      <c r="AC29" s="1337">
        <f t="shared" si="5"/>
        <v>1</v>
      </c>
    </row>
    <row r="30" spans="1:29" s="359" customFormat="1" ht="15.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81"/>
      <c r="Q30" s="633" t="str">
        <f t="shared" si="11"/>
        <v>项目建筑规模</v>
      </c>
      <c r="R30" s="634" t="s">
        <v>25</v>
      </c>
      <c r="S30" s="635" t="e">
        <f t="shared" si="12"/>
        <v>#N/A</v>
      </c>
      <c r="T30" s="634" t="s">
        <v>25</v>
      </c>
      <c r="U30" s="635" t="e">
        <f t="shared" si="13"/>
        <v>#N/A</v>
      </c>
      <c r="V30" s="634" t="s">
        <v>25</v>
      </c>
      <c r="W30" s="635" t="e">
        <f t="shared" si="14"/>
        <v>#N/A</v>
      </c>
      <c r="X30" s="636"/>
      <c r="Y30" s="3481"/>
      <c r="Z30" s="637" t="str">
        <f t="shared" si="15"/>
        <v>项目建筑规模</v>
      </c>
      <c r="AA30" s="1337" t="e">
        <f t="shared" si="3"/>
        <v>#N/A</v>
      </c>
      <c r="AB30" s="1337" t="e">
        <f t="shared" si="4"/>
        <v>#N/A</v>
      </c>
      <c r="AC30" s="1337" t="e">
        <f t="shared" si="5"/>
        <v>#N/A</v>
      </c>
    </row>
    <row r="31" spans="1:29" ht="15.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81"/>
      <c r="Q31" s="1334" t="str">
        <f t="shared" si="11"/>
        <v>建筑结构</v>
      </c>
      <c r="R31" s="631" t="s">
        <v>25</v>
      </c>
      <c r="S31" s="632">
        <f t="shared" si="12"/>
        <v>100</v>
      </c>
      <c r="T31" s="631" t="s">
        <v>25</v>
      </c>
      <c r="U31" s="632">
        <f t="shared" si="13"/>
        <v>100</v>
      </c>
      <c r="V31" s="631" t="s">
        <v>25</v>
      </c>
      <c r="W31" s="632">
        <f t="shared" si="14"/>
        <v>100</v>
      </c>
      <c r="X31" s="1335"/>
      <c r="Y31" s="3481"/>
      <c r="Z31" s="1336" t="str">
        <f t="shared" si="15"/>
        <v>建筑结构</v>
      </c>
      <c r="AA31" s="1337">
        <f t="shared" si="3"/>
        <v>1</v>
      </c>
      <c r="AB31" s="1337">
        <f t="shared" si="4"/>
        <v>1</v>
      </c>
      <c r="AC31" s="1337">
        <f t="shared" si="5"/>
        <v>1</v>
      </c>
    </row>
    <row r="32" spans="1:29" ht="15.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81"/>
      <c r="Q32" s="1334" t="str">
        <f t="shared" si="11"/>
        <v>公共部分装修</v>
      </c>
      <c r="R32" s="631" t="s">
        <v>25</v>
      </c>
      <c r="S32" s="632">
        <f t="shared" si="12"/>
        <v>100</v>
      </c>
      <c r="T32" s="631" t="s">
        <v>25</v>
      </c>
      <c r="U32" s="632">
        <f t="shared" si="13"/>
        <v>100</v>
      </c>
      <c r="V32" s="631" t="s">
        <v>25</v>
      </c>
      <c r="W32" s="632">
        <f t="shared" si="14"/>
        <v>100</v>
      </c>
      <c r="X32" s="1335"/>
      <c r="Y32" s="3481"/>
      <c r="Z32" s="1336" t="str">
        <f t="shared" si="15"/>
        <v>公共部分装修</v>
      </c>
      <c r="AA32" s="1337">
        <f t="shared" si="3"/>
        <v>1</v>
      </c>
      <c r="AB32" s="1337">
        <f t="shared" si="4"/>
        <v>1</v>
      </c>
      <c r="AC32" s="1337">
        <f t="shared" si="5"/>
        <v>1</v>
      </c>
    </row>
    <row r="33" spans="1:29" ht="15.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81"/>
      <c r="Q33" s="1334" t="str">
        <f t="shared" si="11"/>
        <v>成新度</v>
      </c>
      <c r="R33" s="631" t="s">
        <v>25</v>
      </c>
      <c r="S33" s="632" t="e">
        <f t="shared" si="12"/>
        <v>#N/A</v>
      </c>
      <c r="T33" s="631" t="s">
        <v>25</v>
      </c>
      <c r="U33" s="632" t="e">
        <f t="shared" si="13"/>
        <v>#N/A</v>
      </c>
      <c r="V33" s="631" t="s">
        <v>25</v>
      </c>
      <c r="W33" s="632" t="e">
        <f t="shared" si="14"/>
        <v>#N/A</v>
      </c>
      <c r="X33" s="1335"/>
      <c r="Y33" s="3481"/>
      <c r="Z33" s="1336" t="str">
        <f t="shared" si="15"/>
        <v>成新度</v>
      </c>
      <c r="AA33" s="1337" t="e">
        <f t="shared" si="3"/>
        <v>#N/A</v>
      </c>
      <c r="AB33" s="1337" t="e">
        <f t="shared" si="4"/>
        <v>#N/A</v>
      </c>
      <c r="AC33" s="1337" t="e">
        <f t="shared" si="5"/>
        <v>#N/A</v>
      </c>
    </row>
    <row r="34" spans="1:29" s="25" customFormat="1" ht="15.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81"/>
      <c r="Q34" s="1327" t="str">
        <f t="shared" si="11"/>
        <v>物业管理</v>
      </c>
      <c r="R34" s="627" t="s">
        <v>25</v>
      </c>
      <c r="S34" s="628">
        <f t="shared" si="12"/>
        <v>100</v>
      </c>
      <c r="T34" s="627" t="s">
        <v>25</v>
      </c>
      <c r="U34" s="628">
        <f t="shared" si="13"/>
        <v>100</v>
      </c>
      <c r="V34" s="627" t="s">
        <v>25</v>
      </c>
      <c r="W34" s="628">
        <f t="shared" si="14"/>
        <v>100</v>
      </c>
      <c r="X34" s="629"/>
      <c r="Y34" s="3481"/>
      <c r="Z34" s="19" t="str">
        <f t="shared" si="15"/>
        <v>物业管理</v>
      </c>
      <c r="AA34" s="630">
        <f t="shared" si="3"/>
        <v>1</v>
      </c>
      <c r="AB34" s="630">
        <f t="shared" si="4"/>
        <v>1</v>
      </c>
      <c r="AC34" s="630">
        <f t="shared" si="5"/>
        <v>1</v>
      </c>
    </row>
    <row r="35" spans="1:29" ht="15.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81" t="s">
        <v>2284</v>
      </c>
      <c r="Q35" s="1334" t="str">
        <f t="shared" si="11"/>
        <v>市政基础设施</v>
      </c>
      <c r="R35" s="631" t="s">
        <v>25</v>
      </c>
      <c r="S35" s="632">
        <f t="shared" si="12"/>
        <v>100</v>
      </c>
      <c r="T35" s="631" t="s">
        <v>25</v>
      </c>
      <c r="U35" s="632">
        <f t="shared" si="13"/>
        <v>100</v>
      </c>
      <c r="V35" s="631" t="s">
        <v>25</v>
      </c>
      <c r="W35" s="632">
        <f t="shared" si="14"/>
        <v>100</v>
      </c>
      <c r="X35" s="1335"/>
      <c r="Y35" s="3481" t="s">
        <v>2284</v>
      </c>
      <c r="Z35" s="1336" t="str">
        <f t="shared" si="15"/>
        <v>市政基础设施</v>
      </c>
      <c r="AA35" s="1337">
        <f t="shared" si="3"/>
        <v>1</v>
      </c>
      <c r="AB35" s="1337">
        <f t="shared" si="4"/>
        <v>1</v>
      </c>
      <c r="AC35" s="1337">
        <f t="shared" si="5"/>
        <v>1</v>
      </c>
    </row>
    <row r="36" spans="1:29" ht="15.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81"/>
      <c r="Q36" s="1334" t="str">
        <f t="shared" si="11"/>
        <v>内部装修</v>
      </c>
      <c r="R36" s="631" t="s">
        <v>25</v>
      </c>
      <c r="S36" s="632">
        <f t="shared" si="12"/>
        <v>100</v>
      </c>
      <c r="T36" s="631" t="s">
        <v>25</v>
      </c>
      <c r="U36" s="632">
        <f t="shared" si="13"/>
        <v>100</v>
      </c>
      <c r="V36" s="631" t="s">
        <v>25</v>
      </c>
      <c r="W36" s="632">
        <f t="shared" si="14"/>
        <v>100</v>
      </c>
      <c r="X36" s="1335"/>
      <c r="Y36" s="3481"/>
      <c r="Z36" s="1336" t="str">
        <f t="shared" si="15"/>
        <v>内部装修</v>
      </c>
      <c r="AA36" s="1337">
        <f t="shared" si="3"/>
        <v>1</v>
      </c>
      <c r="AB36" s="1337">
        <f t="shared" si="4"/>
        <v>1</v>
      </c>
      <c r="AC36" s="1337">
        <f t="shared" si="5"/>
        <v>1</v>
      </c>
    </row>
    <row r="37" spans="1:29" ht="15.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81"/>
      <c r="Q37" s="1334" t="str">
        <f t="shared" si="11"/>
        <v>内部装修状况</v>
      </c>
      <c r="R37" s="631" t="s">
        <v>25</v>
      </c>
      <c r="S37" s="632">
        <f t="shared" si="12"/>
        <v>100</v>
      </c>
      <c r="T37" s="631" t="s">
        <v>25</v>
      </c>
      <c r="U37" s="632">
        <f t="shared" si="13"/>
        <v>100</v>
      </c>
      <c r="V37" s="631" t="s">
        <v>25</v>
      </c>
      <c r="W37" s="632">
        <f t="shared" si="14"/>
        <v>100</v>
      </c>
      <c r="X37" s="1335"/>
      <c r="Y37" s="3481"/>
      <c r="Z37" s="1336" t="str">
        <f t="shared" si="15"/>
        <v>内部装修状况</v>
      </c>
      <c r="AA37" s="1337">
        <f t="shared" si="3"/>
        <v>1</v>
      </c>
      <c r="AB37" s="1337">
        <f t="shared" si="4"/>
        <v>1</v>
      </c>
      <c r="AC37" s="1337">
        <f t="shared" si="5"/>
        <v>1</v>
      </c>
    </row>
    <row r="38" spans="1:29" s="359" customFormat="1" ht="15.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81"/>
      <c r="Q38" s="633">
        <f t="shared" si="11"/>
        <v>111</v>
      </c>
      <c r="R38" s="634" t="s">
        <v>25</v>
      </c>
      <c r="S38" s="635">
        <f t="shared" si="12"/>
        <v>100</v>
      </c>
      <c r="T38" s="634" t="s">
        <v>25</v>
      </c>
      <c r="U38" s="635">
        <f t="shared" si="13"/>
        <v>100</v>
      </c>
      <c r="V38" s="634" t="s">
        <v>25</v>
      </c>
      <c r="W38" s="635">
        <f t="shared" si="14"/>
        <v>100</v>
      </c>
      <c r="X38" s="636"/>
      <c r="Y38" s="3481"/>
      <c r="Z38" s="637">
        <f t="shared" si="15"/>
        <v>111</v>
      </c>
      <c r="AA38" s="1337">
        <f t="shared" si="3"/>
        <v>1</v>
      </c>
      <c r="AB38" s="1337">
        <f t="shared" si="4"/>
        <v>1</v>
      </c>
      <c r="AC38" s="1337">
        <f t="shared" si="5"/>
        <v>1</v>
      </c>
    </row>
    <row r="39" spans="1:29" ht="15.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81"/>
      <c r="Q39" s="1334">
        <f t="shared" si="11"/>
        <v>111</v>
      </c>
      <c r="R39" s="631" t="s">
        <v>25</v>
      </c>
      <c r="S39" s="632">
        <f t="shared" si="12"/>
        <v>100</v>
      </c>
      <c r="T39" s="631" t="s">
        <v>25</v>
      </c>
      <c r="U39" s="632">
        <f t="shared" si="13"/>
        <v>100</v>
      </c>
      <c r="V39" s="631" t="s">
        <v>25</v>
      </c>
      <c r="W39" s="632">
        <f t="shared" si="14"/>
        <v>100</v>
      </c>
      <c r="X39" s="1335"/>
      <c r="Y39" s="3481"/>
      <c r="Z39" s="1336">
        <f t="shared" si="15"/>
        <v>111</v>
      </c>
      <c r="AA39" s="1337">
        <f t="shared" si="3"/>
        <v>1</v>
      </c>
      <c r="AB39" s="1337">
        <f t="shared" si="4"/>
        <v>1</v>
      </c>
      <c r="AC39" s="1337">
        <f t="shared" si="5"/>
        <v>1</v>
      </c>
    </row>
    <row r="40" spans="1:29" ht="1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82"/>
      <c r="Q40" s="1334">
        <f t="shared" si="11"/>
        <v>111</v>
      </c>
      <c r="R40" s="631" t="s">
        <v>25</v>
      </c>
      <c r="S40" s="632">
        <f t="shared" si="12"/>
        <v>100</v>
      </c>
      <c r="T40" s="631" t="s">
        <v>25</v>
      </c>
      <c r="U40" s="632">
        <f t="shared" si="13"/>
        <v>100</v>
      </c>
      <c r="V40" s="631" t="s">
        <v>25</v>
      </c>
      <c r="W40" s="632">
        <f t="shared" si="14"/>
        <v>100</v>
      </c>
      <c r="X40" s="1335"/>
      <c r="Y40" s="3482"/>
      <c r="Z40" s="1336">
        <f t="shared" si="15"/>
        <v>111</v>
      </c>
      <c r="AA40" s="1337">
        <f t="shared" si="3"/>
        <v>1</v>
      </c>
      <c r="AB40" s="1337">
        <f t="shared" si="4"/>
        <v>1</v>
      </c>
      <c r="AC40" s="1337">
        <f t="shared" si="5"/>
        <v>1</v>
      </c>
    </row>
    <row r="41" spans="1:29">
      <c r="A41" s="367" t="s">
        <v>2296</v>
      </c>
      <c r="B41" s="368"/>
      <c r="C41" s="1153" t="s">
        <v>1</v>
      </c>
      <c r="D41" s="1154"/>
      <c r="E41" s="1155"/>
      <c r="F41" s="1156"/>
      <c r="G41" s="1157"/>
      <c r="H41" s="1158"/>
      <c r="I41" s="1155"/>
      <c r="J41" s="1158"/>
      <c r="K41" s="640"/>
      <c r="L41" s="3039"/>
      <c r="N41" s="3028"/>
      <c r="P41" s="3475" t="str">
        <f>A41</f>
        <v>成交单价（元/平方米）</v>
      </c>
      <c r="Q41" s="3475"/>
      <c r="R41" s="3476">
        <f>E41</f>
        <v>0</v>
      </c>
      <c r="S41" s="3476"/>
      <c r="T41" s="3476">
        <f>G41</f>
        <v>0</v>
      </c>
      <c r="U41" s="3476"/>
      <c r="V41" s="3476">
        <f>I41</f>
        <v>0</v>
      </c>
      <c r="W41" s="3476"/>
      <c r="X41" s="618"/>
      <c r="Y41" s="638"/>
      <c r="Z41" s="618"/>
      <c r="AA41" s="618"/>
      <c r="AB41" s="618"/>
      <c r="AC41" s="618"/>
    </row>
    <row r="42" spans="1:29" ht="14.5" thickBot="1">
      <c r="A42" s="374" t="s">
        <v>2379</v>
      </c>
      <c r="B42" s="375"/>
      <c r="C42" s="1159" t="e">
        <f>R43</f>
        <v>#DIV/0!</v>
      </c>
      <c r="D42" s="1797" t="s">
        <v>2752</v>
      </c>
      <c r="E42" s="1160" t="e">
        <f>R42</f>
        <v>#DIV/0!</v>
      </c>
      <c r="F42" s="1799"/>
      <c r="G42" s="1159" t="e">
        <f>T42</f>
        <v>#DIV/0!</v>
      </c>
      <c r="H42" s="1799"/>
      <c r="I42" s="1160" t="e">
        <f>V42</f>
        <v>#DIV/0!</v>
      </c>
      <c r="J42" s="1799"/>
      <c r="K42" s="2513">
        <f>F42+H42+J42</f>
        <v>0</v>
      </c>
      <c r="L42" s="3039"/>
      <c r="N42" s="3028"/>
      <c r="P42" s="3475" t="str">
        <f>A42</f>
        <v>比较价值（元/平方米）</v>
      </c>
      <c r="Q42" s="3475"/>
      <c r="R42" s="3476" t="e">
        <f>IF(E1="售价",ROUND(PRODUCT(R41,AA7:AA40),0),ROUND(PRODUCT(R41,AA7:AA40),1))</f>
        <v>#DIV/0!</v>
      </c>
      <c r="S42" s="3476"/>
      <c r="T42" s="3476" t="e">
        <f>IF(E1="售价",ROUND(PRODUCT(T41,AB7:AB40),0),ROUND(PRODUCT(T41,AB7:AB40),1))</f>
        <v>#DIV/0!</v>
      </c>
      <c r="U42" s="3476"/>
      <c r="V42" s="3476" t="e">
        <f>IF(E1="售价",ROUND(PRODUCT(V41,AC7:AC40),0),ROUND(PRODUCT(V41,AC7:AC40),1))</f>
        <v>#DIV/0!</v>
      </c>
      <c r="W42" s="3476"/>
      <c r="X42" s="618"/>
      <c r="Y42" s="618"/>
      <c r="Z42" s="618"/>
      <c r="AA42" s="618"/>
      <c r="AB42" s="618"/>
      <c r="AC42" s="618"/>
    </row>
    <row r="43" spans="1:29" ht="14.5" thickBot="1">
      <c r="A43" s="378" t="s">
        <v>2402</v>
      </c>
      <c r="B43" s="379"/>
      <c r="C43" s="1161" t="e">
        <f>R43</f>
        <v>#DIV/0!</v>
      </c>
      <c r="D43" s="1161"/>
      <c r="E43" s="1161"/>
      <c r="F43" s="1161"/>
      <c r="G43" s="1161"/>
      <c r="H43" s="1161"/>
      <c r="I43" s="1161"/>
      <c r="J43" s="1161"/>
      <c r="K43" s="641"/>
      <c r="L43" s="3039"/>
      <c r="P43" s="3477" t="str">
        <f>A43</f>
        <v>估价对象XX用房的比较价值（楼面单价，元/平方米）</v>
      </c>
      <c r="Q43" s="3478"/>
      <c r="R43" s="3479" t="e">
        <f>IF(E1="售价",ROUND(IF(D42="简单平均",AVERAGE(R42:V42),R42*F42+T42*H42+V42*J42),0),ROUND(IF(D42="简单平均",AVERAGE(R42:V42),R42*F42+T42*H42+V42*J42),1))</f>
        <v>#DIV/0!</v>
      </c>
      <c r="S43" s="3479"/>
      <c r="T43" s="3479"/>
      <c r="U43" s="3479"/>
      <c r="V43" s="3479"/>
      <c r="W43" s="3479"/>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5" thickBot="1">
      <c r="A51" s="620" t="s">
        <v>2384</v>
      </c>
      <c r="B51" s="618"/>
      <c r="C51" s="621"/>
      <c r="D51" s="621"/>
      <c r="E51" s="621"/>
      <c r="F51" s="622"/>
      <c r="G51" s="622"/>
      <c r="H51" s="621"/>
      <c r="I51" s="621"/>
      <c r="J51" s="621"/>
      <c r="K51" s="623"/>
      <c r="L51" s="624"/>
      <c r="M51" s="621"/>
      <c r="N51" s="3045"/>
      <c r="O51" s="3045"/>
      <c r="P51" s="389"/>
      <c r="Q51" s="390"/>
    </row>
    <row r="52" spans="1:17" s="394" customFormat="1">
      <c r="A52" s="391" t="s">
        <v>2266</v>
      </c>
      <c r="B52" s="392"/>
      <c r="C52" s="1187" t="str">
        <f>YEAR(C7)&amp;"-"&amp;MONTH(C7)</f>
        <v>2020-8</v>
      </c>
      <c r="D52" s="1188">
        <f>EDATE(C52,-1)</f>
        <v>44013</v>
      </c>
      <c r="E52" s="1189">
        <f t="shared" ref="E52:O52" si="16">EDATE(D52,-1)</f>
        <v>43983</v>
      </c>
      <c r="F52" s="1189">
        <f t="shared" si="16"/>
        <v>43952</v>
      </c>
      <c r="G52" s="1189">
        <f t="shared" si="16"/>
        <v>43922</v>
      </c>
      <c r="H52" s="1189">
        <f t="shared" si="16"/>
        <v>43891</v>
      </c>
      <c r="I52" s="1189">
        <f t="shared" si="16"/>
        <v>43862</v>
      </c>
      <c r="J52" s="1189">
        <f t="shared" si="16"/>
        <v>43831</v>
      </c>
      <c r="K52" s="1189">
        <f t="shared" si="16"/>
        <v>43800</v>
      </c>
      <c r="L52" s="1189">
        <f t="shared" si="16"/>
        <v>43770</v>
      </c>
      <c r="M52" s="1189">
        <f t="shared" si="16"/>
        <v>43739</v>
      </c>
      <c r="N52" s="1189">
        <f t="shared" si="16"/>
        <v>43709</v>
      </c>
      <c r="O52" s="1189">
        <f t="shared" si="16"/>
        <v>43678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4.5" thickBot="1">
      <c r="A54" s="400" t="s">
        <v>2304</v>
      </c>
      <c r="B54" s="401"/>
      <c r="C54" s="402"/>
      <c r="D54" s="403"/>
      <c r="E54" s="403"/>
      <c r="F54" s="403"/>
      <c r="G54" s="403"/>
      <c r="H54" s="403"/>
      <c r="I54" s="403"/>
      <c r="J54" s="403"/>
      <c r="K54" s="403"/>
      <c r="L54" s="403"/>
      <c r="M54" s="404"/>
      <c r="N54" s="403"/>
      <c r="O54" s="405"/>
      <c r="P54" s="390"/>
      <c r="Q54" s="390"/>
    </row>
    <row r="55" spans="1:17" s="25" customFormat="1">
      <c r="A55" s="406" t="s">
        <v>2268</v>
      </c>
      <c r="B55" s="396"/>
      <c r="C55" s="407" t="s">
        <v>2269</v>
      </c>
      <c r="D55" s="408"/>
      <c r="E55" s="408"/>
      <c r="F55" s="408"/>
      <c r="G55" s="408"/>
      <c r="H55" s="408"/>
      <c r="I55" s="408"/>
      <c r="J55" s="408"/>
      <c r="K55" s="408"/>
      <c r="L55" s="409"/>
      <c r="M55" s="410"/>
      <c r="N55" s="27"/>
      <c r="O55" s="27"/>
      <c r="P55" s="411"/>
      <c r="Q55" s="390"/>
    </row>
    <row r="56" spans="1:17" s="25" customFormat="1" ht="14.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4.5" thickBot="1">
      <c r="A58" s="420"/>
      <c r="B58" s="421"/>
      <c r="C58" s="422">
        <v>100</v>
      </c>
      <c r="D58" s="422"/>
      <c r="E58" s="422"/>
      <c r="F58" s="422"/>
      <c r="G58" s="422"/>
      <c r="H58" s="422"/>
      <c r="I58" s="422"/>
      <c r="J58" s="422"/>
      <c r="K58" s="422"/>
      <c r="L58" s="422"/>
      <c r="M58" s="423"/>
      <c r="N58" s="424"/>
      <c r="O58" s="424"/>
      <c r="P58" s="18"/>
      <c r="Q58" s="390"/>
    </row>
    <row r="59" spans="1:17" ht="28.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4.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4.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5" thickTop="1">
      <c r="A64" s="440"/>
      <c r="B64" s="425">
        <f>B12</f>
        <v>111</v>
      </c>
      <c r="C64" s="441"/>
      <c r="D64" s="441"/>
      <c r="E64" s="441"/>
      <c r="F64" s="441"/>
      <c r="G64" s="441"/>
      <c r="H64" s="442"/>
      <c r="I64" s="442"/>
      <c r="J64" s="442"/>
      <c r="K64" s="442"/>
      <c r="L64" s="443"/>
      <c r="M64" s="444"/>
      <c r="N64" s="445"/>
      <c r="O64" s="445"/>
      <c r="P64" s="446"/>
      <c r="Q64" s="447"/>
    </row>
    <row r="65" spans="1:17" s="359" customFormat="1" ht="14.5" thickBot="1">
      <c r="A65" s="440"/>
      <c r="B65" s="430"/>
      <c r="C65" s="448"/>
      <c r="D65" s="422"/>
      <c r="E65" s="422"/>
      <c r="F65" s="422"/>
      <c r="G65" s="422"/>
      <c r="H65" s="422"/>
      <c r="I65" s="422"/>
      <c r="J65" s="422"/>
      <c r="K65" s="422"/>
      <c r="L65" s="422"/>
      <c r="M65" s="423"/>
      <c r="N65" s="424"/>
      <c r="O65" s="424"/>
      <c r="P65" s="446"/>
      <c r="Q65" s="447"/>
    </row>
    <row r="66" spans="1:17" s="359" customFormat="1" ht="14.5" thickTop="1">
      <c r="A66" s="440"/>
      <c r="B66" s="425">
        <f>B13</f>
        <v>111</v>
      </c>
      <c r="C66" s="441"/>
      <c r="D66" s="441"/>
      <c r="E66" s="441"/>
      <c r="F66" s="441"/>
      <c r="G66" s="441"/>
      <c r="H66" s="442"/>
      <c r="I66" s="442"/>
      <c r="J66" s="442"/>
      <c r="K66" s="442"/>
      <c r="L66" s="443"/>
      <c r="M66" s="444"/>
      <c r="N66" s="445"/>
      <c r="O66" s="445"/>
      <c r="P66" s="358"/>
      <c r="Q66" s="449"/>
    </row>
    <row r="67" spans="1:17" s="359" customFormat="1" ht="14.5" thickBot="1">
      <c r="A67" s="440"/>
      <c r="B67" s="430"/>
      <c r="C67" s="448"/>
      <c r="D67" s="422"/>
      <c r="E67" s="422"/>
      <c r="F67" s="422"/>
      <c r="G67" s="448"/>
      <c r="H67" s="450"/>
      <c r="I67" s="450"/>
      <c r="J67" s="450"/>
      <c r="K67" s="450"/>
      <c r="L67" s="450"/>
      <c r="M67" s="451"/>
      <c r="N67" s="445"/>
      <c r="O67" s="445"/>
      <c r="P67" s="446"/>
      <c r="Q67" s="447"/>
    </row>
    <row r="68" spans="1:17" s="359" customFormat="1" ht="14.5" thickTop="1">
      <c r="A68" s="440"/>
      <c r="B68" s="433">
        <f>B14</f>
        <v>111</v>
      </c>
      <c r="C68" s="408"/>
      <c r="D68" s="408"/>
      <c r="E68" s="408"/>
      <c r="F68" s="408"/>
      <c r="G68" s="408"/>
      <c r="H68" s="452"/>
      <c r="I68" s="452"/>
      <c r="J68" s="452"/>
      <c r="K68" s="452"/>
      <c r="L68" s="453"/>
      <c r="M68" s="454"/>
      <c r="N68" s="445"/>
      <c r="O68" s="445"/>
      <c r="P68" s="455"/>
      <c r="Q68" s="447"/>
    </row>
    <row r="69" spans="1:17" s="359" customFormat="1" ht="14.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4.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4.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4.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4.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4.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4.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4.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4.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4.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5" thickTop="1">
      <c r="A80" s="467"/>
      <c r="B80" s="425">
        <f>B25</f>
        <v>111</v>
      </c>
      <c r="C80" s="441"/>
      <c r="D80" s="441"/>
      <c r="E80" s="441"/>
      <c r="F80" s="441"/>
      <c r="G80" s="441"/>
      <c r="H80" s="441"/>
      <c r="I80" s="441"/>
      <c r="J80" s="441"/>
      <c r="K80" s="441"/>
      <c r="L80" s="468"/>
      <c r="M80" s="469"/>
      <c r="N80" s="27"/>
      <c r="O80" s="27"/>
      <c r="P80" s="18"/>
      <c r="Q80" s="390"/>
    </row>
    <row r="81" spans="1:17" s="25" customFormat="1" ht="14.5" thickBot="1">
      <c r="A81" s="467"/>
      <c r="B81" s="430"/>
      <c r="C81" s="448"/>
      <c r="D81" s="422"/>
      <c r="E81" s="422"/>
      <c r="F81" s="422"/>
      <c r="G81" s="422"/>
      <c r="H81" s="422"/>
      <c r="I81" s="422"/>
      <c r="J81" s="422"/>
      <c r="K81" s="422"/>
      <c r="L81" s="422"/>
      <c r="M81" s="423"/>
      <c r="N81" s="424"/>
      <c r="O81" s="424"/>
      <c r="P81" s="18"/>
      <c r="Q81" s="390"/>
    </row>
    <row r="82" spans="1:17" s="25" customFormat="1" ht="14.5" thickTop="1">
      <c r="A82" s="467"/>
      <c r="B82" s="425">
        <f>B26</f>
        <v>111</v>
      </c>
      <c r="C82" s="441"/>
      <c r="D82" s="441"/>
      <c r="E82" s="441"/>
      <c r="F82" s="441"/>
      <c r="G82" s="441"/>
      <c r="H82" s="441"/>
      <c r="I82" s="441"/>
      <c r="J82" s="441"/>
      <c r="K82" s="441"/>
      <c r="L82" s="468"/>
      <c r="M82" s="469"/>
      <c r="N82" s="27"/>
      <c r="O82" s="27"/>
      <c r="P82" s="18"/>
      <c r="Q82" s="390"/>
    </row>
    <row r="83" spans="1:17" s="25" customFormat="1" ht="14.5" thickBot="1">
      <c r="A83" s="467"/>
      <c r="B83" s="430"/>
      <c r="C83" s="448"/>
      <c r="D83" s="422"/>
      <c r="E83" s="422"/>
      <c r="F83" s="422"/>
      <c r="G83" s="422"/>
      <c r="H83" s="422"/>
      <c r="I83" s="422"/>
      <c r="J83" s="422"/>
      <c r="K83" s="422"/>
      <c r="L83" s="422"/>
      <c r="M83" s="423"/>
      <c r="N83" s="424"/>
      <c r="O83" s="424"/>
      <c r="P83" s="18"/>
      <c r="Q83" s="390"/>
    </row>
    <row r="84" spans="1:17" s="359" customFormat="1" ht="14.5" thickTop="1">
      <c r="A84" s="440"/>
      <c r="B84" s="425">
        <f>B27</f>
        <v>111</v>
      </c>
      <c r="C84" s="441"/>
      <c r="D84" s="441"/>
      <c r="E84" s="441"/>
      <c r="F84" s="441"/>
      <c r="G84" s="441"/>
      <c r="H84" s="441"/>
      <c r="I84" s="441"/>
      <c r="J84" s="441"/>
      <c r="K84" s="441"/>
      <c r="L84" s="468"/>
      <c r="M84" s="469"/>
      <c r="N84" s="445"/>
      <c r="O84" s="445"/>
      <c r="P84" s="446"/>
      <c r="Q84" s="447"/>
    </row>
    <row r="85" spans="1:17" s="359" customFormat="1" ht="14.5" thickBot="1">
      <c r="A85" s="440"/>
      <c r="B85" s="430"/>
      <c r="C85" s="448"/>
      <c r="D85" s="422"/>
      <c r="E85" s="422"/>
      <c r="F85" s="422"/>
      <c r="G85" s="422"/>
      <c r="H85" s="422"/>
      <c r="I85" s="422"/>
      <c r="J85" s="422"/>
      <c r="K85" s="422"/>
      <c r="L85" s="422"/>
      <c r="M85" s="423"/>
      <c r="N85" s="445"/>
      <c r="O85" s="445"/>
      <c r="P85" s="446"/>
      <c r="Q85" s="447"/>
    </row>
    <row r="86" spans="1:17" ht="14.5" thickTop="1">
      <c r="A86" s="420"/>
      <c r="B86" s="433">
        <f>B28</f>
        <v>111</v>
      </c>
      <c r="C86" s="408"/>
      <c r="D86" s="408"/>
      <c r="E86" s="408"/>
      <c r="F86" s="408"/>
      <c r="G86" s="475"/>
      <c r="H86" s="475"/>
      <c r="I86" s="475"/>
      <c r="J86" s="475"/>
      <c r="K86" s="476"/>
      <c r="L86" s="477"/>
      <c r="M86" s="478"/>
      <c r="N86" s="419"/>
      <c r="O86" s="419"/>
      <c r="P86" s="18"/>
      <c r="Q86" s="390"/>
    </row>
    <row r="87" spans="1:17" ht="14.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4.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4.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24"/>
      <c r="O92" s="424"/>
      <c r="P92" s="446"/>
      <c r="Q92" s="447"/>
    </row>
    <row r="93" spans="1:17" ht="14.5" thickTop="1">
      <c r="A93" s="487"/>
      <c r="B93" s="425" t="s">
        <v>2333</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4.5" thickTop="1">
      <c r="A95" s="487"/>
      <c r="B95" s="425" t="s">
        <v>2335</v>
      </c>
      <c r="C95" s="441"/>
      <c r="D95" s="441"/>
      <c r="E95" s="441"/>
      <c r="F95" s="471"/>
      <c r="G95" s="471"/>
      <c r="H95" s="471"/>
      <c r="I95" s="471"/>
      <c r="J95" s="471"/>
      <c r="K95" s="472"/>
      <c r="L95" s="473"/>
      <c r="M95" s="474"/>
      <c r="N95" s="419"/>
      <c r="O95" s="419"/>
      <c r="P95" s="18"/>
      <c r="Q95" s="390"/>
    </row>
    <row r="96" spans="1:17" ht="14.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4.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4.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4.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4.5" thickTop="1">
      <c r="A102" s="487"/>
      <c r="B102" s="425" t="s">
        <v>2338</v>
      </c>
      <c r="C102" s="441"/>
      <c r="D102" s="441"/>
      <c r="E102" s="441"/>
      <c r="F102" s="441"/>
      <c r="G102" s="441"/>
      <c r="H102" s="471"/>
      <c r="I102" s="471"/>
      <c r="J102" s="471"/>
      <c r="K102" s="472"/>
      <c r="L102" s="473"/>
      <c r="M102" s="474"/>
      <c r="N102" s="419"/>
      <c r="O102" s="419"/>
      <c r="P102" s="18"/>
      <c r="Q102" s="390"/>
    </row>
    <row r="103" spans="1:17" ht="14.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4.5" thickTop="1">
      <c r="A104" s="487"/>
      <c r="B104" s="425" t="s">
        <v>2340</v>
      </c>
      <c r="C104" s="441"/>
      <c r="D104" s="441"/>
      <c r="E104" s="441"/>
      <c r="F104" s="441"/>
      <c r="G104" s="441"/>
      <c r="H104" s="471"/>
      <c r="I104" s="471"/>
      <c r="J104" s="471"/>
      <c r="K104" s="472"/>
      <c r="L104" s="473"/>
      <c r="M104" s="474"/>
      <c r="N104" s="419"/>
      <c r="O104" s="419"/>
      <c r="P104" s="18"/>
      <c r="Q104" s="390"/>
    </row>
    <row r="105" spans="1:17" ht="14.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8.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4.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5" thickBot="1">
      <c r="A109" s="440"/>
      <c r="B109" s="421"/>
      <c r="C109" s="448"/>
      <c r="D109" s="422"/>
      <c r="E109" s="422"/>
      <c r="F109" s="422"/>
      <c r="G109" s="448"/>
      <c r="H109" s="450"/>
      <c r="I109" s="450"/>
      <c r="J109" s="450"/>
      <c r="K109" s="450"/>
      <c r="L109" s="450"/>
      <c r="M109" s="451"/>
      <c r="N109" s="445"/>
      <c r="O109" s="445"/>
      <c r="P109" s="446"/>
      <c r="Q109" s="447"/>
    </row>
    <row r="110" spans="1:17" ht="14.5" thickTop="1">
      <c r="A110" s="487"/>
      <c r="B110" s="425">
        <f>B39</f>
        <v>111</v>
      </c>
      <c r="C110" s="441"/>
      <c r="D110" s="441"/>
      <c r="E110" s="441"/>
      <c r="F110" s="441"/>
      <c r="G110" s="441"/>
      <c r="H110" s="442"/>
      <c r="I110" s="442"/>
      <c r="J110" s="442"/>
      <c r="K110" s="442"/>
      <c r="L110" s="443"/>
      <c r="M110" s="444"/>
      <c r="N110" s="419"/>
      <c r="O110" s="419"/>
      <c r="P110" s="18"/>
      <c r="Q110" s="390"/>
    </row>
    <row r="111" spans="1:17" ht="14.5" thickBot="1">
      <c r="A111" s="420"/>
      <c r="B111" s="430"/>
      <c r="C111" s="448"/>
      <c r="D111" s="422"/>
      <c r="E111" s="422"/>
      <c r="F111" s="422"/>
      <c r="G111" s="448"/>
      <c r="H111" s="450"/>
      <c r="I111" s="450"/>
      <c r="J111" s="450"/>
      <c r="K111" s="450"/>
      <c r="L111" s="450"/>
      <c r="M111" s="451"/>
      <c r="N111" s="424"/>
      <c r="O111" s="424"/>
      <c r="P111" s="18"/>
      <c r="Q111" s="390"/>
    </row>
    <row r="112" spans="1:17" ht="14.5" thickTop="1">
      <c r="A112" s="487"/>
      <c r="B112" s="433">
        <f>B40</f>
        <v>111</v>
      </c>
      <c r="C112" s="408"/>
      <c r="D112" s="408"/>
      <c r="E112" s="408"/>
      <c r="F112" s="408"/>
      <c r="G112" s="475"/>
      <c r="H112" s="475"/>
      <c r="I112" s="475"/>
      <c r="J112" s="475"/>
      <c r="K112" s="408"/>
      <c r="L112" s="409"/>
      <c r="M112" s="478"/>
      <c r="N112" s="419"/>
      <c r="O112" s="419"/>
      <c r="P112" s="18"/>
      <c r="Q112" s="390"/>
    </row>
    <row r="113" spans="1:17" ht="14.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5.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54.91</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498" t="s">
        <v>2254</v>
      </c>
      <c r="D4" s="3499"/>
      <c r="E4" s="3500" t="s">
        <v>2255</v>
      </c>
      <c r="F4" s="3501"/>
      <c r="G4" s="3498" t="s">
        <v>2256</v>
      </c>
      <c r="H4" s="3499"/>
      <c r="I4" s="3498" t="s">
        <v>2257</v>
      </c>
      <c r="J4" s="3499"/>
      <c r="K4" s="496" t="s">
        <v>2258</v>
      </c>
      <c r="L4" s="3027"/>
      <c r="M4" s="3028"/>
      <c r="N4" s="3028"/>
      <c r="O4" s="3028"/>
      <c r="P4" s="3502" t="s">
        <v>2259</v>
      </c>
      <c r="Q4" s="3503"/>
      <c r="R4" s="3485" t="s">
        <v>2255</v>
      </c>
      <c r="S4" s="3486"/>
      <c r="T4" s="3485" t="s">
        <v>2256</v>
      </c>
      <c r="U4" s="3486"/>
      <c r="V4" s="3508" t="s">
        <v>2257</v>
      </c>
      <c r="W4" s="3508"/>
      <c r="X4" s="1335"/>
      <c r="Y4" s="3485" t="s">
        <v>2259</v>
      </c>
      <c r="Z4" s="3486"/>
      <c r="AA4" s="3495" t="s">
        <v>2255</v>
      </c>
      <c r="AB4" s="3496" t="s">
        <v>2256</v>
      </c>
      <c r="AC4" s="3495" t="s">
        <v>2257</v>
      </c>
    </row>
    <row r="5" spans="1:29">
      <c r="A5" s="297"/>
      <c r="B5" s="298"/>
      <c r="C5" s="3511" t="s">
        <v>2260</v>
      </c>
      <c r="D5" s="3512"/>
      <c r="E5" s="3509" t="s">
        <v>2261</v>
      </c>
      <c r="F5" s="3510"/>
      <c r="G5" s="3511" t="s">
        <v>2262</v>
      </c>
      <c r="H5" s="3512"/>
      <c r="I5" s="3511" t="s">
        <v>2263</v>
      </c>
      <c r="J5" s="3512"/>
      <c r="K5" s="496"/>
      <c r="L5" s="3027"/>
      <c r="M5" s="3028"/>
      <c r="N5" s="3028"/>
      <c r="O5" s="3028"/>
      <c r="P5" s="3504"/>
      <c r="Q5" s="3505"/>
      <c r="R5" s="3487"/>
      <c r="S5" s="3488"/>
      <c r="T5" s="3487"/>
      <c r="U5" s="3488"/>
      <c r="V5" s="3508"/>
      <c r="W5" s="3508"/>
      <c r="X5" s="1335"/>
      <c r="Y5" s="3487"/>
      <c r="Z5" s="3488"/>
      <c r="AA5" s="3496"/>
      <c r="AB5" s="3496"/>
      <c r="AC5" s="3496"/>
    </row>
    <row r="6" spans="1:29" ht="15" thickBot="1">
      <c r="A6" s="299"/>
      <c r="B6" s="300"/>
      <c r="C6" s="3513" t="s">
        <v>2264</v>
      </c>
      <c r="D6" s="3514"/>
      <c r="E6" s="3515" t="s">
        <v>2264</v>
      </c>
      <c r="F6" s="3516"/>
      <c r="G6" s="3513" t="s">
        <v>2264</v>
      </c>
      <c r="H6" s="3514"/>
      <c r="I6" s="3513" t="s">
        <v>2264</v>
      </c>
      <c r="J6" s="3514"/>
      <c r="K6" s="496" t="s">
        <v>2265</v>
      </c>
      <c r="L6" s="3027"/>
      <c r="M6" s="3028"/>
      <c r="N6" s="3028"/>
      <c r="O6" s="3028"/>
      <c r="P6" s="3506"/>
      <c r="Q6" s="3507"/>
      <c r="R6" s="3487"/>
      <c r="S6" s="3488"/>
      <c r="T6" s="3489"/>
      <c r="U6" s="3490"/>
      <c r="V6" s="3508"/>
      <c r="W6" s="3508"/>
      <c r="X6" s="1335"/>
      <c r="Y6" s="3489"/>
      <c r="Z6" s="3490"/>
      <c r="AA6" s="3497"/>
      <c r="AB6" s="3497"/>
      <c r="AC6" s="3497"/>
    </row>
    <row r="7" spans="1:29" s="25" customFormat="1" ht="14.5" thickBot="1">
      <c r="A7" s="301" t="s">
        <v>2266</v>
      </c>
      <c r="B7" s="302"/>
      <c r="C7" s="303">
        <f>'数据-取费表'!B2</f>
        <v>44062</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83" t="s">
        <v>2267</v>
      </c>
      <c r="Q7" s="3491"/>
      <c r="R7" s="627" t="s">
        <v>25</v>
      </c>
      <c r="S7" s="628">
        <f t="shared" ref="S7:S14" si="0">F7</f>
        <v>0</v>
      </c>
      <c r="T7" s="627" t="s">
        <v>25</v>
      </c>
      <c r="U7" s="628">
        <f t="shared" ref="U7:U14" si="1">H7</f>
        <v>0</v>
      </c>
      <c r="V7" s="627" t="s">
        <v>25</v>
      </c>
      <c r="W7" s="628">
        <f t="shared" ref="W7:W14" si="2">J7</f>
        <v>0</v>
      </c>
      <c r="X7" s="629"/>
      <c r="Y7" s="3483" t="s">
        <v>2267</v>
      </c>
      <c r="Z7" s="3484"/>
      <c r="AA7" s="630" t="e">
        <f>D7/F7</f>
        <v>#DIV/0!</v>
      </c>
      <c r="AB7" s="630" t="e">
        <f>D7/H7</f>
        <v>#DIV/0!</v>
      </c>
      <c r="AC7" s="630" t="e">
        <f>D7/J7</f>
        <v>#DIV/0!</v>
      </c>
    </row>
    <row r="8" spans="1:29" s="25" customFormat="1" ht="14.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83" t="s">
        <v>2270</v>
      </c>
      <c r="Q8" s="3484"/>
      <c r="R8" s="627" t="s">
        <v>25</v>
      </c>
      <c r="S8" s="628">
        <f t="shared" si="0"/>
        <v>0</v>
      </c>
      <c r="T8" s="627" t="s">
        <v>25</v>
      </c>
      <c r="U8" s="628">
        <f t="shared" si="1"/>
        <v>0</v>
      </c>
      <c r="V8" s="627" t="s">
        <v>25</v>
      </c>
      <c r="W8" s="628">
        <f t="shared" si="2"/>
        <v>0</v>
      </c>
      <c r="X8" s="629"/>
      <c r="Y8" s="3483" t="s">
        <v>2270</v>
      </c>
      <c r="Z8" s="3484"/>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75" t="s">
        <v>2273</v>
      </c>
      <c r="Q9" s="1327" t="str">
        <f t="shared" ref="Q9:Q14" si="6">B9</f>
        <v>用途</v>
      </c>
      <c r="R9" s="627" t="s">
        <v>25</v>
      </c>
      <c r="S9" s="628">
        <f t="shared" si="0"/>
        <v>100</v>
      </c>
      <c r="T9" s="627" t="s">
        <v>25</v>
      </c>
      <c r="U9" s="628">
        <f t="shared" si="1"/>
        <v>100</v>
      </c>
      <c r="V9" s="627" t="s">
        <v>25</v>
      </c>
      <c r="W9" s="628">
        <f t="shared" si="2"/>
        <v>100</v>
      </c>
      <c r="X9" s="629"/>
      <c r="Y9" s="3494" t="s">
        <v>2274</v>
      </c>
      <c r="Z9" s="19" t="str">
        <f t="shared" ref="Z9:Z14" si="7">Q9</f>
        <v>用途</v>
      </c>
      <c r="AA9" s="630">
        <f t="shared" si="3"/>
        <v>1</v>
      </c>
      <c r="AB9" s="630">
        <f t="shared" si="4"/>
        <v>1</v>
      </c>
      <c r="AC9" s="630">
        <f t="shared" si="5"/>
        <v>1</v>
      </c>
    </row>
    <row r="10" spans="1:29" s="317" customFormat="1" ht="28">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75"/>
      <c r="Q11" s="1327">
        <f t="shared" si="6"/>
        <v>111</v>
      </c>
      <c r="R11" s="627" t="s">
        <v>25</v>
      </c>
      <c r="S11" s="628">
        <f t="shared" si="0"/>
        <v>100</v>
      </c>
      <c r="T11" s="627" t="s">
        <v>25</v>
      </c>
      <c r="U11" s="628">
        <f t="shared" si="1"/>
        <v>100</v>
      </c>
      <c r="V11" s="627" t="s">
        <v>25</v>
      </c>
      <c r="W11" s="628">
        <f t="shared" si="2"/>
        <v>100</v>
      </c>
      <c r="X11" s="629"/>
      <c r="Y11" s="3494"/>
      <c r="Z11" s="19">
        <f t="shared" si="7"/>
        <v>111</v>
      </c>
      <c r="AA11" s="630">
        <f t="shared" si="3"/>
        <v>1</v>
      </c>
      <c r="AB11" s="630">
        <f t="shared" si="4"/>
        <v>1</v>
      </c>
      <c r="AC11" s="630">
        <f t="shared" si="5"/>
        <v>1</v>
      </c>
    </row>
    <row r="12" spans="1:29" s="25" customFormat="1" ht="15.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68">
      <c r="A14" s="294" t="s">
        <v>2277</v>
      </c>
      <c r="B14" s="511" t="s">
        <v>2415</v>
      </c>
      <c r="C14" s="1143" t="str">
        <f>IF(B1="工业",估价对象房地状况!G4,估价对象房地状况!C6)</f>
        <v>估价对象周边有昌11路、昌21路、昌52路、昌59路等多条公交线路。以估价对象为圆心，半径1000米范围内有地铁昌平线昌平地铁站，交通便捷程度好。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2" t="s">
        <v>2278</v>
      </c>
      <c r="Q14" s="1334" t="str">
        <f t="shared" si="6"/>
        <v>交通便捷度</v>
      </c>
      <c r="R14" s="631" t="s">
        <v>25</v>
      </c>
      <c r="S14" s="632">
        <f t="shared" si="0"/>
        <v>100</v>
      </c>
      <c r="T14" s="631" t="s">
        <v>25</v>
      </c>
      <c r="U14" s="632">
        <f t="shared" si="1"/>
        <v>100</v>
      </c>
      <c r="V14" s="631" t="s">
        <v>25</v>
      </c>
      <c r="W14" s="632">
        <f t="shared" si="2"/>
        <v>100</v>
      </c>
      <c r="X14" s="1335"/>
      <c r="Y14" s="3492" t="s">
        <v>2278</v>
      </c>
      <c r="Z14" s="1336" t="str">
        <f t="shared" si="7"/>
        <v>交通便捷度</v>
      </c>
      <c r="AA14" s="1337">
        <f t="shared" si="3"/>
        <v>1</v>
      </c>
      <c r="AB14" s="1337">
        <f t="shared" si="4"/>
        <v>1</v>
      </c>
      <c r="AC14" s="1337">
        <f t="shared" si="5"/>
        <v>1</v>
      </c>
    </row>
    <row r="15" spans="1:29" ht="15.5">
      <c r="A15" s="297"/>
      <c r="B15" s="529"/>
      <c r="C15" s="1144"/>
      <c r="D15" s="1138"/>
      <c r="E15" s="335"/>
      <c r="F15" s="336"/>
      <c r="G15" s="1135"/>
      <c r="H15" s="339"/>
      <c r="I15" s="335"/>
      <c r="J15" s="336"/>
      <c r="K15" s="501"/>
      <c r="L15" s="3037"/>
      <c r="M15" s="3028"/>
      <c r="N15" s="3028"/>
      <c r="O15" s="3036"/>
      <c r="P15" s="3493"/>
      <c r="Q15" s="1334"/>
      <c r="R15" s="631"/>
      <c r="S15" s="632"/>
      <c r="T15" s="631"/>
      <c r="U15" s="632"/>
      <c r="V15" s="631"/>
      <c r="W15" s="632"/>
      <c r="X15" s="1335"/>
      <c r="Y15" s="3493"/>
      <c r="Z15" s="1336"/>
      <c r="AA15" s="1337">
        <v>1</v>
      </c>
      <c r="AB15" s="1337">
        <v>1</v>
      </c>
      <c r="AC15" s="1337">
        <v>1</v>
      </c>
    </row>
    <row r="16" spans="1:29" ht="42">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3"/>
      <c r="Q16" s="1334" t="str">
        <f>B16</f>
        <v>公共配套设施</v>
      </c>
      <c r="R16" s="631" t="s">
        <v>25</v>
      </c>
      <c r="S16" s="632">
        <f>F16</f>
        <v>100</v>
      </c>
      <c r="T16" s="631" t="s">
        <v>25</v>
      </c>
      <c r="U16" s="632">
        <f>H16</f>
        <v>100</v>
      </c>
      <c r="V16" s="631" t="s">
        <v>25</v>
      </c>
      <c r="W16" s="632">
        <f>J16</f>
        <v>100</v>
      </c>
      <c r="X16" s="1335"/>
      <c r="Y16" s="3493"/>
      <c r="Z16" s="1336" t="str">
        <f>Q16</f>
        <v>公共配套设施</v>
      </c>
      <c r="AA16" s="1337">
        <f t="shared" si="3"/>
        <v>1</v>
      </c>
      <c r="AB16" s="1337">
        <f t="shared" si="4"/>
        <v>1</v>
      </c>
      <c r="AC16" s="1337">
        <f t="shared" si="5"/>
        <v>1</v>
      </c>
    </row>
    <row r="17" spans="1:29" ht="15.5">
      <c r="A17" s="297"/>
      <c r="B17" s="514"/>
      <c r="C17" s="1133"/>
      <c r="D17" s="1139"/>
      <c r="E17" s="337"/>
      <c r="F17" s="339"/>
      <c r="G17" s="337"/>
      <c r="H17" s="336"/>
      <c r="I17" s="337"/>
      <c r="J17" s="336"/>
      <c r="K17" s="501"/>
      <c r="L17" s="3037"/>
      <c r="M17" s="3028"/>
      <c r="N17" s="3028"/>
      <c r="O17" s="3036"/>
      <c r="P17" s="3493"/>
      <c r="Q17" s="1334"/>
      <c r="R17" s="631"/>
      <c r="S17" s="632"/>
      <c r="T17" s="631"/>
      <c r="U17" s="632"/>
      <c r="V17" s="631"/>
      <c r="W17" s="632"/>
      <c r="X17" s="1335"/>
      <c r="Y17" s="3493"/>
      <c r="Z17" s="1336"/>
      <c r="AA17" s="1337">
        <v>1</v>
      </c>
      <c r="AB17" s="1337">
        <v>1</v>
      </c>
      <c r="AC17" s="1337">
        <v>1</v>
      </c>
    </row>
    <row r="18" spans="1:29" ht="42">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3"/>
      <c r="Q18" s="1334" t="str">
        <f>B18</f>
        <v>基础设施水平</v>
      </c>
      <c r="R18" s="631" t="s">
        <v>25</v>
      </c>
      <c r="S18" s="632">
        <f>F18</f>
        <v>100</v>
      </c>
      <c r="T18" s="631" t="s">
        <v>25</v>
      </c>
      <c r="U18" s="632">
        <f>H18</f>
        <v>100</v>
      </c>
      <c r="V18" s="631" t="s">
        <v>25</v>
      </c>
      <c r="W18" s="632">
        <f>J18</f>
        <v>100</v>
      </c>
      <c r="X18" s="1335"/>
      <c r="Y18" s="3493"/>
      <c r="Z18" s="1336" t="str">
        <f>Q18</f>
        <v>基础设施水平</v>
      </c>
      <c r="AA18" s="1337">
        <f t="shared" ref="AA18" si="8">D18/F18</f>
        <v>1</v>
      </c>
      <c r="AB18" s="1337">
        <f t="shared" ref="AB18" si="9">D18/H18</f>
        <v>1</v>
      </c>
      <c r="AC18" s="1337">
        <f t="shared" ref="AC18" si="10">D18/J18</f>
        <v>1</v>
      </c>
    </row>
    <row r="19" spans="1:29" ht="15.5">
      <c r="A19" s="297"/>
      <c r="B19" s="515"/>
      <c r="C19" s="1134"/>
      <c r="D19" s="1139"/>
      <c r="E19" s="1131"/>
      <c r="F19" s="339"/>
      <c r="G19" s="1131"/>
      <c r="H19" s="336"/>
      <c r="I19" s="337"/>
      <c r="J19" s="336"/>
      <c r="K19" s="1132"/>
      <c r="L19" s="3037"/>
      <c r="M19" s="3028"/>
      <c r="N19" s="3028"/>
      <c r="O19" s="3036"/>
      <c r="P19" s="3493"/>
      <c r="Q19" s="1334"/>
      <c r="R19" s="631"/>
      <c r="S19" s="632"/>
      <c r="T19" s="631"/>
      <c r="U19" s="632"/>
      <c r="V19" s="631"/>
      <c r="W19" s="632"/>
      <c r="X19" s="1335"/>
      <c r="Y19" s="3493"/>
      <c r="Z19" s="1336"/>
      <c r="AA19" s="1337">
        <v>1</v>
      </c>
      <c r="AB19" s="1337">
        <v>1</v>
      </c>
      <c r="AC19" s="1337">
        <v>1</v>
      </c>
    </row>
    <row r="20" spans="1:29" ht="168">
      <c r="A20" s="297"/>
      <c r="B20" s="513" t="s">
        <v>2416</v>
      </c>
      <c r="C20" s="1145" t="str">
        <f>IF(B1="工业",估价对象房地状况!G7,估价对象房地状况!C9)</f>
        <v xml:space="preserve">自然环境：昌平公园、北山公园等自然景观；
人文环境：中国石油大学、中国政法大学昌平校区等人文场所；
综合评价环境状况好。
</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3"/>
      <c r="Q20" s="1334" t="str">
        <f>B20</f>
        <v>自然及人文环境</v>
      </c>
      <c r="R20" s="631" t="s">
        <v>25</v>
      </c>
      <c r="S20" s="632">
        <f>F20</f>
        <v>100</v>
      </c>
      <c r="T20" s="631" t="s">
        <v>25</v>
      </c>
      <c r="U20" s="632">
        <f>H20</f>
        <v>100</v>
      </c>
      <c r="V20" s="631" t="s">
        <v>25</v>
      </c>
      <c r="W20" s="632">
        <f>J20</f>
        <v>100</v>
      </c>
      <c r="X20" s="1335"/>
      <c r="Y20" s="3493"/>
      <c r="Z20" s="1336" t="str">
        <f>Q20</f>
        <v>自然及人文环境</v>
      </c>
      <c r="AA20" s="1337">
        <f t="shared" si="3"/>
        <v>1</v>
      </c>
      <c r="AB20" s="1337">
        <f t="shared" si="4"/>
        <v>1</v>
      </c>
      <c r="AC20" s="1337">
        <f t="shared" si="5"/>
        <v>1</v>
      </c>
    </row>
    <row r="21" spans="1:29" ht="15.5">
      <c r="A21" s="297"/>
      <c r="B21" s="514"/>
      <c r="C21" s="1144"/>
      <c r="D21" s="1138"/>
      <c r="E21" s="335"/>
      <c r="F21" s="336"/>
      <c r="G21" s="1135"/>
      <c r="H21" s="336"/>
      <c r="I21" s="335"/>
      <c r="J21" s="336"/>
      <c r="K21" s="501"/>
      <c r="L21" s="3037"/>
      <c r="M21" s="3028"/>
      <c r="N21" s="3028"/>
      <c r="O21" s="3036"/>
      <c r="P21" s="3493"/>
      <c r="Q21" s="1334"/>
      <c r="R21" s="631"/>
      <c r="S21" s="632"/>
      <c r="T21" s="631"/>
      <c r="U21" s="632"/>
      <c r="V21" s="631"/>
      <c r="W21" s="632"/>
      <c r="X21" s="1335"/>
      <c r="Y21" s="3493"/>
      <c r="Z21" s="1336"/>
      <c r="AA21" s="1337">
        <v>1</v>
      </c>
      <c r="AB21" s="1337">
        <v>1</v>
      </c>
      <c r="AC21" s="1337">
        <v>1</v>
      </c>
    </row>
    <row r="22" spans="1:29" ht="15.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3"/>
      <c r="Q22" s="1334" t="str">
        <f>B22</f>
        <v>楼层</v>
      </c>
      <c r="R22" s="631" t="s">
        <v>25</v>
      </c>
      <c r="S22" s="632">
        <f>F22</f>
        <v>100</v>
      </c>
      <c r="T22" s="631" t="s">
        <v>25</v>
      </c>
      <c r="U22" s="632">
        <f>H22</f>
        <v>100</v>
      </c>
      <c r="V22" s="631" t="s">
        <v>25</v>
      </c>
      <c r="W22" s="632">
        <f>J22</f>
        <v>100</v>
      </c>
      <c r="X22" s="1335"/>
      <c r="Y22" s="3493"/>
      <c r="Z22" s="1336" t="str">
        <f>Q22</f>
        <v>楼层</v>
      </c>
      <c r="AA22" s="1337">
        <f t="shared" si="3"/>
        <v>1</v>
      </c>
      <c r="AB22" s="1337">
        <f t="shared" si="4"/>
        <v>1</v>
      </c>
      <c r="AC22" s="1337">
        <f t="shared" si="5"/>
        <v>1</v>
      </c>
    </row>
    <row r="23" spans="1:29" ht="15.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3"/>
      <c r="Q23" s="1334">
        <f>B23</f>
        <v>111</v>
      </c>
      <c r="R23" s="631" t="s">
        <v>25</v>
      </c>
      <c r="S23" s="632">
        <f>F23</f>
        <v>100</v>
      </c>
      <c r="T23" s="631" t="s">
        <v>25</v>
      </c>
      <c r="U23" s="632">
        <f>H23</f>
        <v>100</v>
      </c>
      <c r="V23" s="631" t="s">
        <v>25</v>
      </c>
      <c r="W23" s="632">
        <f>J23</f>
        <v>100</v>
      </c>
      <c r="X23" s="1335"/>
      <c r="Y23" s="3493"/>
      <c r="Z23" s="1336">
        <f>Q23</f>
        <v>111</v>
      </c>
      <c r="AA23" s="1337">
        <f t="shared" si="3"/>
        <v>1</v>
      </c>
      <c r="AB23" s="1337">
        <f t="shared" si="4"/>
        <v>1</v>
      </c>
      <c r="AC23" s="1337">
        <f t="shared" si="5"/>
        <v>1</v>
      </c>
    </row>
    <row r="24" spans="1:29" ht="15.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3"/>
      <c r="Q24" s="1334">
        <f t="shared" ref="Q24:Q36" si="11">B24</f>
        <v>111</v>
      </c>
      <c r="R24" s="631" t="s">
        <v>25</v>
      </c>
      <c r="S24" s="632">
        <f>F24</f>
        <v>100</v>
      </c>
      <c r="T24" s="631" t="s">
        <v>25</v>
      </c>
      <c r="U24" s="632">
        <f>H24</f>
        <v>100</v>
      </c>
      <c r="V24" s="631" t="s">
        <v>25</v>
      </c>
      <c r="W24" s="632">
        <f>J24</f>
        <v>100</v>
      </c>
      <c r="X24" s="1335"/>
      <c r="Y24" s="3493"/>
      <c r="Z24" s="1336">
        <f>Q24</f>
        <v>111</v>
      </c>
      <c r="AA24" s="1337">
        <f t="shared" si="3"/>
        <v>1</v>
      </c>
      <c r="AB24" s="1337">
        <f t="shared" si="4"/>
        <v>1</v>
      </c>
      <c r="AC24" s="1337">
        <f t="shared" si="5"/>
        <v>1</v>
      </c>
    </row>
    <row r="25" spans="1:29" s="25" customFormat="1" ht="1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3"/>
      <c r="Q25" s="1327">
        <f t="shared" si="11"/>
        <v>111</v>
      </c>
      <c r="R25" s="627" t="s">
        <v>25</v>
      </c>
      <c r="S25" s="628">
        <f>F25</f>
        <v>100</v>
      </c>
      <c r="T25" s="627" t="s">
        <v>25</v>
      </c>
      <c r="U25" s="628">
        <f>H25</f>
        <v>100</v>
      </c>
      <c r="V25" s="627" t="s">
        <v>25</v>
      </c>
      <c r="W25" s="628">
        <f>J25</f>
        <v>100</v>
      </c>
      <c r="X25" s="629"/>
      <c r="Y25" s="3493"/>
      <c r="Z25" s="19">
        <f>Q25</f>
        <v>111</v>
      </c>
      <c r="AA25" s="1337">
        <f>D25/F25</f>
        <v>1</v>
      </c>
      <c r="AB25" s="1337">
        <f>D25/H25</f>
        <v>1</v>
      </c>
      <c r="AC25" s="1337">
        <f>D25/J25</f>
        <v>1</v>
      </c>
    </row>
    <row r="26" spans="1:29" ht="29">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80"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1" t="s">
        <v>2284</v>
      </c>
      <c r="Z26" s="1336" t="str">
        <f t="shared" ref="Z26:Z36" si="15">Q26</f>
        <v>配套类型</v>
      </c>
      <c r="AA26" s="1337">
        <f t="shared" si="3"/>
        <v>1</v>
      </c>
      <c r="AB26" s="1337">
        <f t="shared" si="4"/>
        <v>1</v>
      </c>
      <c r="AC26" s="1337">
        <f t="shared" si="5"/>
        <v>1</v>
      </c>
    </row>
    <row r="27" spans="1:29" s="359" customFormat="1" ht="15.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81"/>
      <c r="Q27" s="633" t="str">
        <f t="shared" si="11"/>
        <v>项目停车位配比</v>
      </c>
      <c r="R27" s="634" t="s">
        <v>25</v>
      </c>
      <c r="S27" s="635">
        <f t="shared" si="12"/>
        <v>100</v>
      </c>
      <c r="T27" s="634" t="s">
        <v>25</v>
      </c>
      <c r="U27" s="635">
        <f t="shared" si="13"/>
        <v>100</v>
      </c>
      <c r="V27" s="634" t="s">
        <v>25</v>
      </c>
      <c r="W27" s="635">
        <f t="shared" si="14"/>
        <v>100</v>
      </c>
      <c r="X27" s="636"/>
      <c r="Y27" s="3481"/>
      <c r="Z27" s="637" t="str">
        <f t="shared" si="15"/>
        <v>项目停车位配比</v>
      </c>
      <c r="AA27" s="1337">
        <f t="shared" si="3"/>
        <v>1</v>
      </c>
      <c r="AB27" s="1337">
        <f t="shared" si="4"/>
        <v>1</v>
      </c>
      <c r="AC27" s="1337">
        <f t="shared" si="5"/>
        <v>1</v>
      </c>
    </row>
    <row r="28" spans="1:29" ht="15.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81"/>
      <c r="Q28" s="1334" t="str">
        <f t="shared" si="11"/>
        <v>公共部分装修</v>
      </c>
      <c r="R28" s="631" t="s">
        <v>25</v>
      </c>
      <c r="S28" s="632">
        <f t="shared" si="12"/>
        <v>100</v>
      </c>
      <c r="T28" s="631" t="s">
        <v>25</v>
      </c>
      <c r="U28" s="632">
        <f t="shared" si="13"/>
        <v>100</v>
      </c>
      <c r="V28" s="631" t="s">
        <v>25</v>
      </c>
      <c r="W28" s="632">
        <f t="shared" si="14"/>
        <v>100</v>
      </c>
      <c r="X28" s="1335"/>
      <c r="Y28" s="3481"/>
      <c r="Z28" s="1336" t="str">
        <f t="shared" si="15"/>
        <v>公共部分装修</v>
      </c>
      <c r="AA28" s="1337">
        <f t="shared" si="3"/>
        <v>1</v>
      </c>
      <c r="AB28" s="1337">
        <f t="shared" si="4"/>
        <v>1</v>
      </c>
      <c r="AC28" s="1337">
        <f t="shared" si="5"/>
        <v>1</v>
      </c>
    </row>
    <row r="29" spans="1:29" ht="15.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81"/>
      <c r="Q29" s="1334" t="str">
        <f t="shared" si="11"/>
        <v>成新率</v>
      </c>
      <c r="R29" s="631" t="s">
        <v>25</v>
      </c>
      <c r="S29" s="632" t="e">
        <f t="shared" si="12"/>
        <v>#N/A</v>
      </c>
      <c r="T29" s="631" t="s">
        <v>25</v>
      </c>
      <c r="U29" s="632" t="e">
        <f t="shared" si="13"/>
        <v>#N/A</v>
      </c>
      <c r="V29" s="631" t="s">
        <v>25</v>
      </c>
      <c r="W29" s="632" t="e">
        <f t="shared" si="14"/>
        <v>#N/A</v>
      </c>
      <c r="X29" s="1335"/>
      <c r="Y29" s="3481"/>
      <c r="Z29" s="1336" t="str">
        <f t="shared" si="15"/>
        <v>成新率</v>
      </c>
      <c r="AA29" s="1337" t="e">
        <f t="shared" si="3"/>
        <v>#N/A</v>
      </c>
      <c r="AB29" s="1337" t="e">
        <f t="shared" si="4"/>
        <v>#N/A</v>
      </c>
      <c r="AC29" s="1337" t="e">
        <f t="shared" si="5"/>
        <v>#N/A</v>
      </c>
    </row>
    <row r="30" spans="1:29" ht="15.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81"/>
      <c r="Q30" s="1334" t="str">
        <f t="shared" si="11"/>
        <v>物业等级</v>
      </c>
      <c r="R30" s="631" t="s">
        <v>25</v>
      </c>
      <c r="S30" s="632">
        <f t="shared" si="12"/>
        <v>100</v>
      </c>
      <c r="T30" s="631" t="s">
        <v>25</v>
      </c>
      <c r="U30" s="632">
        <f t="shared" si="13"/>
        <v>100</v>
      </c>
      <c r="V30" s="631" t="s">
        <v>25</v>
      </c>
      <c r="W30" s="632">
        <f t="shared" si="14"/>
        <v>100</v>
      </c>
      <c r="X30" s="1335"/>
      <c r="Y30" s="3481"/>
      <c r="Z30" s="1336" t="str">
        <f t="shared" si="15"/>
        <v>物业等级</v>
      </c>
      <c r="AA30" s="1337">
        <f t="shared" si="3"/>
        <v>1</v>
      </c>
      <c r="AB30" s="1337">
        <f t="shared" si="4"/>
        <v>1</v>
      </c>
      <c r="AC30" s="1337">
        <f t="shared" si="5"/>
        <v>1</v>
      </c>
    </row>
    <row r="31" spans="1:29" s="25" customFormat="1" ht="15.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81"/>
      <c r="Q31" s="1327" t="str">
        <f t="shared" si="11"/>
        <v>停车位面积</v>
      </c>
      <c r="R31" s="627" t="s">
        <v>25</v>
      </c>
      <c r="S31" s="628" t="e">
        <f t="shared" si="12"/>
        <v>#N/A</v>
      </c>
      <c r="T31" s="627" t="s">
        <v>25</v>
      </c>
      <c r="U31" s="628" t="e">
        <f t="shared" si="13"/>
        <v>#N/A</v>
      </c>
      <c r="V31" s="627" t="s">
        <v>25</v>
      </c>
      <c r="W31" s="628" t="e">
        <f t="shared" si="14"/>
        <v>#N/A</v>
      </c>
      <c r="X31" s="629"/>
      <c r="Y31" s="3481"/>
      <c r="Z31" s="19" t="str">
        <f t="shared" si="15"/>
        <v>停车位面积</v>
      </c>
      <c r="AA31" s="630" t="e">
        <f t="shared" si="3"/>
        <v>#N/A</v>
      </c>
      <c r="AB31" s="630" t="e">
        <f t="shared" si="4"/>
        <v>#N/A</v>
      </c>
      <c r="AC31" s="630" t="e">
        <f t="shared" si="5"/>
        <v>#N/A</v>
      </c>
    </row>
    <row r="32" spans="1:29" ht="15.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81" t="s">
        <v>2284</v>
      </c>
      <c r="Q32" s="1334" t="str">
        <f t="shared" si="11"/>
        <v>车位类型</v>
      </c>
      <c r="R32" s="631" t="s">
        <v>25</v>
      </c>
      <c r="S32" s="632">
        <f t="shared" si="12"/>
        <v>100</v>
      </c>
      <c r="T32" s="631" t="s">
        <v>25</v>
      </c>
      <c r="U32" s="632">
        <f t="shared" si="13"/>
        <v>100</v>
      </c>
      <c r="V32" s="631" t="s">
        <v>25</v>
      </c>
      <c r="W32" s="632">
        <f t="shared" si="14"/>
        <v>100</v>
      </c>
      <c r="X32" s="1335"/>
      <c r="Y32" s="3481" t="s">
        <v>2284</v>
      </c>
      <c r="Z32" s="1336" t="str">
        <f t="shared" si="15"/>
        <v>车位类型</v>
      </c>
      <c r="AA32" s="1337">
        <f t="shared" si="3"/>
        <v>1</v>
      </c>
      <c r="AB32" s="1337">
        <f t="shared" si="4"/>
        <v>1</v>
      </c>
      <c r="AC32" s="1337">
        <f t="shared" si="5"/>
        <v>1</v>
      </c>
    </row>
    <row r="33" spans="1:29" ht="15.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81"/>
      <c r="Q33" s="1334" t="str">
        <f t="shared" si="11"/>
        <v>是否直接入户</v>
      </c>
      <c r="R33" s="631" t="s">
        <v>25</v>
      </c>
      <c r="S33" s="632">
        <f t="shared" si="12"/>
        <v>100</v>
      </c>
      <c r="T33" s="631" t="s">
        <v>25</v>
      </c>
      <c r="U33" s="632">
        <f t="shared" si="13"/>
        <v>100</v>
      </c>
      <c r="V33" s="631" t="s">
        <v>25</v>
      </c>
      <c r="W33" s="632">
        <f t="shared" si="14"/>
        <v>100</v>
      </c>
      <c r="X33" s="1335"/>
      <c r="Y33" s="3481"/>
      <c r="Z33" s="1336" t="str">
        <f t="shared" si="15"/>
        <v>是否直接入户</v>
      </c>
      <c r="AA33" s="1337">
        <f t="shared" si="3"/>
        <v>1</v>
      </c>
      <c r="AB33" s="1337">
        <f t="shared" si="4"/>
        <v>1</v>
      </c>
      <c r="AC33" s="1337">
        <f t="shared" si="5"/>
        <v>1</v>
      </c>
    </row>
    <row r="34" spans="1:29" ht="15.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81"/>
      <c r="Q34" s="1334">
        <f t="shared" si="11"/>
        <v>111</v>
      </c>
      <c r="R34" s="631" t="s">
        <v>25</v>
      </c>
      <c r="S34" s="632">
        <f t="shared" si="12"/>
        <v>100</v>
      </c>
      <c r="T34" s="631" t="s">
        <v>25</v>
      </c>
      <c r="U34" s="632">
        <f t="shared" si="13"/>
        <v>100</v>
      </c>
      <c r="V34" s="631" t="s">
        <v>25</v>
      </c>
      <c r="W34" s="632">
        <f t="shared" si="14"/>
        <v>100</v>
      </c>
      <c r="X34" s="1335"/>
      <c r="Y34" s="3481"/>
      <c r="Z34" s="1336">
        <f t="shared" si="15"/>
        <v>111</v>
      </c>
      <c r="AA34" s="1337">
        <f t="shared" si="3"/>
        <v>1</v>
      </c>
      <c r="AB34" s="1337">
        <f t="shared" si="4"/>
        <v>1</v>
      </c>
      <c r="AC34" s="1337">
        <f t="shared" si="5"/>
        <v>1</v>
      </c>
    </row>
    <row r="35" spans="1:29" s="359" customFormat="1" ht="15.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81"/>
      <c r="Q35" s="633">
        <f t="shared" si="11"/>
        <v>111</v>
      </c>
      <c r="R35" s="634" t="s">
        <v>25</v>
      </c>
      <c r="S35" s="635">
        <f t="shared" si="12"/>
        <v>100</v>
      </c>
      <c r="T35" s="634" t="s">
        <v>25</v>
      </c>
      <c r="U35" s="635">
        <f t="shared" si="13"/>
        <v>100</v>
      </c>
      <c r="V35" s="634" t="s">
        <v>25</v>
      </c>
      <c r="W35" s="635">
        <f t="shared" si="14"/>
        <v>100</v>
      </c>
      <c r="X35" s="636"/>
      <c r="Y35" s="3481"/>
      <c r="Z35" s="637">
        <f t="shared" si="15"/>
        <v>111</v>
      </c>
      <c r="AA35" s="1337">
        <f t="shared" si="3"/>
        <v>1</v>
      </c>
      <c r="AB35" s="1337">
        <f t="shared" si="4"/>
        <v>1</v>
      </c>
      <c r="AC35" s="1337">
        <f t="shared" si="5"/>
        <v>1</v>
      </c>
    </row>
    <row r="36" spans="1:29" ht="1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81"/>
      <c r="Q36" s="1334">
        <f t="shared" si="11"/>
        <v>111</v>
      </c>
      <c r="R36" s="631" t="s">
        <v>25</v>
      </c>
      <c r="S36" s="632">
        <f t="shared" si="12"/>
        <v>100</v>
      </c>
      <c r="T36" s="631" t="s">
        <v>25</v>
      </c>
      <c r="U36" s="632">
        <f t="shared" si="13"/>
        <v>100</v>
      </c>
      <c r="V36" s="631" t="s">
        <v>25</v>
      </c>
      <c r="W36" s="632">
        <f t="shared" si="14"/>
        <v>100</v>
      </c>
      <c r="X36" s="1335"/>
      <c r="Y36" s="3481"/>
      <c r="Z36" s="1336">
        <f t="shared" si="15"/>
        <v>111</v>
      </c>
      <c r="AA36" s="1337">
        <f t="shared" si="3"/>
        <v>1</v>
      </c>
      <c r="AB36" s="1337">
        <f t="shared" si="4"/>
        <v>1</v>
      </c>
      <c r="AC36" s="1337">
        <f t="shared" si="5"/>
        <v>1</v>
      </c>
    </row>
    <row r="37" spans="1:29">
      <c r="A37" s="367" t="s">
        <v>2426</v>
      </c>
      <c r="B37" s="840" t="s">
        <v>2427</v>
      </c>
      <c r="C37" s="1153" t="s">
        <v>1</v>
      </c>
      <c r="D37" s="1154"/>
      <c r="E37" s="1155"/>
      <c r="F37" s="1156"/>
      <c r="G37" s="1157"/>
      <c r="H37" s="1158"/>
      <c r="I37" s="1155"/>
      <c r="J37" s="1158"/>
      <c r="K37" s="503"/>
      <c r="L37" s="3039"/>
      <c r="N37" s="3028"/>
      <c r="P37" s="3475" t="str">
        <f>A37</f>
        <v>成交单价</v>
      </c>
      <c r="Q37" s="3475"/>
      <c r="R37" s="3476">
        <f>E37</f>
        <v>0</v>
      </c>
      <c r="S37" s="3476"/>
      <c r="T37" s="3476">
        <f>G37</f>
        <v>0</v>
      </c>
      <c r="U37" s="3476"/>
      <c r="V37" s="3476">
        <f>I37</f>
        <v>0</v>
      </c>
      <c r="W37" s="3476"/>
      <c r="X37" s="618"/>
      <c r="Y37" s="638"/>
      <c r="Z37" s="618"/>
      <c r="AA37" s="618"/>
      <c r="AB37" s="618"/>
      <c r="AC37" s="618"/>
    </row>
    <row r="38" spans="1:29" ht="14.5" thickBot="1">
      <c r="A38" s="374" t="s">
        <v>2428</v>
      </c>
      <c r="B38" s="375" t="str">
        <f>B37</f>
        <v>元/平方米</v>
      </c>
      <c r="C38" s="1159" t="e">
        <f>R39</f>
        <v>#DIV/0!</v>
      </c>
      <c r="D38" s="1797" t="s">
        <v>2752</v>
      </c>
      <c r="E38" s="1160" t="e">
        <f>R38</f>
        <v>#DIV/0!</v>
      </c>
      <c r="F38" s="1799"/>
      <c r="G38" s="1159" t="e">
        <f>T38</f>
        <v>#DIV/0!</v>
      </c>
      <c r="H38" s="1799"/>
      <c r="I38" s="1160" t="e">
        <f>V38</f>
        <v>#DIV/0!</v>
      </c>
      <c r="J38" s="1799"/>
      <c r="K38" s="2513">
        <f>F38+H38+J38</f>
        <v>0</v>
      </c>
      <c r="L38" s="3039"/>
      <c r="P38" s="3475" t="str">
        <f>A38</f>
        <v>比较价值</v>
      </c>
      <c r="Q38" s="3475"/>
      <c r="R38" s="3476" t="e">
        <f>IF(E1="售价",ROUND(PRODUCT(R37,AA7:AA36),0),ROUND(PRODUCT(R37,AA7:AA36),1))</f>
        <v>#DIV/0!</v>
      </c>
      <c r="S38" s="3476"/>
      <c r="T38" s="3476" t="e">
        <f>IF(E1="售价",ROUND(PRODUCT(T37,AB7:AB36),0),ROUND(PRODUCT(T37,AB7:AB36),1))</f>
        <v>#DIV/0!</v>
      </c>
      <c r="U38" s="3476"/>
      <c r="V38" s="3476" t="e">
        <f>IF(E1="售价",ROUND(PRODUCT(V37,AC7:AC36),0),ROUND(PRODUCT(V37,AC7:AC36),1))</f>
        <v>#DIV/0!</v>
      </c>
      <c r="W38" s="3476"/>
      <c r="X38" s="618"/>
      <c r="Y38" s="618"/>
      <c r="Z38" s="618"/>
      <c r="AA38" s="618"/>
      <c r="AB38" s="618"/>
      <c r="AC38" s="618"/>
    </row>
    <row r="39" spans="1:29" ht="14.5" thickBot="1">
      <c r="A39" s="378" t="s">
        <v>2429</v>
      </c>
      <c r="B39" s="379"/>
      <c r="C39" s="1161" t="e">
        <f>R39</f>
        <v>#DIV/0!</v>
      </c>
      <c r="D39" s="1161"/>
      <c r="E39" s="1161"/>
      <c r="F39" s="1161"/>
      <c r="G39" s="1161"/>
      <c r="H39" s="1161"/>
      <c r="I39" s="1161"/>
      <c r="J39" s="1161"/>
      <c r="K39" s="504"/>
      <c r="L39" s="3039"/>
      <c r="P39" s="3477" t="str">
        <f>A39</f>
        <v>估价对象XX用房的比较价值（楼面单价，元/平方米）</v>
      </c>
      <c r="Q39" s="3478"/>
      <c r="R39" s="3479" t="e">
        <f>IF(E1="售价",ROUND(IF(D38="简单平均",AVERAGE(R38:W38),R38*F38+T38*H38+V38*J38),0),ROUND(IF(D38="简单平均",AVERAGE(R38:V38),R38*F38+T38*H38+V38*J38),1))</f>
        <v>#DIV/0!</v>
      </c>
      <c r="S39" s="3479"/>
      <c r="T39" s="3479"/>
      <c r="U39" s="3479"/>
      <c r="V39" s="3479"/>
      <c r="W39" s="3479"/>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c r="A48" s="391" t="s">
        <v>2434</v>
      </c>
      <c r="B48" s="392"/>
      <c r="C48" s="1187" t="str">
        <f>YEAR(C7)&amp;"-"&amp;MONTH(C7)</f>
        <v>2020-8</v>
      </c>
      <c r="D48" s="1188">
        <f>EDATE(C48,-1)</f>
        <v>44013</v>
      </c>
      <c r="E48" s="1188">
        <f t="shared" ref="E48:O48" si="16">EDATE(D48,-1)</f>
        <v>43983</v>
      </c>
      <c r="F48" s="1188">
        <f t="shared" si="16"/>
        <v>43952</v>
      </c>
      <c r="G48" s="1188">
        <f t="shared" si="16"/>
        <v>43922</v>
      </c>
      <c r="H48" s="1188">
        <f t="shared" si="16"/>
        <v>43891</v>
      </c>
      <c r="I48" s="1188">
        <f t="shared" si="16"/>
        <v>43862</v>
      </c>
      <c r="J48" s="1188">
        <f t="shared" si="16"/>
        <v>43831</v>
      </c>
      <c r="K48" s="1188">
        <f t="shared" si="16"/>
        <v>43800</v>
      </c>
      <c r="L48" s="1188">
        <f t="shared" si="16"/>
        <v>43770</v>
      </c>
      <c r="M48" s="1188">
        <f t="shared" si="16"/>
        <v>43739</v>
      </c>
      <c r="N48" s="1188">
        <f t="shared" si="16"/>
        <v>43709</v>
      </c>
      <c r="O48" s="1188">
        <f t="shared" si="16"/>
        <v>43678</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4.5" thickBot="1">
      <c r="A50" s="400" t="s">
        <v>2304</v>
      </c>
      <c r="B50" s="401"/>
      <c r="C50" s="402"/>
      <c r="D50" s="403"/>
      <c r="E50" s="403"/>
      <c r="F50" s="403"/>
      <c r="G50" s="403"/>
      <c r="H50" s="403"/>
      <c r="I50" s="403"/>
      <c r="J50" s="403"/>
      <c r="K50" s="403"/>
      <c r="L50" s="403"/>
      <c r="M50" s="404"/>
      <c r="N50" s="403"/>
      <c r="O50" s="405"/>
      <c r="P50" s="390"/>
      <c r="Q50" s="390"/>
    </row>
    <row r="51" spans="1:17" s="25" customFormat="1">
      <c r="A51" s="406" t="s">
        <v>2268</v>
      </c>
      <c r="B51" s="396"/>
      <c r="C51" s="407" t="s">
        <v>2269</v>
      </c>
      <c r="D51" s="408"/>
      <c r="E51" s="408"/>
      <c r="F51" s="408"/>
      <c r="G51" s="408"/>
      <c r="H51" s="408"/>
      <c r="I51" s="408"/>
      <c r="J51" s="408"/>
      <c r="K51" s="408"/>
      <c r="L51" s="409"/>
      <c r="M51" s="410"/>
      <c r="N51" s="27"/>
      <c r="O51" s="27"/>
      <c r="P51" s="411"/>
      <c r="Q51" s="390"/>
    </row>
    <row r="52" spans="1:17" s="25" customFormat="1" ht="14.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4.5" thickBot="1">
      <c r="A54" s="420"/>
      <c r="B54" s="421"/>
      <c r="C54" s="422">
        <v>100</v>
      </c>
      <c r="D54" s="422"/>
      <c r="E54" s="422"/>
      <c r="F54" s="422"/>
      <c r="G54" s="422"/>
      <c r="H54" s="422"/>
      <c r="I54" s="422"/>
      <c r="J54" s="422"/>
      <c r="K54" s="422"/>
      <c r="L54" s="422"/>
      <c r="M54" s="423"/>
      <c r="N54" s="424"/>
      <c r="O54" s="424"/>
      <c r="P54" s="18"/>
      <c r="Q54" s="390"/>
    </row>
    <row r="55" spans="1:17" ht="28.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4.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5" thickTop="1">
      <c r="A57" s="420"/>
      <c r="B57" s="541">
        <f>B11</f>
        <v>111</v>
      </c>
      <c r="C57" s="436"/>
      <c r="D57" s="436"/>
      <c r="E57" s="436"/>
      <c r="F57" s="436"/>
      <c r="G57" s="436"/>
      <c r="H57" s="436"/>
      <c r="I57" s="436"/>
      <c r="J57" s="436"/>
      <c r="K57" s="437"/>
      <c r="L57" s="438"/>
      <c r="M57" s="439"/>
      <c r="N57" s="419"/>
      <c r="O57" s="419"/>
      <c r="P57" s="18"/>
      <c r="Q57" s="390"/>
    </row>
    <row r="58" spans="1:17" ht="14.5" thickBot="1">
      <c r="A58" s="420"/>
      <c r="B58" s="421"/>
      <c r="C58" s="448"/>
      <c r="D58" s="422"/>
      <c r="E58" s="422"/>
      <c r="F58" s="422"/>
      <c r="G58" s="422"/>
      <c r="H58" s="422"/>
      <c r="I58" s="422"/>
      <c r="J58" s="422"/>
      <c r="K58" s="422"/>
      <c r="L58" s="422"/>
      <c r="M58" s="423"/>
      <c r="N58" s="424"/>
      <c r="O58" s="424"/>
      <c r="P58" s="18"/>
      <c r="Q58" s="390"/>
    </row>
    <row r="59" spans="1:17" s="359" customFormat="1" ht="14.5" thickTop="1">
      <c r="A59" s="440"/>
      <c r="B59" s="425">
        <f>B12</f>
        <v>111</v>
      </c>
      <c r="C59" s="436"/>
      <c r="D59" s="436"/>
      <c r="E59" s="436"/>
      <c r="F59" s="436"/>
      <c r="G59" s="441"/>
      <c r="H59" s="442"/>
      <c r="I59" s="442"/>
      <c r="J59" s="442"/>
      <c r="K59" s="442"/>
      <c r="L59" s="443"/>
      <c r="M59" s="444"/>
      <c r="N59" s="445"/>
      <c r="O59" s="445"/>
      <c r="P59" s="446"/>
      <c r="Q59" s="447"/>
    </row>
    <row r="60" spans="1:17" s="359" customFormat="1" ht="14.5" thickBot="1">
      <c r="A60" s="440"/>
      <c r="B60" s="430"/>
      <c r="C60" s="448"/>
      <c r="D60" s="422"/>
      <c r="E60" s="422"/>
      <c r="F60" s="422"/>
      <c r="G60" s="422"/>
      <c r="H60" s="422"/>
      <c r="I60" s="422"/>
      <c r="J60" s="422"/>
      <c r="K60" s="422"/>
      <c r="L60" s="422"/>
      <c r="M60" s="423"/>
      <c r="N60" s="424"/>
      <c r="O60" s="424"/>
      <c r="P60" s="446"/>
      <c r="Q60" s="447"/>
    </row>
    <row r="61" spans="1:17" s="359" customFormat="1" ht="14.5" thickTop="1">
      <c r="A61" s="440"/>
      <c r="B61" s="425">
        <f>B13</f>
        <v>111</v>
      </c>
      <c r="C61" s="441"/>
      <c r="D61" s="441"/>
      <c r="E61" s="441"/>
      <c r="F61" s="441"/>
      <c r="G61" s="441"/>
      <c r="H61" s="442"/>
      <c r="I61" s="442"/>
      <c r="J61" s="442"/>
      <c r="K61" s="442"/>
      <c r="L61" s="443"/>
      <c r="M61" s="444"/>
      <c r="N61" s="445"/>
      <c r="O61" s="445"/>
      <c r="P61" s="358"/>
      <c r="Q61" s="449"/>
    </row>
    <row r="62" spans="1:17" s="359" customFormat="1" ht="14.5" thickBot="1">
      <c r="A62" s="440"/>
      <c r="B62" s="430"/>
      <c r="C62" s="448"/>
      <c r="D62" s="448"/>
      <c r="E62" s="448"/>
      <c r="F62" s="448"/>
      <c r="G62" s="448"/>
      <c r="H62" s="450"/>
      <c r="I62" s="450"/>
      <c r="J62" s="450"/>
      <c r="K62" s="450"/>
      <c r="L62" s="450"/>
      <c r="M62" s="451"/>
      <c r="N62" s="445"/>
      <c r="O62" s="445"/>
      <c r="P62" s="446"/>
      <c r="Q62" s="447"/>
    </row>
    <row r="63" spans="1:17" ht="14.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4.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4.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4.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4.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4.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4.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4.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4.5" thickTop="1">
      <c r="A71" s="420"/>
      <c r="B71" s="425" t="s">
        <v>2435</v>
      </c>
      <c r="C71" s="441"/>
      <c r="D71" s="441"/>
      <c r="E71" s="441"/>
      <c r="F71" s="441"/>
      <c r="G71" s="441"/>
      <c r="H71" s="471"/>
      <c r="I71" s="471"/>
      <c r="J71" s="471"/>
      <c r="K71" s="472"/>
      <c r="L71" s="473"/>
      <c r="M71" s="474"/>
      <c r="N71" s="419"/>
      <c r="O71" s="419"/>
      <c r="P71" s="18"/>
      <c r="Q71" s="390"/>
    </row>
    <row r="72" spans="1:17" ht="14.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5" thickTop="1">
      <c r="A73" s="467"/>
      <c r="B73" s="425">
        <f>B23</f>
        <v>111</v>
      </c>
      <c r="C73" s="436"/>
      <c r="D73" s="436"/>
      <c r="E73" s="436"/>
      <c r="F73" s="436"/>
      <c r="G73" s="441"/>
      <c r="H73" s="441"/>
      <c r="I73" s="441"/>
      <c r="J73" s="441"/>
      <c r="K73" s="441"/>
      <c r="L73" s="468"/>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25" customFormat="1" ht="14.5" thickTop="1">
      <c r="A75" s="467"/>
      <c r="B75" s="425">
        <f>B24</f>
        <v>111</v>
      </c>
      <c r="C75" s="436"/>
      <c r="D75" s="436"/>
      <c r="E75" s="436"/>
      <c r="F75" s="436"/>
      <c r="G75" s="441"/>
      <c r="H75" s="441"/>
      <c r="I75" s="441"/>
      <c r="J75" s="441"/>
      <c r="K75" s="441"/>
      <c r="L75" s="441"/>
      <c r="M75" s="469"/>
      <c r="N75" s="27"/>
      <c r="O75" s="27"/>
      <c r="P75" s="18"/>
      <c r="Q75" s="390"/>
    </row>
    <row r="76" spans="1:17" s="25" customFormat="1" ht="14.5" thickBot="1">
      <c r="A76" s="467"/>
      <c r="B76" s="430"/>
      <c r="C76" s="448"/>
      <c r="D76" s="422"/>
      <c r="E76" s="422"/>
      <c r="F76" s="422"/>
      <c r="G76" s="422"/>
      <c r="H76" s="422"/>
      <c r="I76" s="422"/>
      <c r="J76" s="422"/>
      <c r="K76" s="422"/>
      <c r="L76" s="422"/>
      <c r="M76" s="423"/>
      <c r="N76" s="424"/>
      <c r="O76" s="424"/>
      <c r="P76" s="18"/>
      <c r="Q76" s="390"/>
    </row>
    <row r="77" spans="1:17" s="359" customFormat="1" ht="14.5" thickTop="1">
      <c r="A77" s="440"/>
      <c r="B77" s="425">
        <f>B25</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48"/>
      <c r="E78" s="448"/>
      <c r="F78" s="448"/>
      <c r="G78" s="422"/>
      <c r="H78" s="422"/>
      <c r="I78" s="422"/>
      <c r="J78" s="422"/>
      <c r="K78" s="422"/>
      <c r="L78" s="422"/>
      <c r="M78" s="423"/>
      <c r="N78" s="445"/>
      <c r="O78" s="445"/>
      <c r="P78" s="446"/>
      <c r="Q78" s="447"/>
    </row>
    <row r="79" spans="1:17" ht="28.5" thickTop="1">
      <c r="A79" s="412" t="s">
        <v>2282</v>
      </c>
      <c r="B79" s="413" t="s">
        <v>2436</v>
      </c>
      <c r="C79" s="414">
        <f>C26</f>
        <v>0</v>
      </c>
      <c r="D79" s="415"/>
      <c r="E79" s="415"/>
      <c r="F79" s="415"/>
      <c r="G79" s="415"/>
      <c r="H79" s="415"/>
      <c r="I79" s="415"/>
      <c r="J79" s="415"/>
      <c r="K79" s="416"/>
      <c r="L79" s="417"/>
      <c r="M79" s="418"/>
      <c r="N79" s="419"/>
      <c r="O79" s="419"/>
      <c r="P79" s="18"/>
      <c r="Q79" s="390"/>
    </row>
    <row r="80" spans="1:17" ht="14.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4.5" thickTop="1">
      <c r="A81" s="420"/>
      <c r="B81" s="425" t="s">
        <v>2437</v>
      </c>
      <c r="C81" s="542"/>
      <c r="D81" s="542"/>
      <c r="E81" s="542"/>
      <c r="F81" s="542"/>
      <c r="G81" s="542"/>
      <c r="H81" s="542"/>
      <c r="I81" s="542"/>
      <c r="J81" s="542"/>
      <c r="K81" s="543"/>
      <c r="L81" s="544"/>
      <c r="M81" s="545"/>
      <c r="N81" s="27"/>
      <c r="O81" s="27"/>
      <c r="P81" s="18"/>
      <c r="Q81" s="390"/>
    </row>
    <row r="82" spans="1:17" s="359" customFormat="1" ht="14.5" thickBot="1">
      <c r="A82" s="440"/>
      <c r="B82" s="430"/>
      <c r="C82" s="448"/>
      <c r="D82" s="422"/>
      <c r="E82" s="422"/>
      <c r="F82" s="422"/>
      <c r="G82" s="422"/>
      <c r="H82" s="422"/>
      <c r="I82" s="422"/>
      <c r="J82" s="422"/>
      <c r="K82" s="422"/>
      <c r="L82" s="422"/>
      <c r="M82" s="423"/>
      <c r="N82" s="424"/>
      <c r="O82" s="424"/>
      <c r="P82" s="446"/>
      <c r="Q82" s="447"/>
    </row>
    <row r="83" spans="1:17" ht="14.5" thickTop="1">
      <c r="A83" s="487"/>
      <c r="B83" s="425" t="s">
        <v>2335</v>
      </c>
      <c r="C83" s="441"/>
      <c r="D83" s="441"/>
      <c r="E83" s="471"/>
      <c r="F83" s="471"/>
      <c r="G83" s="471"/>
      <c r="H83" s="471"/>
      <c r="I83" s="471"/>
      <c r="J83" s="471"/>
      <c r="K83" s="472"/>
      <c r="L83" s="473"/>
      <c r="M83" s="474"/>
      <c r="N83" s="419"/>
      <c r="O83" s="419"/>
      <c r="P83" s="18"/>
      <c r="Q83" s="390"/>
    </row>
    <row r="84" spans="1:17" ht="14.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4.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4.5" thickTop="1">
      <c r="A88" s="487"/>
      <c r="B88" s="433" t="s">
        <v>2439</v>
      </c>
      <c r="C88" s="415"/>
      <c r="D88" s="415"/>
      <c r="E88" s="415"/>
      <c r="F88" s="415"/>
      <c r="G88" s="415"/>
      <c r="H88" s="415"/>
      <c r="I88" s="415"/>
      <c r="J88" s="415"/>
      <c r="K88" s="416"/>
      <c r="L88" s="417"/>
      <c r="M88" s="418"/>
      <c r="N88" s="419"/>
      <c r="O88" s="419"/>
      <c r="P88" s="18"/>
      <c r="Q88" s="390"/>
    </row>
    <row r="89" spans="1:17" ht="14.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4.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5" thickBot="1">
      <c r="A92" s="440"/>
      <c r="B92" s="430"/>
      <c r="C92" s="448"/>
      <c r="D92" s="422"/>
      <c r="E92" s="422"/>
      <c r="F92" s="422"/>
      <c r="G92" s="422"/>
      <c r="H92" s="422"/>
      <c r="I92" s="422"/>
      <c r="J92" s="422"/>
      <c r="K92" s="422"/>
      <c r="L92" s="422"/>
      <c r="M92" s="423"/>
      <c r="N92" s="445"/>
      <c r="O92" s="445"/>
      <c r="P92" s="446"/>
      <c r="Q92" s="447"/>
    </row>
    <row r="93" spans="1:17" ht="14.5" thickTop="1">
      <c r="A93" s="487"/>
      <c r="B93" s="425" t="s">
        <v>2441</v>
      </c>
      <c r="C93" s="441"/>
      <c r="D93" s="441"/>
      <c r="E93" s="471"/>
      <c r="F93" s="471"/>
      <c r="G93" s="471"/>
      <c r="H93" s="471"/>
      <c r="I93" s="471"/>
      <c r="J93" s="471"/>
      <c r="K93" s="472"/>
      <c r="L93" s="473"/>
      <c r="M93" s="474"/>
      <c r="N93" s="419"/>
      <c r="O93" s="419"/>
      <c r="P93" s="18"/>
      <c r="Q93" s="390"/>
    </row>
    <row r="94" spans="1:17" ht="14.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4.5" thickTop="1">
      <c r="A95" s="487"/>
      <c r="B95" s="425" t="s">
        <v>2442</v>
      </c>
      <c r="C95" s="415"/>
      <c r="D95" s="415"/>
      <c r="E95" s="415"/>
      <c r="F95" s="415"/>
      <c r="G95" s="415"/>
      <c r="H95" s="415"/>
      <c r="I95" s="415"/>
      <c r="J95" s="415"/>
      <c r="K95" s="416"/>
      <c r="L95" s="417"/>
      <c r="M95" s="418"/>
      <c r="N95" s="419"/>
      <c r="O95" s="419"/>
      <c r="P95" s="18"/>
      <c r="Q95" s="390"/>
    </row>
    <row r="96" spans="1:17" ht="14.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5" thickTop="1">
      <c r="A97" s="487"/>
      <c r="B97" s="518">
        <f>B34</f>
        <v>111</v>
      </c>
      <c r="C97" s="436"/>
      <c r="D97" s="436"/>
      <c r="E97" s="436"/>
      <c r="F97" s="436"/>
      <c r="G97" s="441"/>
      <c r="H97" s="442"/>
      <c r="I97" s="442"/>
      <c r="J97" s="442"/>
      <c r="K97" s="442"/>
      <c r="L97" s="443"/>
      <c r="M97" s="444"/>
      <c r="N97" s="424"/>
      <c r="O97" s="424"/>
      <c r="P97" s="519"/>
      <c r="Q97" s="520"/>
    </row>
    <row r="98" spans="1:17" ht="14.5" thickBot="1">
      <c r="A98" s="420"/>
      <c r="B98" s="430"/>
      <c r="C98" s="448"/>
      <c r="D98" s="422"/>
      <c r="E98" s="422"/>
      <c r="F98" s="422"/>
      <c r="G98" s="448"/>
      <c r="H98" s="450"/>
      <c r="I98" s="450"/>
      <c r="J98" s="450"/>
      <c r="K98" s="450"/>
      <c r="L98" s="450"/>
      <c r="M98" s="451"/>
      <c r="N98" s="424"/>
      <c r="O98" s="424"/>
      <c r="P98" s="18"/>
      <c r="Q98" s="390"/>
    </row>
    <row r="99" spans="1:17" s="359" customFormat="1" ht="14.5" thickTop="1">
      <c r="A99" s="481"/>
      <c r="B99" s="425">
        <f>B35</f>
        <v>111</v>
      </c>
      <c r="C99" s="436"/>
      <c r="D99" s="436"/>
      <c r="E99" s="436"/>
      <c r="F99" s="436"/>
      <c r="G99" s="441"/>
      <c r="H99" s="442"/>
      <c r="I99" s="442"/>
      <c r="J99" s="442"/>
      <c r="K99" s="442"/>
      <c r="L99" s="443"/>
      <c r="M99" s="444"/>
      <c r="N99" s="445"/>
      <c r="O99" s="445"/>
      <c r="P99" s="446"/>
      <c r="Q99" s="447"/>
    </row>
    <row r="100" spans="1:17" s="359" customFormat="1" ht="14.5" thickBot="1">
      <c r="A100" s="440"/>
      <c r="B100" s="421"/>
      <c r="C100" s="448"/>
      <c r="D100" s="422"/>
      <c r="E100" s="422"/>
      <c r="F100" s="422"/>
      <c r="G100" s="448"/>
      <c r="H100" s="450"/>
      <c r="I100" s="450"/>
      <c r="J100" s="450"/>
      <c r="K100" s="450"/>
      <c r="L100" s="450"/>
      <c r="M100" s="451"/>
      <c r="N100" s="445"/>
      <c r="O100" s="445"/>
      <c r="P100" s="446"/>
      <c r="Q100" s="447"/>
    </row>
    <row r="101" spans="1:17" ht="14.5" thickTop="1">
      <c r="A101" s="487"/>
      <c r="B101" s="425">
        <f>B36</f>
        <v>111</v>
      </c>
      <c r="C101" s="441"/>
      <c r="D101" s="441"/>
      <c r="E101" s="441"/>
      <c r="F101" s="441"/>
      <c r="G101" s="441"/>
      <c r="H101" s="442"/>
      <c r="I101" s="442"/>
      <c r="J101" s="442"/>
      <c r="K101" s="442"/>
      <c r="L101" s="443"/>
      <c r="M101" s="444"/>
      <c r="N101" s="419"/>
      <c r="O101" s="419"/>
      <c r="P101" s="18"/>
      <c r="Q101" s="390"/>
    </row>
    <row r="102" spans="1:17" ht="14.5" thickBot="1">
      <c r="A102" s="420"/>
      <c r="B102" s="430"/>
      <c r="C102" s="448"/>
      <c r="D102" s="448"/>
      <c r="E102" s="448"/>
      <c r="F102" s="448"/>
      <c r="G102" s="448"/>
      <c r="H102" s="450"/>
      <c r="I102" s="450"/>
      <c r="J102" s="450"/>
      <c r="K102" s="450"/>
      <c r="L102" s="450"/>
      <c r="M102" s="451"/>
      <c r="N102" s="424"/>
      <c r="O102" s="424"/>
      <c r="P102" s="18"/>
      <c r="Q102" s="390"/>
    </row>
    <row r="103" spans="1:1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
  <cols>
    <col min="1" max="1" width="10.4531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1229" customFormat="1" ht="28.5" customHeight="1" thickBot="1">
      <c r="A1" s="1220" t="s">
        <v>2413</v>
      </c>
      <c r="B1" s="1582"/>
      <c r="C1" s="1221"/>
      <c r="D1" s="1231"/>
      <c r="E1" s="1559" t="s">
        <v>2753</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54.91</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498" t="s">
        <v>2254</v>
      </c>
      <c r="D4" s="3499"/>
      <c r="E4" s="3500" t="s">
        <v>2255</v>
      </c>
      <c r="F4" s="3501"/>
      <c r="G4" s="3498" t="s">
        <v>2256</v>
      </c>
      <c r="H4" s="3499"/>
      <c r="I4" s="3498" t="s">
        <v>2257</v>
      </c>
      <c r="J4" s="3499"/>
      <c r="K4" s="496" t="s">
        <v>2258</v>
      </c>
      <c r="L4" s="3027"/>
      <c r="M4" s="3028"/>
      <c r="N4" s="3028"/>
      <c r="O4" s="3028"/>
      <c r="P4" s="3502" t="s">
        <v>2259</v>
      </c>
      <c r="Q4" s="3503"/>
      <c r="R4" s="3485" t="s">
        <v>2255</v>
      </c>
      <c r="S4" s="3486"/>
      <c r="T4" s="3485" t="s">
        <v>2256</v>
      </c>
      <c r="U4" s="3486"/>
      <c r="V4" s="3508" t="s">
        <v>2257</v>
      </c>
      <c r="W4" s="3508"/>
      <c r="X4" s="1335"/>
      <c r="Y4" s="3485" t="s">
        <v>2259</v>
      </c>
      <c r="Z4" s="3486"/>
      <c r="AA4" s="3495" t="s">
        <v>2255</v>
      </c>
      <c r="AB4" s="3496" t="s">
        <v>2256</v>
      </c>
      <c r="AC4" s="3495" t="s">
        <v>2257</v>
      </c>
    </row>
    <row r="5" spans="1:29">
      <c r="A5" s="297"/>
      <c r="B5" s="298"/>
      <c r="C5" s="3511" t="s">
        <v>2260</v>
      </c>
      <c r="D5" s="3512"/>
      <c r="E5" s="3509" t="s">
        <v>2261</v>
      </c>
      <c r="F5" s="3510"/>
      <c r="G5" s="3511" t="s">
        <v>2262</v>
      </c>
      <c r="H5" s="3512"/>
      <c r="I5" s="3511" t="s">
        <v>2263</v>
      </c>
      <c r="J5" s="3512"/>
      <c r="K5" s="496"/>
      <c r="L5" s="3027"/>
      <c r="M5" s="3028"/>
      <c r="N5" s="3028"/>
      <c r="O5" s="3028"/>
      <c r="P5" s="3504"/>
      <c r="Q5" s="3505"/>
      <c r="R5" s="3487"/>
      <c r="S5" s="3488"/>
      <c r="T5" s="3487"/>
      <c r="U5" s="3488"/>
      <c r="V5" s="3508"/>
      <c r="W5" s="3508"/>
      <c r="X5" s="1335"/>
      <c r="Y5" s="3487"/>
      <c r="Z5" s="3488"/>
      <c r="AA5" s="3496"/>
      <c r="AB5" s="3496"/>
      <c r="AC5" s="3496"/>
    </row>
    <row r="6" spans="1:29" ht="15" thickBot="1">
      <c r="A6" s="299"/>
      <c r="B6" s="300"/>
      <c r="C6" s="3513" t="s">
        <v>2264</v>
      </c>
      <c r="D6" s="3514"/>
      <c r="E6" s="3515" t="s">
        <v>2264</v>
      </c>
      <c r="F6" s="3516"/>
      <c r="G6" s="3513" t="s">
        <v>2264</v>
      </c>
      <c r="H6" s="3514"/>
      <c r="I6" s="3513" t="s">
        <v>2264</v>
      </c>
      <c r="J6" s="3514"/>
      <c r="K6" s="496" t="s">
        <v>2265</v>
      </c>
      <c r="L6" s="3027"/>
      <c r="M6" s="3028"/>
      <c r="N6" s="3028"/>
      <c r="O6" s="3028"/>
      <c r="P6" s="3506"/>
      <c r="Q6" s="3507"/>
      <c r="R6" s="3487"/>
      <c r="S6" s="3488"/>
      <c r="T6" s="3489"/>
      <c r="U6" s="3490"/>
      <c r="V6" s="3508"/>
      <c r="W6" s="3508"/>
      <c r="X6" s="1335"/>
      <c r="Y6" s="3489"/>
      <c r="Z6" s="3490"/>
      <c r="AA6" s="3497"/>
      <c r="AB6" s="3497"/>
      <c r="AC6" s="3497"/>
    </row>
    <row r="7" spans="1:29" s="25" customFormat="1" ht="14.5" thickBot="1">
      <c r="A7" s="301" t="s">
        <v>2266</v>
      </c>
      <c r="B7" s="302"/>
      <c r="C7" s="303">
        <f>'数据-取费表'!B2</f>
        <v>44062</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83" t="s">
        <v>2267</v>
      </c>
      <c r="Q7" s="3491"/>
      <c r="R7" s="627" t="s">
        <v>25</v>
      </c>
      <c r="S7" s="628">
        <f t="shared" ref="S7:S14" si="0">F7</f>
        <v>0</v>
      </c>
      <c r="T7" s="627" t="s">
        <v>25</v>
      </c>
      <c r="U7" s="628">
        <f t="shared" ref="U7:U14" si="1">H7</f>
        <v>0</v>
      </c>
      <c r="V7" s="627" t="s">
        <v>25</v>
      </c>
      <c r="W7" s="628">
        <f t="shared" ref="W7:W14" si="2">J7</f>
        <v>0</v>
      </c>
      <c r="X7" s="629"/>
      <c r="Y7" s="3483" t="s">
        <v>2267</v>
      </c>
      <c r="Z7" s="3484"/>
      <c r="AA7" s="630" t="e">
        <f>D7/F7</f>
        <v>#DIV/0!</v>
      </c>
      <c r="AB7" s="630" t="e">
        <f>D7/H7</f>
        <v>#DIV/0!</v>
      </c>
      <c r="AC7" s="630" t="e">
        <f>D7/J7</f>
        <v>#DIV/0!</v>
      </c>
    </row>
    <row r="8" spans="1:29" s="25" customFormat="1" ht="14.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83" t="s">
        <v>2270</v>
      </c>
      <c r="Q8" s="3484"/>
      <c r="R8" s="627" t="s">
        <v>25</v>
      </c>
      <c r="S8" s="628">
        <f t="shared" si="0"/>
        <v>0</v>
      </c>
      <c r="T8" s="627" t="s">
        <v>25</v>
      </c>
      <c r="U8" s="628">
        <f t="shared" si="1"/>
        <v>0</v>
      </c>
      <c r="V8" s="627" t="s">
        <v>25</v>
      </c>
      <c r="W8" s="628">
        <f t="shared" si="2"/>
        <v>0</v>
      </c>
      <c r="X8" s="629"/>
      <c r="Y8" s="3483" t="s">
        <v>2270</v>
      </c>
      <c r="Z8" s="3484"/>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75" t="s">
        <v>2273</v>
      </c>
      <c r="Q9" s="1327" t="str">
        <f t="shared" ref="Q9:Q14" si="6">B9</f>
        <v>用途</v>
      </c>
      <c r="R9" s="627" t="s">
        <v>25</v>
      </c>
      <c r="S9" s="628">
        <f t="shared" si="0"/>
        <v>100</v>
      </c>
      <c r="T9" s="627" t="s">
        <v>25</v>
      </c>
      <c r="U9" s="628">
        <f t="shared" si="1"/>
        <v>100</v>
      </c>
      <c r="V9" s="627" t="s">
        <v>25</v>
      </c>
      <c r="W9" s="628">
        <f t="shared" si="2"/>
        <v>100</v>
      </c>
      <c r="X9" s="629"/>
      <c r="Y9" s="3494" t="s">
        <v>2274</v>
      </c>
      <c r="Z9" s="19" t="str">
        <f t="shared" ref="Z9:Z14" si="7">Q9</f>
        <v>用途</v>
      </c>
      <c r="AA9" s="630">
        <f t="shared" si="3"/>
        <v>1</v>
      </c>
      <c r="AB9" s="630">
        <f t="shared" si="4"/>
        <v>1</v>
      </c>
      <c r="AC9" s="630">
        <f t="shared" si="5"/>
        <v>1</v>
      </c>
    </row>
    <row r="10" spans="1:29" s="317" customFormat="1" ht="2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75"/>
      <c r="Q11" s="1327">
        <f t="shared" si="6"/>
        <v>111</v>
      </c>
      <c r="R11" s="627" t="s">
        <v>25</v>
      </c>
      <c r="S11" s="628">
        <f t="shared" si="0"/>
        <v>100</v>
      </c>
      <c r="T11" s="627" t="s">
        <v>25</v>
      </c>
      <c r="U11" s="628">
        <f t="shared" si="1"/>
        <v>100</v>
      </c>
      <c r="V11" s="627" t="s">
        <v>25</v>
      </c>
      <c r="W11" s="628">
        <f t="shared" si="2"/>
        <v>100</v>
      </c>
      <c r="X11" s="629"/>
      <c r="Y11" s="3494"/>
      <c r="Z11" s="19">
        <f t="shared" si="7"/>
        <v>111</v>
      </c>
      <c r="AA11" s="630">
        <f t="shared" si="3"/>
        <v>1</v>
      </c>
      <c r="AB11" s="630">
        <f t="shared" si="4"/>
        <v>1</v>
      </c>
      <c r="AC11" s="630">
        <f t="shared" si="5"/>
        <v>1</v>
      </c>
    </row>
    <row r="12" spans="1:29" s="25" customFormat="1" ht="15.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68">
      <c r="A14" s="329" t="s">
        <v>2277</v>
      </c>
      <c r="B14" s="22" t="s">
        <v>2415</v>
      </c>
      <c r="C14" s="1581" t="str">
        <f>IF(B1="工业",估价对象房地状况!G4,估价对象房地状况!C6)</f>
        <v>估价对象周边有昌11路、昌21路、昌52路、昌59路等多条公交线路。以估价对象为圆心，半径1000米范围内有地铁昌平线昌平地铁站，交通便捷程度好。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2" t="s">
        <v>2278</v>
      </c>
      <c r="Q14" s="1334" t="str">
        <f t="shared" si="6"/>
        <v>交通便捷度</v>
      </c>
      <c r="R14" s="631" t="s">
        <v>25</v>
      </c>
      <c r="S14" s="632">
        <f t="shared" si="0"/>
        <v>100</v>
      </c>
      <c r="T14" s="631" t="s">
        <v>25</v>
      </c>
      <c r="U14" s="632">
        <f t="shared" si="1"/>
        <v>100</v>
      </c>
      <c r="V14" s="631" t="s">
        <v>25</v>
      </c>
      <c r="W14" s="632">
        <f t="shared" si="2"/>
        <v>100</v>
      </c>
      <c r="X14" s="1335"/>
      <c r="Y14" s="3492" t="s">
        <v>2278</v>
      </c>
      <c r="Z14" s="1336" t="str">
        <f t="shared" si="7"/>
        <v>交通便捷度</v>
      </c>
      <c r="AA14" s="1337">
        <f t="shared" si="3"/>
        <v>1</v>
      </c>
      <c r="AB14" s="1337">
        <f t="shared" si="4"/>
        <v>1</v>
      </c>
      <c r="AC14" s="1337">
        <f t="shared" si="5"/>
        <v>1</v>
      </c>
    </row>
    <row r="15" spans="1:29" ht="15.5">
      <c r="A15" s="318"/>
      <c r="B15" s="334"/>
      <c r="C15" s="335"/>
      <c r="D15" s="336"/>
      <c r="E15" s="335"/>
      <c r="F15" s="338"/>
      <c r="G15" s="335"/>
      <c r="H15" s="339"/>
      <c r="I15" s="335"/>
      <c r="J15" s="336"/>
      <c r="K15" s="501"/>
      <c r="L15" s="3037"/>
      <c r="M15" s="3028"/>
      <c r="N15" s="3028"/>
      <c r="O15" s="3036"/>
      <c r="P15" s="3493"/>
      <c r="Q15" s="1334"/>
      <c r="R15" s="631"/>
      <c r="S15" s="632"/>
      <c r="T15" s="631"/>
      <c r="U15" s="632"/>
      <c r="V15" s="631"/>
      <c r="W15" s="632"/>
      <c r="X15" s="1335"/>
      <c r="Y15" s="3493"/>
      <c r="Z15" s="1336"/>
      <c r="AA15" s="1337">
        <v>1</v>
      </c>
      <c r="AB15" s="1337">
        <v>1</v>
      </c>
      <c r="AC15" s="1337">
        <v>1</v>
      </c>
    </row>
    <row r="16" spans="1:29" ht="42">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3"/>
      <c r="Q16" s="1334" t="str">
        <f>B16</f>
        <v>公共配套设施</v>
      </c>
      <c r="R16" s="631" t="s">
        <v>25</v>
      </c>
      <c r="S16" s="632">
        <f>F16</f>
        <v>100</v>
      </c>
      <c r="T16" s="631" t="s">
        <v>25</v>
      </c>
      <c r="U16" s="632">
        <f>H16</f>
        <v>100</v>
      </c>
      <c r="V16" s="631" t="s">
        <v>25</v>
      </c>
      <c r="W16" s="632">
        <f>J16</f>
        <v>100</v>
      </c>
      <c r="X16" s="1335"/>
      <c r="Y16" s="3493"/>
      <c r="Z16" s="1336" t="str">
        <f>Q16</f>
        <v>公共配套设施</v>
      </c>
      <c r="AA16" s="1337">
        <f t="shared" si="3"/>
        <v>1</v>
      </c>
      <c r="AB16" s="1337">
        <f t="shared" si="4"/>
        <v>1</v>
      </c>
      <c r="AC16" s="1337">
        <f t="shared" si="5"/>
        <v>1</v>
      </c>
    </row>
    <row r="17" spans="1:29" ht="15.5">
      <c r="A17" s="318"/>
      <c r="B17" s="514"/>
      <c r="C17" s="346"/>
      <c r="D17" s="336"/>
      <c r="E17" s="335"/>
      <c r="F17" s="338"/>
      <c r="G17" s="335"/>
      <c r="H17" s="336"/>
      <c r="I17" s="335"/>
      <c r="J17" s="336"/>
      <c r="K17" s="501"/>
      <c r="L17" s="3037"/>
      <c r="M17" s="3028"/>
      <c r="N17" s="3028"/>
      <c r="O17" s="3036"/>
      <c r="P17" s="3493"/>
      <c r="Q17" s="1334"/>
      <c r="R17" s="631"/>
      <c r="S17" s="632"/>
      <c r="T17" s="631"/>
      <c r="U17" s="632"/>
      <c r="V17" s="631"/>
      <c r="W17" s="632"/>
      <c r="X17" s="1335"/>
      <c r="Y17" s="3493"/>
      <c r="Z17" s="1336"/>
      <c r="AA17" s="1337">
        <v>1</v>
      </c>
      <c r="AB17" s="1337">
        <v>1</v>
      </c>
      <c r="AC17" s="1337">
        <v>1</v>
      </c>
    </row>
    <row r="18" spans="1:29" ht="42">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3"/>
      <c r="Q18" s="1334" t="str">
        <f>B18</f>
        <v>基础设施水平</v>
      </c>
      <c r="R18" s="631" t="s">
        <v>25</v>
      </c>
      <c r="S18" s="632">
        <f>F18</f>
        <v>100</v>
      </c>
      <c r="T18" s="631" t="s">
        <v>25</v>
      </c>
      <c r="U18" s="632">
        <f>H18</f>
        <v>100</v>
      </c>
      <c r="V18" s="631" t="s">
        <v>25</v>
      </c>
      <c r="W18" s="632">
        <f>J18</f>
        <v>100</v>
      </c>
      <c r="X18" s="1335"/>
      <c r="Y18" s="3493"/>
      <c r="Z18" s="1336" t="str">
        <f>Q18</f>
        <v>基础设施水平</v>
      </c>
      <c r="AA18" s="1337">
        <f t="shared" ref="AA18" si="8">D18/F18</f>
        <v>1</v>
      </c>
      <c r="AB18" s="1337">
        <f t="shared" ref="AB18" si="9">D18/H18</f>
        <v>1</v>
      </c>
      <c r="AC18" s="1337">
        <f t="shared" ref="AC18" si="10">D18/J18</f>
        <v>1</v>
      </c>
    </row>
    <row r="19" spans="1:29" ht="15.5">
      <c r="A19" s="318"/>
      <c r="B19" s="515"/>
      <c r="C19" s="346"/>
      <c r="D19" s="336"/>
      <c r="E19" s="346"/>
      <c r="F19" s="342"/>
      <c r="G19" s="346"/>
      <c r="H19" s="336"/>
      <c r="I19" s="335"/>
      <c r="J19" s="336"/>
      <c r="K19" s="1132"/>
      <c r="L19" s="3037"/>
      <c r="M19" s="3028"/>
      <c r="N19" s="3028"/>
      <c r="O19" s="3036"/>
      <c r="P19" s="3493"/>
      <c r="Q19" s="1334"/>
      <c r="R19" s="631"/>
      <c r="S19" s="632"/>
      <c r="T19" s="631"/>
      <c r="U19" s="632"/>
      <c r="V19" s="631"/>
      <c r="W19" s="632"/>
      <c r="X19" s="1335"/>
      <c r="Y19" s="3493"/>
      <c r="Z19" s="1336"/>
      <c r="AA19" s="1337">
        <v>1</v>
      </c>
      <c r="AB19" s="1337">
        <v>1</v>
      </c>
      <c r="AC19" s="1337">
        <v>1</v>
      </c>
    </row>
    <row r="20" spans="1:29" ht="168">
      <c r="A20" s="318"/>
      <c r="B20" s="340" t="s">
        <v>2416</v>
      </c>
      <c r="C20" s="1567" t="str">
        <f>IF(B1="工业",估价对象房地状况!G7,估价对象房地状况!C9)</f>
        <v xml:space="preserve">自然环境：昌平公园、北山公园等自然景观；
人文环境：中国石油大学、中国政法大学昌平校区等人文场所；
综合评价环境状况好。
</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3"/>
      <c r="Q20" s="1334" t="str">
        <f>B20</f>
        <v>自然及人文环境</v>
      </c>
      <c r="R20" s="631" t="s">
        <v>25</v>
      </c>
      <c r="S20" s="632">
        <f>F20</f>
        <v>100</v>
      </c>
      <c r="T20" s="631" t="s">
        <v>25</v>
      </c>
      <c r="U20" s="632">
        <f>H20</f>
        <v>100</v>
      </c>
      <c r="V20" s="631" t="s">
        <v>25</v>
      </c>
      <c r="W20" s="632">
        <f>J20</f>
        <v>100</v>
      </c>
      <c r="X20" s="1335"/>
      <c r="Y20" s="3493"/>
      <c r="Z20" s="1336" t="str">
        <f>Q20</f>
        <v>自然及人文环境</v>
      </c>
      <c r="AA20" s="1337">
        <f t="shared" si="3"/>
        <v>1</v>
      </c>
      <c r="AB20" s="1337">
        <f t="shared" si="4"/>
        <v>1</v>
      </c>
      <c r="AC20" s="1337">
        <f t="shared" si="5"/>
        <v>1</v>
      </c>
    </row>
    <row r="21" spans="1:29" ht="15.5">
      <c r="A21" s="318"/>
      <c r="B21" s="345"/>
      <c r="C21" s="335"/>
      <c r="D21" s="336"/>
      <c r="E21" s="335"/>
      <c r="F21" s="338"/>
      <c r="G21" s="335"/>
      <c r="H21" s="336"/>
      <c r="I21" s="335"/>
      <c r="J21" s="336"/>
      <c r="K21" s="501"/>
      <c r="L21" s="3037"/>
      <c r="M21" s="3028"/>
      <c r="N21" s="3028"/>
      <c r="O21" s="3036"/>
      <c r="P21" s="3493"/>
      <c r="Q21" s="1334"/>
      <c r="R21" s="631"/>
      <c r="S21" s="632"/>
      <c r="T21" s="631"/>
      <c r="U21" s="632"/>
      <c r="V21" s="631"/>
      <c r="W21" s="632"/>
      <c r="X21" s="1335"/>
      <c r="Y21" s="3493"/>
      <c r="Z21" s="1336"/>
      <c r="AA21" s="1337">
        <v>1</v>
      </c>
      <c r="AB21" s="1337">
        <v>1</v>
      </c>
      <c r="AC21" s="1337">
        <v>1</v>
      </c>
    </row>
    <row r="22" spans="1:29" ht="15.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3"/>
      <c r="Q22" s="1334" t="str">
        <f>B22</f>
        <v>楼层</v>
      </c>
      <c r="R22" s="631" t="s">
        <v>25</v>
      </c>
      <c r="S22" s="632">
        <f>F22</f>
        <v>100</v>
      </c>
      <c r="T22" s="631" t="s">
        <v>25</v>
      </c>
      <c r="U22" s="632">
        <f>H22</f>
        <v>100</v>
      </c>
      <c r="V22" s="631" t="s">
        <v>25</v>
      </c>
      <c r="W22" s="632">
        <f>J22</f>
        <v>100</v>
      </c>
      <c r="X22" s="1335"/>
      <c r="Y22" s="3493"/>
      <c r="Z22" s="1336" t="str">
        <f>Q22</f>
        <v>楼层</v>
      </c>
      <c r="AA22" s="1337">
        <f t="shared" si="3"/>
        <v>1</v>
      </c>
      <c r="AB22" s="1337">
        <f t="shared" si="4"/>
        <v>1</v>
      </c>
      <c r="AC22" s="1337">
        <f t="shared" si="5"/>
        <v>1</v>
      </c>
    </row>
    <row r="23" spans="1:29" ht="15.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3"/>
      <c r="Q23" s="1334">
        <f>B23</f>
        <v>111</v>
      </c>
      <c r="R23" s="631" t="s">
        <v>25</v>
      </c>
      <c r="S23" s="632">
        <f>F23</f>
        <v>100</v>
      </c>
      <c r="T23" s="631" t="s">
        <v>25</v>
      </c>
      <c r="U23" s="632">
        <f>H23</f>
        <v>100</v>
      </c>
      <c r="V23" s="631" t="s">
        <v>25</v>
      </c>
      <c r="W23" s="632">
        <f>J23</f>
        <v>100</v>
      </c>
      <c r="X23" s="1335"/>
      <c r="Y23" s="3493"/>
      <c r="Z23" s="1336">
        <f>Q23</f>
        <v>111</v>
      </c>
      <c r="AA23" s="1337">
        <f t="shared" si="3"/>
        <v>1</v>
      </c>
      <c r="AB23" s="1337">
        <f t="shared" si="4"/>
        <v>1</v>
      </c>
      <c r="AC23" s="1337">
        <f t="shared" si="5"/>
        <v>1</v>
      </c>
    </row>
    <row r="24" spans="1:29" ht="15.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3"/>
      <c r="Q24" s="1334">
        <f t="shared" ref="Q24:Q34" si="11">B24</f>
        <v>111</v>
      </c>
      <c r="R24" s="631" t="s">
        <v>25</v>
      </c>
      <c r="S24" s="632">
        <f>F24</f>
        <v>100</v>
      </c>
      <c r="T24" s="631" t="s">
        <v>25</v>
      </c>
      <c r="U24" s="632">
        <f>H24</f>
        <v>100</v>
      </c>
      <c r="V24" s="631" t="s">
        <v>25</v>
      </c>
      <c r="W24" s="632">
        <f>J24</f>
        <v>100</v>
      </c>
      <c r="X24" s="1335"/>
      <c r="Y24" s="3493"/>
      <c r="Z24" s="1336">
        <f>Q24</f>
        <v>111</v>
      </c>
      <c r="AA24" s="1337">
        <f t="shared" si="3"/>
        <v>1</v>
      </c>
      <c r="AB24" s="1337">
        <f t="shared" si="4"/>
        <v>1</v>
      </c>
      <c r="AC24" s="1337">
        <f t="shared" si="5"/>
        <v>1</v>
      </c>
    </row>
    <row r="25" spans="1:29" s="25" customFormat="1" ht="1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3"/>
      <c r="Q25" s="1327">
        <f t="shared" si="11"/>
        <v>111</v>
      </c>
      <c r="R25" s="627" t="s">
        <v>25</v>
      </c>
      <c r="S25" s="628">
        <f>F25</f>
        <v>100</v>
      </c>
      <c r="T25" s="627" t="s">
        <v>25</v>
      </c>
      <c r="U25" s="628">
        <f>H25</f>
        <v>100</v>
      </c>
      <c r="V25" s="627" t="s">
        <v>25</v>
      </c>
      <c r="W25" s="628">
        <f>J25</f>
        <v>100</v>
      </c>
      <c r="X25" s="629"/>
      <c r="Y25" s="3493"/>
      <c r="Z25" s="19">
        <f>Q25</f>
        <v>111</v>
      </c>
      <c r="AA25" s="1337">
        <f>D25/F25</f>
        <v>1</v>
      </c>
      <c r="AB25" s="1337">
        <f>D25/H25</f>
        <v>1</v>
      </c>
      <c r="AC25" s="1337">
        <f>D25/J25</f>
        <v>1</v>
      </c>
    </row>
    <row r="26" spans="1:29" ht="29">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80"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1" t="s">
        <v>2284</v>
      </c>
      <c r="Z26" s="1336" t="str">
        <f t="shared" ref="Z26:Z34" si="15">Q26</f>
        <v>公共部分装修</v>
      </c>
      <c r="AA26" s="1337">
        <f t="shared" si="3"/>
        <v>1</v>
      </c>
      <c r="AB26" s="1337">
        <f t="shared" si="4"/>
        <v>1</v>
      </c>
      <c r="AC26" s="1337">
        <f t="shared" si="5"/>
        <v>1</v>
      </c>
    </row>
    <row r="27" spans="1:29" s="359" customFormat="1" ht="15.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81"/>
      <c r="Q27" s="633" t="str">
        <f t="shared" si="11"/>
        <v>成新率</v>
      </c>
      <c r="R27" s="634" t="s">
        <v>25</v>
      </c>
      <c r="S27" s="635" t="e">
        <f t="shared" si="12"/>
        <v>#N/A</v>
      </c>
      <c r="T27" s="634" t="s">
        <v>25</v>
      </c>
      <c r="U27" s="635" t="e">
        <f t="shared" si="13"/>
        <v>#N/A</v>
      </c>
      <c r="V27" s="634" t="s">
        <v>25</v>
      </c>
      <c r="W27" s="635" t="e">
        <f t="shared" si="14"/>
        <v>#N/A</v>
      </c>
      <c r="X27" s="636"/>
      <c r="Y27" s="3481"/>
      <c r="Z27" s="637" t="str">
        <f t="shared" si="15"/>
        <v>成新率</v>
      </c>
      <c r="AA27" s="1337" t="e">
        <f t="shared" si="3"/>
        <v>#N/A</v>
      </c>
      <c r="AB27" s="1337" t="e">
        <f t="shared" si="4"/>
        <v>#N/A</v>
      </c>
      <c r="AC27" s="1337" t="e">
        <f t="shared" si="5"/>
        <v>#N/A</v>
      </c>
    </row>
    <row r="28" spans="1:29" ht="15.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81"/>
      <c r="Q28" s="1334" t="str">
        <f t="shared" si="11"/>
        <v>物业等级</v>
      </c>
      <c r="R28" s="631" t="s">
        <v>25</v>
      </c>
      <c r="S28" s="632">
        <f t="shared" si="12"/>
        <v>100</v>
      </c>
      <c r="T28" s="631" t="s">
        <v>25</v>
      </c>
      <c r="U28" s="632">
        <f t="shared" si="13"/>
        <v>100</v>
      </c>
      <c r="V28" s="631" t="s">
        <v>25</v>
      </c>
      <c r="W28" s="632">
        <f t="shared" si="14"/>
        <v>100</v>
      </c>
      <c r="X28" s="1335"/>
      <c r="Y28" s="3481"/>
      <c r="Z28" s="1336" t="str">
        <f t="shared" si="15"/>
        <v>物业等级</v>
      </c>
      <c r="AA28" s="1337">
        <f t="shared" si="3"/>
        <v>1</v>
      </c>
      <c r="AB28" s="1337">
        <f t="shared" si="4"/>
        <v>1</v>
      </c>
      <c r="AC28" s="1337">
        <f t="shared" si="5"/>
        <v>1</v>
      </c>
    </row>
    <row r="29" spans="1:29" ht="15.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81"/>
      <c r="Q29" s="1334" t="str">
        <f t="shared" si="11"/>
        <v>有无电梯</v>
      </c>
      <c r="R29" s="631" t="s">
        <v>25</v>
      </c>
      <c r="S29" s="632">
        <f t="shared" si="12"/>
        <v>100</v>
      </c>
      <c r="T29" s="631" t="s">
        <v>25</v>
      </c>
      <c r="U29" s="632">
        <f t="shared" si="13"/>
        <v>100</v>
      </c>
      <c r="V29" s="631" t="s">
        <v>25</v>
      </c>
      <c r="W29" s="632">
        <f t="shared" si="14"/>
        <v>100</v>
      </c>
      <c r="X29" s="1335"/>
      <c r="Y29" s="3481"/>
      <c r="Z29" s="1336" t="str">
        <f t="shared" si="15"/>
        <v>有无电梯</v>
      </c>
      <c r="AA29" s="1337">
        <f t="shared" si="3"/>
        <v>1</v>
      </c>
      <c r="AB29" s="1337">
        <f t="shared" si="4"/>
        <v>1</v>
      </c>
      <c r="AC29" s="1337">
        <f t="shared" si="5"/>
        <v>1</v>
      </c>
    </row>
    <row r="30" spans="1:29" ht="15.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81"/>
      <c r="Q30" s="1334" t="str">
        <f t="shared" si="11"/>
        <v>建筑面积</v>
      </c>
      <c r="R30" s="631" t="s">
        <v>25</v>
      </c>
      <c r="S30" s="632" t="e">
        <f t="shared" si="12"/>
        <v>#N/A</v>
      </c>
      <c r="T30" s="631" t="s">
        <v>25</v>
      </c>
      <c r="U30" s="632" t="e">
        <f t="shared" si="13"/>
        <v>#N/A</v>
      </c>
      <c r="V30" s="631" t="s">
        <v>25</v>
      </c>
      <c r="W30" s="632" t="e">
        <f t="shared" si="14"/>
        <v>#N/A</v>
      </c>
      <c r="X30" s="1335"/>
      <c r="Y30" s="3481"/>
      <c r="Z30" s="1336" t="str">
        <f t="shared" si="15"/>
        <v>建筑面积</v>
      </c>
      <c r="AA30" s="1337" t="e">
        <f t="shared" si="3"/>
        <v>#N/A</v>
      </c>
      <c r="AB30" s="1337" t="e">
        <f t="shared" si="4"/>
        <v>#N/A</v>
      </c>
      <c r="AC30" s="1337" t="e">
        <f t="shared" si="5"/>
        <v>#N/A</v>
      </c>
    </row>
    <row r="31" spans="1:29" s="25" customFormat="1" ht="15.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81"/>
      <c r="Q31" s="1327" t="str">
        <f t="shared" si="11"/>
        <v>是否封闭</v>
      </c>
      <c r="R31" s="627" t="s">
        <v>25</v>
      </c>
      <c r="S31" s="628">
        <f t="shared" si="12"/>
        <v>100</v>
      </c>
      <c r="T31" s="627" t="s">
        <v>25</v>
      </c>
      <c r="U31" s="628">
        <f t="shared" si="13"/>
        <v>100</v>
      </c>
      <c r="V31" s="627" t="s">
        <v>25</v>
      </c>
      <c r="W31" s="628">
        <f t="shared" si="14"/>
        <v>100</v>
      </c>
      <c r="X31" s="629"/>
      <c r="Y31" s="3481"/>
      <c r="Z31" s="19" t="str">
        <f t="shared" si="15"/>
        <v>是否封闭</v>
      </c>
      <c r="AA31" s="630">
        <f t="shared" si="3"/>
        <v>1</v>
      </c>
      <c r="AB31" s="630">
        <f t="shared" si="4"/>
        <v>1</v>
      </c>
      <c r="AC31" s="630">
        <f t="shared" si="5"/>
        <v>1</v>
      </c>
    </row>
    <row r="32" spans="1:29" ht="15.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81" t="s">
        <v>2284</v>
      </c>
      <c r="Q32" s="1334">
        <f t="shared" si="11"/>
        <v>111</v>
      </c>
      <c r="R32" s="631" t="s">
        <v>25</v>
      </c>
      <c r="S32" s="632">
        <f t="shared" si="12"/>
        <v>100</v>
      </c>
      <c r="T32" s="631" t="s">
        <v>25</v>
      </c>
      <c r="U32" s="632">
        <f t="shared" si="13"/>
        <v>100</v>
      </c>
      <c r="V32" s="631" t="s">
        <v>25</v>
      </c>
      <c r="W32" s="632">
        <f t="shared" si="14"/>
        <v>100</v>
      </c>
      <c r="X32" s="1335"/>
      <c r="Y32" s="3481" t="s">
        <v>2284</v>
      </c>
      <c r="Z32" s="1336">
        <f t="shared" si="15"/>
        <v>111</v>
      </c>
      <c r="AA32" s="1337">
        <f t="shared" si="3"/>
        <v>1</v>
      </c>
      <c r="AB32" s="1337">
        <f t="shared" si="4"/>
        <v>1</v>
      </c>
      <c r="AC32" s="1337">
        <f t="shared" si="5"/>
        <v>1</v>
      </c>
    </row>
    <row r="33" spans="1:29" ht="15.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81"/>
      <c r="Q33" s="1334">
        <f t="shared" si="11"/>
        <v>111</v>
      </c>
      <c r="R33" s="631" t="s">
        <v>25</v>
      </c>
      <c r="S33" s="632">
        <f t="shared" si="12"/>
        <v>100</v>
      </c>
      <c r="T33" s="631" t="s">
        <v>25</v>
      </c>
      <c r="U33" s="632">
        <f t="shared" si="13"/>
        <v>100</v>
      </c>
      <c r="V33" s="631" t="s">
        <v>25</v>
      </c>
      <c r="W33" s="632">
        <f t="shared" si="14"/>
        <v>100</v>
      </c>
      <c r="X33" s="1335"/>
      <c r="Y33" s="3481"/>
      <c r="Z33" s="1336">
        <f t="shared" si="15"/>
        <v>111</v>
      </c>
      <c r="AA33" s="1337">
        <f t="shared" si="3"/>
        <v>1</v>
      </c>
      <c r="AB33" s="1337">
        <f t="shared" si="4"/>
        <v>1</v>
      </c>
      <c r="AC33" s="1337">
        <f t="shared" si="5"/>
        <v>1</v>
      </c>
    </row>
    <row r="34" spans="1:29" ht="1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81"/>
      <c r="Q34" s="1334">
        <f t="shared" si="11"/>
        <v>111</v>
      </c>
      <c r="R34" s="631" t="s">
        <v>25</v>
      </c>
      <c r="S34" s="632">
        <f t="shared" si="12"/>
        <v>100</v>
      </c>
      <c r="T34" s="631" t="s">
        <v>25</v>
      </c>
      <c r="U34" s="632">
        <f t="shared" si="13"/>
        <v>100</v>
      </c>
      <c r="V34" s="631" t="s">
        <v>25</v>
      </c>
      <c r="W34" s="632">
        <f t="shared" si="14"/>
        <v>100</v>
      </c>
      <c r="X34" s="1335"/>
      <c r="Y34" s="3481"/>
      <c r="Z34" s="1336">
        <f t="shared" si="15"/>
        <v>111</v>
      </c>
      <c r="AA34" s="1337">
        <f t="shared" si="3"/>
        <v>1</v>
      </c>
      <c r="AB34" s="1337">
        <f t="shared" si="4"/>
        <v>1</v>
      </c>
      <c r="AC34" s="1337">
        <f t="shared" si="5"/>
        <v>1</v>
      </c>
    </row>
    <row r="35" spans="1:29">
      <c r="A35" s="367" t="s">
        <v>2296</v>
      </c>
      <c r="B35" s="368"/>
      <c r="C35" s="1153" t="s">
        <v>1</v>
      </c>
      <c r="D35" s="1154"/>
      <c r="E35" s="1155"/>
      <c r="F35" s="1156"/>
      <c r="G35" s="1157"/>
      <c r="H35" s="1158"/>
      <c r="I35" s="1155"/>
      <c r="J35" s="1158"/>
      <c r="K35" s="640"/>
      <c r="L35" s="3039"/>
      <c r="N35" s="3028"/>
      <c r="P35" s="3475" t="str">
        <f>A35</f>
        <v>成交单价（元/平方米）</v>
      </c>
      <c r="Q35" s="3475"/>
      <c r="R35" s="3476">
        <f>E35</f>
        <v>0</v>
      </c>
      <c r="S35" s="3476"/>
      <c r="T35" s="3476">
        <f>G35</f>
        <v>0</v>
      </c>
      <c r="U35" s="3476"/>
      <c r="V35" s="3476">
        <f>I35</f>
        <v>0</v>
      </c>
      <c r="W35" s="3476"/>
      <c r="X35" s="618"/>
      <c r="Y35" s="638"/>
      <c r="Z35" s="618"/>
      <c r="AA35" s="618"/>
      <c r="AB35" s="618"/>
      <c r="AC35" s="618"/>
    </row>
    <row r="36" spans="1:29" ht="14.5" thickBot="1">
      <c r="A36" s="374" t="s">
        <v>2379</v>
      </c>
      <c r="B36" s="375"/>
      <c r="C36" s="1159" t="e">
        <f>R37</f>
        <v>#DIV/0!</v>
      </c>
      <c r="D36" s="1797" t="s">
        <v>2752</v>
      </c>
      <c r="E36" s="1160" t="e">
        <f>R36</f>
        <v>#DIV/0!</v>
      </c>
      <c r="F36" s="1799"/>
      <c r="G36" s="1159" t="e">
        <f>T36</f>
        <v>#DIV/0!</v>
      </c>
      <c r="H36" s="1799"/>
      <c r="I36" s="1160" t="e">
        <f>V36</f>
        <v>#DIV/0!</v>
      </c>
      <c r="J36" s="1799"/>
      <c r="K36" s="2513">
        <f>F36+H36+J36</f>
        <v>0</v>
      </c>
      <c r="L36" s="3039"/>
      <c r="N36" s="3028"/>
      <c r="P36" s="3475" t="str">
        <f>A36</f>
        <v>比较价值（元/平方米）</v>
      </c>
      <c r="Q36" s="3475"/>
      <c r="R36" s="3476" t="e">
        <f>IF(E1="售价",ROUND(PRODUCT(R35,AA7:AA34),0),ROUND(PRODUCT(R35,AA7:AA34),1))</f>
        <v>#DIV/0!</v>
      </c>
      <c r="S36" s="3476"/>
      <c r="T36" s="3476" t="e">
        <f>IF(E1="售价",ROUND(PRODUCT(T35,AB7:AB34),0),ROUND(PRODUCT(T35,AB7:AB34),1))</f>
        <v>#DIV/0!</v>
      </c>
      <c r="U36" s="3476"/>
      <c r="V36" s="3476" t="e">
        <f>IF(E1="售价",ROUND(PRODUCT(V35,AC7:AC34),0),ROUND(PRODUCT(V35,AC7:AC34),1))</f>
        <v>#DIV/0!</v>
      </c>
      <c r="W36" s="3476"/>
      <c r="X36" s="618"/>
      <c r="Y36" s="618"/>
      <c r="Z36" s="618"/>
      <c r="AA36" s="618"/>
      <c r="AB36" s="618"/>
      <c r="AC36" s="618"/>
    </row>
    <row r="37" spans="1:29" ht="14.5" thickBot="1">
      <c r="A37" s="378" t="s">
        <v>2402</v>
      </c>
      <c r="B37" s="379"/>
      <c r="C37" s="1161" t="e">
        <f>R37</f>
        <v>#DIV/0!</v>
      </c>
      <c r="D37" s="1161"/>
      <c r="E37" s="1161"/>
      <c r="F37" s="1161"/>
      <c r="G37" s="1161"/>
      <c r="H37" s="1161"/>
      <c r="I37" s="1161"/>
      <c r="J37" s="1161"/>
      <c r="K37" s="641"/>
      <c r="L37" s="3039"/>
      <c r="P37" s="3477" t="str">
        <f>A37</f>
        <v>估价对象XX用房的比较价值（楼面单价，元/平方米）</v>
      </c>
      <c r="Q37" s="3478"/>
      <c r="R37" s="3479" t="e">
        <f>IF(E1="售价",ROUND(IF(D36="简单平均",AVERAGE(R36:W36),R36*F36+T36*H36+V36*J36),0),ROUND(IF(D36="简单平均",AVERAGE(R36:V36),R36*F36+T36*H36+V36*J36),1))</f>
        <v>#DIV/0!</v>
      </c>
      <c r="S37" s="3479"/>
      <c r="T37" s="3479"/>
      <c r="U37" s="3479"/>
      <c r="V37" s="3479"/>
      <c r="W37" s="3479"/>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5" thickBot="1">
      <c r="A45" s="620" t="s">
        <v>2384</v>
      </c>
      <c r="B45" s="618"/>
      <c r="C45" s="621"/>
      <c r="D45" s="621"/>
      <c r="E45" s="621"/>
      <c r="F45" s="622"/>
      <c r="G45" s="622"/>
      <c r="H45" s="621"/>
      <c r="I45" s="621"/>
      <c r="J45" s="621"/>
      <c r="K45" s="623"/>
      <c r="L45" s="624"/>
      <c r="M45" s="621"/>
      <c r="N45" s="3045"/>
      <c r="O45" s="3045"/>
      <c r="P45" s="389"/>
      <c r="Q45" s="390"/>
    </row>
    <row r="46" spans="1:29" s="394" customFormat="1">
      <c r="A46" s="391" t="s">
        <v>2266</v>
      </c>
      <c r="B46" s="392"/>
      <c r="C46" s="1187" t="str">
        <f>YEAR(C7)&amp;"-"&amp;MONTH(C7)</f>
        <v>2020-8</v>
      </c>
      <c r="D46" s="1188">
        <f>EDATE(C46,-1)</f>
        <v>44013</v>
      </c>
      <c r="E46" s="1188">
        <f t="shared" ref="E46:O46" si="16">EDATE(D46,-1)</f>
        <v>43983</v>
      </c>
      <c r="F46" s="1188">
        <f t="shared" si="16"/>
        <v>43952</v>
      </c>
      <c r="G46" s="1188">
        <f t="shared" si="16"/>
        <v>43922</v>
      </c>
      <c r="H46" s="1188">
        <f t="shared" si="16"/>
        <v>43891</v>
      </c>
      <c r="I46" s="1188">
        <f t="shared" si="16"/>
        <v>43862</v>
      </c>
      <c r="J46" s="1188">
        <f t="shared" si="16"/>
        <v>43831</v>
      </c>
      <c r="K46" s="1188">
        <f t="shared" si="16"/>
        <v>43800</v>
      </c>
      <c r="L46" s="1188">
        <f t="shared" si="16"/>
        <v>43770</v>
      </c>
      <c r="M46" s="1188">
        <f t="shared" si="16"/>
        <v>43739</v>
      </c>
      <c r="N46" s="1188">
        <f t="shared" si="16"/>
        <v>43709</v>
      </c>
      <c r="O46" s="1188">
        <f t="shared" si="16"/>
        <v>43678</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4.5" thickBot="1">
      <c r="A48" s="400" t="s">
        <v>2304</v>
      </c>
      <c r="B48" s="401"/>
      <c r="C48" s="402"/>
      <c r="D48" s="403"/>
      <c r="E48" s="403"/>
      <c r="F48" s="403"/>
      <c r="G48" s="403"/>
      <c r="H48" s="403"/>
      <c r="I48" s="403"/>
      <c r="J48" s="403"/>
      <c r="K48" s="403"/>
      <c r="L48" s="403"/>
      <c r="M48" s="404"/>
      <c r="N48" s="403"/>
      <c r="O48" s="405"/>
      <c r="P48" s="390"/>
      <c r="Q48" s="390"/>
    </row>
    <row r="49" spans="1:17" s="25" customFormat="1">
      <c r="A49" s="406" t="s">
        <v>2268</v>
      </c>
      <c r="B49" s="396"/>
      <c r="C49" s="407" t="s">
        <v>2269</v>
      </c>
      <c r="D49" s="408"/>
      <c r="E49" s="408"/>
      <c r="F49" s="408"/>
      <c r="G49" s="408"/>
      <c r="H49" s="408"/>
      <c r="I49" s="408"/>
      <c r="J49" s="408"/>
      <c r="K49" s="408"/>
      <c r="L49" s="409"/>
      <c r="M49" s="410"/>
      <c r="N49" s="27"/>
      <c r="O49" s="27"/>
      <c r="P49" s="411"/>
      <c r="Q49" s="390"/>
    </row>
    <row r="50" spans="1:17" s="25" customFormat="1" ht="14.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4.5" thickBot="1">
      <c r="A52" s="420"/>
      <c r="B52" s="421"/>
      <c r="C52" s="422">
        <v>100</v>
      </c>
      <c r="D52" s="422"/>
      <c r="E52" s="422"/>
      <c r="F52" s="422"/>
      <c r="G52" s="422"/>
      <c r="H52" s="422"/>
      <c r="I52" s="422"/>
      <c r="J52" s="422"/>
      <c r="K52" s="422"/>
      <c r="L52" s="422"/>
      <c r="M52" s="423"/>
      <c r="N52" s="424"/>
      <c r="O52" s="424"/>
      <c r="P52" s="18"/>
      <c r="Q52" s="390"/>
    </row>
    <row r="53" spans="1:17" ht="28.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4.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5" thickTop="1">
      <c r="A55" s="420"/>
      <c r="B55" s="541">
        <f>B11</f>
        <v>111</v>
      </c>
      <c r="C55" s="436"/>
      <c r="D55" s="436"/>
      <c r="E55" s="436"/>
      <c r="F55" s="436"/>
      <c r="G55" s="436"/>
      <c r="H55" s="436"/>
      <c r="I55" s="436"/>
      <c r="J55" s="436"/>
      <c r="K55" s="437"/>
      <c r="L55" s="438"/>
      <c r="M55" s="439"/>
      <c r="N55" s="419"/>
      <c r="O55" s="419"/>
      <c r="P55" s="18"/>
      <c r="Q55" s="390"/>
    </row>
    <row r="56" spans="1:17" ht="14.5" thickBot="1">
      <c r="A56" s="420"/>
      <c r="B56" s="421"/>
      <c r="C56" s="448"/>
      <c r="D56" s="422"/>
      <c r="E56" s="422"/>
      <c r="F56" s="422"/>
      <c r="G56" s="422"/>
      <c r="H56" s="422"/>
      <c r="I56" s="422"/>
      <c r="J56" s="422"/>
      <c r="K56" s="422"/>
      <c r="L56" s="422"/>
      <c r="M56" s="423"/>
      <c r="N56" s="424"/>
      <c r="O56" s="424"/>
      <c r="P56" s="18"/>
      <c r="Q56" s="390"/>
    </row>
    <row r="57" spans="1:17" s="359" customFormat="1" ht="14.5" thickTop="1">
      <c r="A57" s="440"/>
      <c r="B57" s="425">
        <f>B12</f>
        <v>111</v>
      </c>
      <c r="C57" s="436"/>
      <c r="D57" s="436"/>
      <c r="E57" s="436"/>
      <c r="F57" s="436"/>
      <c r="G57" s="441"/>
      <c r="H57" s="442"/>
      <c r="I57" s="442"/>
      <c r="J57" s="442"/>
      <c r="K57" s="442"/>
      <c r="L57" s="443"/>
      <c r="M57" s="444"/>
      <c r="N57" s="445"/>
      <c r="O57" s="445"/>
      <c r="P57" s="446"/>
      <c r="Q57" s="447"/>
    </row>
    <row r="58" spans="1:17" s="359" customFormat="1" ht="14.5" thickBot="1">
      <c r="A58" s="440"/>
      <c r="B58" s="430"/>
      <c r="C58" s="448"/>
      <c r="D58" s="422"/>
      <c r="E58" s="422"/>
      <c r="F58" s="422"/>
      <c r="G58" s="422"/>
      <c r="H58" s="422"/>
      <c r="I58" s="422"/>
      <c r="J58" s="422"/>
      <c r="K58" s="422"/>
      <c r="L58" s="422"/>
      <c r="M58" s="423"/>
      <c r="N58" s="424"/>
      <c r="O58" s="424"/>
      <c r="P58" s="446"/>
      <c r="Q58" s="447"/>
    </row>
    <row r="59" spans="1:17" s="359" customFormat="1" ht="14.5" thickTop="1">
      <c r="A59" s="440"/>
      <c r="B59" s="425">
        <f>B13</f>
        <v>111</v>
      </c>
      <c r="C59" s="436"/>
      <c r="D59" s="436"/>
      <c r="E59" s="436"/>
      <c r="F59" s="436"/>
      <c r="G59" s="441"/>
      <c r="H59" s="442"/>
      <c r="I59" s="442"/>
      <c r="J59" s="442"/>
      <c r="K59" s="442"/>
      <c r="L59" s="443"/>
      <c r="M59" s="444"/>
      <c r="N59" s="445"/>
      <c r="O59" s="445"/>
      <c r="P59" s="358"/>
      <c r="Q59" s="449"/>
    </row>
    <row r="60" spans="1:17" s="359" customFormat="1" ht="14.5" thickBot="1">
      <c r="A60" s="440"/>
      <c r="B60" s="430"/>
      <c r="C60" s="448"/>
      <c r="D60" s="448"/>
      <c r="E60" s="448"/>
      <c r="F60" s="448"/>
      <c r="G60" s="448"/>
      <c r="H60" s="450"/>
      <c r="I60" s="450"/>
      <c r="J60" s="450"/>
      <c r="K60" s="450"/>
      <c r="L60" s="450"/>
      <c r="M60" s="451"/>
      <c r="N60" s="445"/>
      <c r="O60" s="445"/>
      <c r="P60" s="446"/>
      <c r="Q60" s="447"/>
    </row>
    <row r="61" spans="1:17" ht="14.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4.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4.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4.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4.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4.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4.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4.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4.5" thickTop="1">
      <c r="A69" s="420"/>
      <c r="B69" s="425" t="s">
        <v>2435</v>
      </c>
      <c r="C69" s="441"/>
      <c r="D69" s="441"/>
      <c r="E69" s="441"/>
      <c r="F69" s="441"/>
      <c r="G69" s="441"/>
      <c r="H69" s="471"/>
      <c r="I69" s="471"/>
      <c r="J69" s="471"/>
      <c r="K69" s="472"/>
      <c r="L69" s="473"/>
      <c r="M69" s="474"/>
      <c r="N69" s="419"/>
      <c r="O69" s="419"/>
      <c r="P69" s="18"/>
      <c r="Q69" s="390"/>
    </row>
    <row r="70" spans="1:17" ht="14.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5" thickTop="1">
      <c r="A71" s="467"/>
      <c r="B71" s="425">
        <f>B23</f>
        <v>111</v>
      </c>
      <c r="C71" s="436"/>
      <c r="D71" s="436"/>
      <c r="E71" s="436"/>
      <c r="F71" s="436"/>
      <c r="G71" s="441"/>
      <c r="H71" s="441"/>
      <c r="I71" s="441"/>
      <c r="J71" s="441"/>
      <c r="K71" s="441"/>
      <c r="L71" s="468"/>
      <c r="M71" s="469"/>
      <c r="N71" s="27"/>
      <c r="O71" s="27"/>
      <c r="P71" s="18"/>
      <c r="Q71" s="390"/>
    </row>
    <row r="72" spans="1:17" s="25" customFormat="1" ht="14.5" thickBot="1">
      <c r="A72" s="467"/>
      <c r="B72" s="430"/>
      <c r="C72" s="448"/>
      <c r="D72" s="422"/>
      <c r="E72" s="422"/>
      <c r="F72" s="422"/>
      <c r="G72" s="422"/>
      <c r="H72" s="422"/>
      <c r="I72" s="422"/>
      <c r="J72" s="422"/>
      <c r="K72" s="422"/>
      <c r="L72" s="422"/>
      <c r="M72" s="423"/>
      <c r="N72" s="424"/>
      <c r="O72" s="424"/>
      <c r="P72" s="18"/>
      <c r="Q72" s="390"/>
    </row>
    <row r="73" spans="1:17" s="25" customFormat="1" ht="14.5" thickTop="1">
      <c r="A73" s="467"/>
      <c r="B73" s="425">
        <f>B24</f>
        <v>111</v>
      </c>
      <c r="C73" s="436"/>
      <c r="D73" s="436"/>
      <c r="E73" s="436"/>
      <c r="F73" s="436"/>
      <c r="G73" s="441"/>
      <c r="H73" s="441"/>
      <c r="I73" s="441"/>
      <c r="J73" s="441"/>
      <c r="K73" s="441"/>
      <c r="L73" s="441"/>
      <c r="M73" s="469"/>
      <c r="N73" s="27"/>
      <c r="O73" s="27"/>
      <c r="P73" s="18"/>
      <c r="Q73" s="390"/>
    </row>
    <row r="74" spans="1:17" s="25" customFormat="1" ht="14.5" thickBot="1">
      <c r="A74" s="467"/>
      <c r="B74" s="430"/>
      <c r="C74" s="448"/>
      <c r="D74" s="422"/>
      <c r="E74" s="422"/>
      <c r="F74" s="422"/>
      <c r="G74" s="422"/>
      <c r="H74" s="422"/>
      <c r="I74" s="422"/>
      <c r="J74" s="422"/>
      <c r="K74" s="422"/>
      <c r="L74" s="422"/>
      <c r="M74" s="423"/>
      <c r="N74" s="424"/>
      <c r="O74" s="424"/>
      <c r="P74" s="18"/>
      <c r="Q74" s="390"/>
    </row>
    <row r="75" spans="1:17" s="359" customFormat="1" ht="14.5" thickTop="1">
      <c r="A75" s="440"/>
      <c r="B75" s="425">
        <f>B25</f>
        <v>111</v>
      </c>
      <c r="C75" s="436"/>
      <c r="D75" s="436"/>
      <c r="E75" s="436"/>
      <c r="F75" s="436"/>
      <c r="G75" s="441"/>
      <c r="H75" s="442"/>
      <c r="I75" s="442"/>
      <c r="J75" s="442"/>
      <c r="K75" s="442"/>
      <c r="L75" s="443"/>
      <c r="M75" s="444"/>
      <c r="N75" s="445"/>
      <c r="O75" s="445"/>
      <c r="P75" s="446"/>
      <c r="Q75" s="447"/>
    </row>
    <row r="76" spans="1:17" s="359" customFormat="1" ht="14.5" thickBot="1">
      <c r="A76" s="440"/>
      <c r="B76" s="430"/>
      <c r="C76" s="448"/>
      <c r="D76" s="448"/>
      <c r="E76" s="448"/>
      <c r="F76" s="448"/>
      <c r="G76" s="422"/>
      <c r="H76" s="422"/>
      <c r="I76" s="422"/>
      <c r="J76" s="422"/>
      <c r="K76" s="422"/>
      <c r="L76" s="422"/>
      <c r="M76" s="423"/>
      <c r="N76" s="445"/>
      <c r="O76" s="445"/>
      <c r="P76" s="446"/>
      <c r="Q76" s="447"/>
    </row>
    <row r="77" spans="1:17" ht="14.5" thickTop="1">
      <c r="A77" s="412" t="s">
        <v>2282</v>
      </c>
      <c r="B77" s="413" t="s">
        <v>2335</v>
      </c>
      <c r="C77" s="441"/>
      <c r="D77" s="441"/>
      <c r="E77" s="415"/>
      <c r="F77" s="415"/>
      <c r="G77" s="415"/>
      <c r="H77" s="415"/>
      <c r="I77" s="415"/>
      <c r="J77" s="415"/>
      <c r="K77" s="416"/>
      <c r="L77" s="417"/>
      <c r="M77" s="418"/>
      <c r="N77" s="419"/>
      <c r="O77" s="419"/>
      <c r="P77" s="18"/>
      <c r="Q77" s="390"/>
    </row>
    <row r="78" spans="1:17" ht="14.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4.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4.5" thickTop="1">
      <c r="A82" s="487"/>
      <c r="B82" s="433" t="s">
        <v>2439</v>
      </c>
      <c r="C82" s="441"/>
      <c r="D82" s="441"/>
      <c r="E82" s="471"/>
      <c r="F82" s="471"/>
      <c r="G82" s="471"/>
      <c r="H82" s="471"/>
      <c r="I82" s="471"/>
      <c r="J82" s="471"/>
      <c r="K82" s="472"/>
      <c r="L82" s="473"/>
      <c r="M82" s="474"/>
      <c r="N82" s="419"/>
      <c r="O82" s="419"/>
      <c r="P82" s="18"/>
      <c r="Q82" s="390"/>
    </row>
    <row r="83" spans="1:17" ht="14.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4.5" thickTop="1">
      <c r="A84" s="487"/>
      <c r="B84" s="425" t="s">
        <v>2446</v>
      </c>
      <c r="C84" s="441"/>
      <c r="D84" s="441"/>
      <c r="E84" s="441"/>
      <c r="F84" s="441"/>
      <c r="G84" s="441"/>
      <c r="H84" s="441"/>
      <c r="I84" s="471"/>
      <c r="J84" s="471"/>
      <c r="K84" s="472"/>
      <c r="L84" s="473"/>
      <c r="M84" s="474"/>
      <c r="N84" s="419"/>
      <c r="O84" s="419"/>
      <c r="P84" s="18"/>
      <c r="Q84" s="390"/>
    </row>
    <row r="85" spans="1:17" ht="14.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4.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5" thickBot="1">
      <c r="A88" s="420"/>
      <c r="B88" s="430"/>
      <c r="C88" s="448"/>
      <c r="D88" s="422"/>
      <c r="E88" s="422"/>
      <c r="F88" s="422"/>
      <c r="G88" s="422"/>
      <c r="H88" s="422"/>
      <c r="I88" s="422"/>
      <c r="J88" s="422"/>
      <c r="K88" s="422"/>
      <c r="L88" s="422"/>
      <c r="M88" s="422"/>
      <c r="N88" s="424"/>
      <c r="O88" s="424"/>
      <c r="P88" s="18"/>
      <c r="Q88" s="390"/>
    </row>
    <row r="89" spans="1:17" s="359" customFormat="1" ht="14.5" thickTop="1">
      <c r="A89" s="481"/>
      <c r="B89" s="425" t="s">
        <v>2448</v>
      </c>
      <c r="C89" s="441"/>
      <c r="D89" s="441"/>
      <c r="E89" s="441"/>
      <c r="F89" s="441"/>
      <c r="G89" s="441"/>
      <c r="H89" s="441"/>
      <c r="I89" s="441"/>
      <c r="J89" s="441"/>
      <c r="K89" s="441"/>
      <c r="L89" s="441"/>
      <c r="M89" s="469"/>
      <c r="N89" s="445"/>
      <c r="O89" s="445"/>
      <c r="P89" s="446"/>
      <c r="Q89" s="447"/>
    </row>
    <row r="90" spans="1:17" s="359" customFormat="1" ht="14.5" thickBot="1">
      <c r="A90" s="440"/>
      <c r="B90" s="430"/>
      <c r="C90" s="448"/>
      <c r="D90" s="422"/>
      <c r="E90" s="422"/>
      <c r="F90" s="422"/>
      <c r="G90" s="422"/>
      <c r="H90" s="422"/>
      <c r="I90" s="422"/>
      <c r="J90" s="422"/>
      <c r="K90" s="422"/>
      <c r="L90" s="422"/>
      <c r="M90" s="423"/>
      <c r="N90" s="445"/>
      <c r="O90" s="445"/>
      <c r="P90" s="446"/>
      <c r="Q90" s="447"/>
    </row>
    <row r="91" spans="1:17" ht="14.5" thickTop="1">
      <c r="A91" s="487"/>
      <c r="B91" s="425">
        <f>B32</f>
        <v>111</v>
      </c>
      <c r="C91" s="436"/>
      <c r="D91" s="436"/>
      <c r="E91" s="436"/>
      <c r="F91" s="436"/>
      <c r="G91" s="441"/>
      <c r="H91" s="442"/>
      <c r="I91" s="442"/>
      <c r="J91" s="442"/>
      <c r="K91" s="442"/>
      <c r="L91" s="443"/>
      <c r="M91" s="444"/>
      <c r="N91" s="419"/>
      <c r="O91" s="419"/>
      <c r="P91" s="18"/>
      <c r="Q91" s="390"/>
    </row>
    <row r="92" spans="1:17" ht="14.5" thickBot="1">
      <c r="A92" s="420"/>
      <c r="B92" s="430"/>
      <c r="C92" s="448"/>
      <c r="D92" s="422"/>
      <c r="E92" s="422"/>
      <c r="F92" s="422"/>
      <c r="G92" s="448"/>
      <c r="H92" s="450"/>
      <c r="I92" s="450"/>
      <c r="J92" s="450"/>
      <c r="K92" s="450"/>
      <c r="L92" s="450"/>
      <c r="M92" s="451"/>
      <c r="N92" s="424"/>
      <c r="O92" s="424"/>
      <c r="P92" s="18"/>
      <c r="Q92" s="390"/>
    </row>
    <row r="93" spans="1:17" ht="14.5" thickTop="1">
      <c r="A93" s="487"/>
      <c r="B93" s="425">
        <f>B33</f>
        <v>111</v>
      </c>
      <c r="C93" s="436"/>
      <c r="D93" s="436"/>
      <c r="E93" s="436"/>
      <c r="F93" s="436"/>
      <c r="G93" s="441"/>
      <c r="H93" s="442"/>
      <c r="I93" s="442"/>
      <c r="J93" s="442"/>
      <c r="K93" s="442"/>
      <c r="L93" s="443"/>
      <c r="M93" s="444"/>
      <c r="N93" s="419"/>
      <c r="O93" s="419"/>
      <c r="P93" s="18"/>
      <c r="Q93" s="390"/>
    </row>
    <row r="94" spans="1:17" ht="14.5" thickBot="1">
      <c r="A94" s="420"/>
      <c r="B94" s="430"/>
      <c r="C94" s="448"/>
      <c r="D94" s="422"/>
      <c r="E94" s="422"/>
      <c r="F94" s="422"/>
      <c r="G94" s="448"/>
      <c r="H94" s="450"/>
      <c r="I94" s="450"/>
      <c r="J94" s="450"/>
      <c r="K94" s="450"/>
      <c r="L94" s="450"/>
      <c r="M94" s="451"/>
      <c r="N94" s="424"/>
      <c r="O94" s="424"/>
      <c r="P94" s="18"/>
      <c r="Q94" s="390"/>
    </row>
    <row r="95" spans="1:17" ht="14.5" thickTop="1">
      <c r="A95" s="487"/>
      <c r="B95" s="518">
        <f>B34</f>
        <v>111</v>
      </c>
      <c r="C95" s="436"/>
      <c r="D95" s="436"/>
      <c r="E95" s="436"/>
      <c r="F95" s="436"/>
      <c r="G95" s="441"/>
      <c r="H95" s="442"/>
      <c r="I95" s="442"/>
      <c r="J95" s="442"/>
      <c r="K95" s="442"/>
      <c r="L95" s="443"/>
      <c r="M95" s="444"/>
      <c r="N95" s="424"/>
      <c r="O95" s="424"/>
      <c r="P95" s="519"/>
      <c r="Q95" s="520"/>
    </row>
    <row r="96" spans="1:17" ht="14.5" thickBot="1">
      <c r="A96" s="420"/>
      <c r="B96" s="430"/>
      <c r="C96" s="448"/>
      <c r="D96" s="448"/>
      <c r="E96" s="448"/>
      <c r="F96" s="448"/>
      <c r="G96" s="448"/>
      <c r="H96" s="450"/>
      <c r="I96" s="450"/>
      <c r="J96" s="450"/>
      <c r="K96" s="450"/>
      <c r="L96" s="450"/>
      <c r="M96" s="451"/>
      <c r="N96" s="424"/>
      <c r="O96" s="424"/>
      <c r="P96" s="18"/>
      <c r="Q96" s="390"/>
    </row>
    <row r="97" ht="14.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
  <cols>
    <col min="1" max="1" width="11.90625" style="1667" customWidth="1"/>
    <col min="2" max="2" width="15.7265625" style="1667" customWidth="1"/>
    <col min="3" max="3" width="14.36328125" style="1667" customWidth="1"/>
    <col min="4" max="4" width="12.26953125" style="1667" customWidth="1"/>
    <col min="5" max="5" width="14.36328125" style="1667" customWidth="1"/>
    <col min="6" max="6" width="12.26953125" style="1667" customWidth="1"/>
    <col min="7" max="7" width="14.453125" style="1667" customWidth="1"/>
    <col min="8" max="8" width="12.26953125" style="1667" customWidth="1"/>
    <col min="9" max="9" width="14.453125" style="1667" customWidth="1"/>
    <col min="10" max="10" width="12.26953125" style="1667" customWidth="1"/>
    <col min="11" max="11" width="12.26953125" style="1910" customWidth="1"/>
    <col min="12" max="12" width="12.26953125" style="1911" customWidth="1"/>
    <col min="13" max="15" width="12.26953125" style="1667" customWidth="1"/>
    <col min="16" max="16" width="4.7265625" style="1667" customWidth="1"/>
    <col min="17" max="17" width="19.453125" style="1667" customWidth="1"/>
    <col min="18" max="22" width="6.08984375" style="1667" customWidth="1"/>
    <col min="23" max="23" width="5.7265625" style="1667" customWidth="1"/>
    <col min="24" max="24" width="4.26953125" style="1667" customWidth="1"/>
    <col min="25" max="25" width="3.453125" style="1667" customWidth="1"/>
    <col min="26" max="26" width="19.7265625" style="1667" customWidth="1"/>
    <col min="27" max="28" width="9.3632812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c r="A4" s="1663" t="s">
        <v>2253</v>
      </c>
      <c r="B4" s="1664"/>
      <c r="C4" s="3456" t="s">
        <v>2254</v>
      </c>
      <c r="D4" s="3457"/>
      <c r="E4" s="3458" t="s">
        <v>2255</v>
      </c>
      <c r="F4" s="3459"/>
      <c r="G4" s="3456" t="s">
        <v>2256</v>
      </c>
      <c r="H4" s="3457"/>
      <c r="I4" s="3456" t="s">
        <v>2257</v>
      </c>
      <c r="J4" s="3457"/>
      <c r="K4" s="1966" t="s">
        <v>2258</v>
      </c>
      <c r="L4" s="2999"/>
      <c r="M4" s="3000"/>
      <c r="N4" s="3000"/>
      <c r="O4" s="3000"/>
      <c r="P4" s="3460" t="s">
        <v>2259</v>
      </c>
      <c r="Q4" s="3461"/>
      <c r="R4" s="3445" t="s">
        <v>2255</v>
      </c>
      <c r="S4" s="3446"/>
      <c r="T4" s="3445" t="s">
        <v>2256</v>
      </c>
      <c r="U4" s="3446"/>
      <c r="V4" s="3466" t="s">
        <v>2257</v>
      </c>
      <c r="W4" s="3466"/>
      <c r="X4" s="1666"/>
      <c r="Y4" s="3445" t="s">
        <v>2259</v>
      </c>
      <c r="Z4" s="3446"/>
      <c r="AA4" s="3453" t="s">
        <v>2255</v>
      </c>
      <c r="AB4" s="3454" t="s">
        <v>2256</v>
      </c>
      <c r="AC4" s="3453" t="s">
        <v>2257</v>
      </c>
    </row>
    <row r="5" spans="1:30">
      <c r="A5" s="1668"/>
      <c r="B5" s="1669"/>
      <c r="C5" s="3473" t="s">
        <v>2260</v>
      </c>
      <c r="D5" s="3442"/>
      <c r="E5" s="3472" t="s">
        <v>2261</v>
      </c>
      <c r="F5" s="3468"/>
      <c r="G5" s="3473" t="s">
        <v>2262</v>
      </c>
      <c r="H5" s="3442"/>
      <c r="I5" s="3473" t="s">
        <v>2263</v>
      </c>
      <c r="J5" s="3442"/>
      <c r="K5" s="1966"/>
      <c r="L5" s="2999"/>
      <c r="M5" s="3000"/>
      <c r="N5" s="3000"/>
      <c r="O5" s="3000"/>
      <c r="P5" s="3462"/>
      <c r="Q5" s="3463"/>
      <c r="R5" s="3447"/>
      <c r="S5" s="3448"/>
      <c r="T5" s="3447"/>
      <c r="U5" s="3448"/>
      <c r="V5" s="3466"/>
      <c r="W5" s="3466"/>
      <c r="X5" s="1666"/>
      <c r="Y5" s="3447"/>
      <c r="Z5" s="3448"/>
      <c r="AA5" s="3454"/>
      <c r="AB5" s="3454"/>
      <c r="AC5" s="3454"/>
    </row>
    <row r="6" spans="1:30" ht="15" thickBot="1">
      <c r="A6" s="1671"/>
      <c r="B6" s="1672"/>
      <c r="C6" s="3439" t="s">
        <v>2264</v>
      </c>
      <c r="D6" s="3440"/>
      <c r="E6" s="3470" t="s">
        <v>2264</v>
      </c>
      <c r="F6" s="3471"/>
      <c r="G6" s="3439" t="s">
        <v>2264</v>
      </c>
      <c r="H6" s="3440"/>
      <c r="I6" s="3439" t="s">
        <v>2264</v>
      </c>
      <c r="J6" s="3440"/>
      <c r="K6" s="1966" t="s">
        <v>2265</v>
      </c>
      <c r="L6" s="2999"/>
      <c r="M6" s="3000"/>
      <c r="N6" s="3000"/>
      <c r="O6" s="3000"/>
      <c r="P6" s="3464"/>
      <c r="Q6" s="3465"/>
      <c r="R6" s="3447"/>
      <c r="S6" s="3448"/>
      <c r="T6" s="3449"/>
      <c r="U6" s="3450"/>
      <c r="V6" s="3466"/>
      <c r="W6" s="3466"/>
      <c r="X6" s="1666"/>
      <c r="Y6" s="3449"/>
      <c r="Z6" s="3450"/>
      <c r="AA6" s="3455"/>
      <c r="AB6" s="3455"/>
      <c r="AC6" s="3455"/>
    </row>
    <row r="7" spans="1:30" s="1685" customFormat="1" ht="14.5" thickBot="1">
      <c r="A7" s="1673" t="s">
        <v>2266</v>
      </c>
      <c r="B7" s="1674"/>
      <c r="C7" s="1675">
        <f>'数据-取费表'!B2</f>
        <v>44062</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43" t="s">
        <v>2267</v>
      </c>
      <c r="Q7" s="3451"/>
      <c r="R7" s="1681" t="s">
        <v>25</v>
      </c>
      <c r="S7" s="1682">
        <f t="shared" ref="S7:S15" si="0">F7</f>
        <v>0</v>
      </c>
      <c r="T7" s="1681" t="s">
        <v>25</v>
      </c>
      <c r="U7" s="1682">
        <f t="shared" ref="U7:U15" si="1">H7</f>
        <v>0</v>
      </c>
      <c r="V7" s="1681" t="s">
        <v>25</v>
      </c>
      <c r="W7" s="1682">
        <f t="shared" ref="W7:W15" si="2">J7</f>
        <v>0</v>
      </c>
      <c r="X7" s="1683"/>
      <c r="Y7" s="3443" t="s">
        <v>2267</v>
      </c>
      <c r="Z7" s="3444"/>
      <c r="AA7" s="1684" t="e">
        <f>D7/F7</f>
        <v>#DIV/0!</v>
      </c>
      <c r="AB7" s="1684" t="e">
        <f>D7/H7</f>
        <v>#DIV/0!</v>
      </c>
      <c r="AC7" s="1684" t="e">
        <f>D7/J7</f>
        <v>#DIV/0!</v>
      </c>
    </row>
    <row r="8" spans="1:30" s="1685" customFormat="1" ht="14.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43" t="s">
        <v>2270</v>
      </c>
      <c r="Q8" s="3444"/>
      <c r="R8" s="1681" t="s">
        <v>25</v>
      </c>
      <c r="S8" s="1682">
        <f t="shared" si="0"/>
        <v>0</v>
      </c>
      <c r="T8" s="1681" t="s">
        <v>25</v>
      </c>
      <c r="U8" s="1682">
        <f t="shared" si="1"/>
        <v>0</v>
      </c>
      <c r="V8" s="1681" t="s">
        <v>25</v>
      </c>
      <c r="W8" s="1682">
        <f t="shared" si="2"/>
        <v>0</v>
      </c>
      <c r="X8" s="1683"/>
      <c r="Y8" s="3443" t="s">
        <v>2270</v>
      </c>
      <c r="Z8" s="3444"/>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29" t="s">
        <v>2273</v>
      </c>
      <c r="Q9" s="1635" t="str">
        <f t="shared" ref="Q9:Q15" si="6">B9</f>
        <v>用途</v>
      </c>
      <c r="R9" s="1681" t="s">
        <v>25</v>
      </c>
      <c r="S9" s="1682">
        <f t="shared" si="0"/>
        <v>100</v>
      </c>
      <c r="T9" s="1681" t="s">
        <v>25</v>
      </c>
      <c r="U9" s="1682">
        <f t="shared" si="1"/>
        <v>100</v>
      </c>
      <c r="V9" s="1681" t="s">
        <v>25</v>
      </c>
      <c r="W9" s="1682">
        <f t="shared" si="2"/>
        <v>100</v>
      </c>
      <c r="X9" s="1683"/>
      <c r="Y9" s="3290" t="s">
        <v>2274</v>
      </c>
      <c r="Z9" s="1694" t="str">
        <f t="shared" ref="Z9:Z15" si="7">Q9</f>
        <v>用途</v>
      </c>
      <c r="AA9" s="1684">
        <f t="shared" si="3"/>
        <v>1</v>
      </c>
      <c r="AB9" s="1684">
        <f t="shared" si="4"/>
        <v>1</v>
      </c>
      <c r="AC9" s="1684">
        <f t="shared" si="5"/>
        <v>1</v>
      </c>
    </row>
    <row r="10" spans="1:30" s="1702" customFormat="1" ht="28">
      <c r="A10" s="1695"/>
      <c r="B10" s="1696" t="s">
        <v>2275</v>
      </c>
      <c r="C10" s="1708"/>
      <c r="D10" s="1698">
        <v>100</v>
      </c>
      <c r="E10" s="1760"/>
      <c r="F10" s="1698">
        <f>ROUND(100/'数据-取费表'!B14,0)</f>
        <v>100</v>
      </c>
      <c r="G10" s="1758"/>
      <c r="H10" s="1698">
        <f>ROUND(100/'数据-取费表'!B14,0)</f>
        <v>100</v>
      </c>
      <c r="I10" s="1758"/>
      <c r="J10" s="1698">
        <f>ROUND(100/'数据-取费表'!B14,0)</f>
        <v>100</v>
      </c>
      <c r="K10" s="1970"/>
      <c r="L10" s="3001"/>
      <c r="M10" s="3002"/>
      <c r="N10" s="3002"/>
      <c r="O10" s="3047"/>
      <c r="P10" s="3429"/>
      <c r="Q10" s="1635" t="str">
        <f t="shared" si="6"/>
        <v>土地使用年限（年）</v>
      </c>
      <c r="R10" s="1681" t="s">
        <v>25</v>
      </c>
      <c r="S10" s="1682">
        <f t="shared" si="0"/>
        <v>100</v>
      </c>
      <c r="T10" s="1681" t="s">
        <v>25</v>
      </c>
      <c r="U10" s="1682">
        <f t="shared" si="1"/>
        <v>100</v>
      </c>
      <c r="V10" s="1681" t="s">
        <v>25</v>
      </c>
      <c r="W10" s="1682">
        <f t="shared" si="2"/>
        <v>100</v>
      </c>
      <c r="X10" s="1683"/>
      <c r="Y10" s="3290"/>
      <c r="Z10" s="1694" t="str">
        <f t="shared" si="7"/>
        <v>土地使用年限（年）</v>
      </c>
      <c r="AA10" s="1684">
        <f t="shared" si="3"/>
        <v>1</v>
      </c>
      <c r="AB10" s="1684">
        <f t="shared" si="4"/>
        <v>1</v>
      </c>
      <c r="AC10" s="1684">
        <f t="shared" si="5"/>
        <v>1</v>
      </c>
    </row>
    <row r="11" spans="1:30" ht="15.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29"/>
      <c r="Q11" s="1635" t="str">
        <f t="shared" si="6"/>
        <v>容积率</v>
      </c>
      <c r="R11" s="1681" t="s">
        <v>25</v>
      </c>
      <c r="S11" s="1682" t="e">
        <f t="shared" si="0"/>
        <v>#N/A</v>
      </c>
      <c r="T11" s="1681" t="s">
        <v>25</v>
      </c>
      <c r="U11" s="1682" t="e">
        <f t="shared" si="1"/>
        <v>#N/A</v>
      </c>
      <c r="V11" s="1681" t="s">
        <v>25</v>
      </c>
      <c r="W11" s="1682" t="e">
        <f t="shared" si="2"/>
        <v>#N/A</v>
      </c>
      <c r="X11" s="1683"/>
      <c r="Y11" s="3290"/>
      <c r="Z11" s="1694" t="str">
        <f t="shared" si="7"/>
        <v>容积率</v>
      </c>
      <c r="AA11" s="1684" t="e">
        <f t="shared" si="3"/>
        <v>#N/A</v>
      </c>
      <c r="AB11" s="1684" t="e">
        <f t="shared" si="4"/>
        <v>#N/A</v>
      </c>
      <c r="AC11" s="1684" t="e">
        <f t="shared" si="5"/>
        <v>#N/A</v>
      </c>
    </row>
    <row r="12" spans="1:30" s="1685" customFormat="1" ht="15.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29"/>
      <c r="Q12" s="1635" t="str">
        <f t="shared" si="6"/>
        <v>配建</v>
      </c>
      <c r="R12" s="1681" t="s">
        <v>25</v>
      </c>
      <c r="S12" s="1682">
        <f t="shared" si="0"/>
        <v>100</v>
      </c>
      <c r="T12" s="1681" t="s">
        <v>25</v>
      </c>
      <c r="U12" s="1682">
        <f t="shared" si="1"/>
        <v>100</v>
      </c>
      <c r="V12" s="1681" t="s">
        <v>25</v>
      </c>
      <c r="W12" s="1682">
        <f t="shared" si="2"/>
        <v>100</v>
      </c>
      <c r="X12" s="1683"/>
      <c r="Y12" s="3290"/>
      <c r="Z12" s="1694" t="str">
        <f t="shared" si="7"/>
        <v>配建</v>
      </c>
      <c r="AA12" s="1684">
        <f>D12/F12</f>
        <v>1</v>
      </c>
      <c r="AB12" s="1684">
        <f>D12/H12</f>
        <v>1</v>
      </c>
      <c r="AC12" s="1684">
        <f>D12/J12</f>
        <v>1</v>
      </c>
    </row>
    <row r="13" spans="1:30" ht="15.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29"/>
      <c r="Q13" s="1635">
        <f t="shared" si="6"/>
        <v>111</v>
      </c>
      <c r="R13" s="1681" t="s">
        <v>25</v>
      </c>
      <c r="S13" s="1682">
        <f t="shared" si="0"/>
        <v>100</v>
      </c>
      <c r="T13" s="1681" t="s">
        <v>25</v>
      </c>
      <c r="U13" s="1682">
        <f t="shared" si="1"/>
        <v>100</v>
      </c>
      <c r="V13" s="1681" t="s">
        <v>25</v>
      </c>
      <c r="W13" s="1682">
        <f t="shared" si="2"/>
        <v>100</v>
      </c>
      <c r="X13" s="1683"/>
      <c r="Y13" s="3290"/>
      <c r="Z13" s="1694">
        <f t="shared" si="7"/>
        <v>111</v>
      </c>
      <c r="AA13" s="1684">
        <f>D13/F13</f>
        <v>1</v>
      </c>
      <c r="AB13" s="1684">
        <f>D13/H13</f>
        <v>1</v>
      </c>
      <c r="AC13" s="1684">
        <f>D13/J13</f>
        <v>1</v>
      </c>
    </row>
    <row r="14" spans="1:30" ht="16"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29"/>
      <c r="Q14" s="1635">
        <f t="shared" si="6"/>
        <v>111</v>
      </c>
      <c r="R14" s="1681" t="s">
        <v>25</v>
      </c>
      <c r="S14" s="1682">
        <f t="shared" si="0"/>
        <v>100</v>
      </c>
      <c r="T14" s="1681" t="s">
        <v>25</v>
      </c>
      <c r="U14" s="1682">
        <f t="shared" si="1"/>
        <v>100</v>
      </c>
      <c r="V14" s="1681" t="s">
        <v>25</v>
      </c>
      <c r="W14" s="1682">
        <f t="shared" si="2"/>
        <v>100</v>
      </c>
      <c r="X14" s="1683"/>
      <c r="Y14" s="3290"/>
      <c r="Z14" s="1694">
        <f t="shared" si="7"/>
        <v>111</v>
      </c>
      <c r="AA14" s="1684">
        <f>D14/F14</f>
        <v>1</v>
      </c>
      <c r="AB14" s="1684">
        <f>D14/H14</f>
        <v>1</v>
      </c>
      <c r="AC14" s="1684">
        <f>D14/J14</f>
        <v>1</v>
      </c>
    </row>
    <row r="15" spans="1:30" ht="98">
      <c r="A15" s="1663" t="s">
        <v>2277</v>
      </c>
      <c r="B15" s="1973" t="s">
        <v>1711</v>
      </c>
      <c r="C15" s="1974" t="str">
        <f>估价对象房地状况!C15</f>
        <v>估价对象周边有西环里、安福苑、燕平家园、和平家园小区等住宅项目，居住社区成熟度好。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32" t="s">
        <v>2278</v>
      </c>
      <c r="Q15" s="1616" t="str">
        <f t="shared" si="6"/>
        <v>居住社区成熟度</v>
      </c>
      <c r="R15" s="1726" t="s">
        <v>25</v>
      </c>
      <c r="S15" s="1727">
        <f t="shared" si="0"/>
        <v>100</v>
      </c>
      <c r="T15" s="1726" t="s">
        <v>25</v>
      </c>
      <c r="U15" s="1727">
        <f t="shared" si="1"/>
        <v>100</v>
      </c>
      <c r="V15" s="1726" t="s">
        <v>25</v>
      </c>
      <c r="W15" s="1727">
        <f t="shared" si="2"/>
        <v>100</v>
      </c>
      <c r="X15" s="1666"/>
      <c r="Y15" s="3432" t="s">
        <v>2278</v>
      </c>
      <c r="Z15" s="1728" t="str">
        <f t="shared" si="7"/>
        <v>居住社区成熟度</v>
      </c>
      <c r="AA15" s="1729">
        <f t="shared" si="3"/>
        <v>1</v>
      </c>
      <c r="AB15" s="1729">
        <f t="shared" si="4"/>
        <v>1</v>
      </c>
      <c r="AC15" s="1729">
        <f t="shared" si="5"/>
        <v>1</v>
      </c>
    </row>
    <row r="16" spans="1:30" ht="15.5">
      <c r="A16" s="1668"/>
      <c r="B16" s="1975"/>
      <c r="C16" s="1976"/>
      <c r="D16" s="1732"/>
      <c r="E16" s="1733"/>
      <c r="F16" s="1732"/>
      <c r="G16" s="1733"/>
      <c r="H16" s="1736"/>
      <c r="I16" s="1735"/>
      <c r="J16" s="1732"/>
      <c r="K16" s="1970"/>
      <c r="L16" s="3004"/>
      <c r="M16" s="3000"/>
      <c r="N16" s="3000"/>
      <c r="O16" s="3048"/>
      <c r="P16" s="3433"/>
      <c r="Q16" s="1616"/>
      <c r="R16" s="1726"/>
      <c r="S16" s="1727"/>
      <c r="T16" s="1726"/>
      <c r="U16" s="1727"/>
      <c r="V16" s="1726"/>
      <c r="W16" s="1727"/>
      <c r="X16" s="1666"/>
      <c r="Y16" s="3433"/>
      <c r="Z16" s="1728"/>
      <c r="AA16" s="1729">
        <v>1</v>
      </c>
      <c r="AB16" s="1729">
        <v>1</v>
      </c>
      <c r="AC16" s="1729">
        <v>1</v>
      </c>
    </row>
    <row r="17" spans="1:29" ht="84">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33"/>
      <c r="Q17" s="1616" t="str">
        <f>B17</f>
        <v>商业繁华度</v>
      </c>
      <c r="R17" s="1726" t="s">
        <v>25</v>
      </c>
      <c r="S17" s="1727">
        <f>F17</f>
        <v>100</v>
      </c>
      <c r="T17" s="1726" t="s">
        <v>25</v>
      </c>
      <c r="U17" s="1727">
        <f>H17</f>
        <v>100</v>
      </c>
      <c r="V17" s="1726" t="s">
        <v>25</v>
      </c>
      <c r="W17" s="1727">
        <f>J17</f>
        <v>100</v>
      </c>
      <c r="X17" s="1666"/>
      <c r="Y17" s="3433"/>
      <c r="Z17" s="1728" t="str">
        <f>Q17</f>
        <v>商业繁华度</v>
      </c>
      <c r="AA17" s="1729">
        <f t="shared" si="3"/>
        <v>1</v>
      </c>
      <c r="AB17" s="1729">
        <f t="shared" si="4"/>
        <v>1</v>
      </c>
      <c r="AC17" s="1729">
        <f t="shared" si="5"/>
        <v>1</v>
      </c>
    </row>
    <row r="18" spans="1:29" ht="15.5">
      <c r="A18" s="1668"/>
      <c r="B18" s="1979"/>
      <c r="C18" s="1980"/>
      <c r="D18" s="1736"/>
      <c r="E18" s="1746"/>
      <c r="F18" s="1736"/>
      <c r="G18" s="1746"/>
      <c r="H18" s="1732"/>
      <c r="I18" s="1747"/>
      <c r="J18" s="1732"/>
      <c r="K18" s="1970"/>
      <c r="L18" s="3004"/>
      <c r="M18" s="3000"/>
      <c r="N18" s="3000"/>
      <c r="O18" s="3048"/>
      <c r="P18" s="3433"/>
      <c r="Q18" s="1616"/>
      <c r="R18" s="1726"/>
      <c r="S18" s="1727"/>
      <c r="T18" s="1726"/>
      <c r="U18" s="1727"/>
      <c r="V18" s="1726"/>
      <c r="W18" s="1727"/>
      <c r="X18" s="1666"/>
      <c r="Y18" s="3433"/>
      <c r="Z18" s="1728"/>
      <c r="AA18" s="1729">
        <v>1</v>
      </c>
      <c r="AB18" s="1729">
        <v>1</v>
      </c>
      <c r="AC18" s="1729">
        <v>1</v>
      </c>
    </row>
    <row r="19" spans="1:29" ht="84">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33"/>
      <c r="Q19" s="1616" t="str">
        <f>B19</f>
        <v>办公集聚程度</v>
      </c>
      <c r="R19" s="1726" t="s">
        <v>25</v>
      </c>
      <c r="S19" s="1727">
        <f>F19</f>
        <v>100</v>
      </c>
      <c r="T19" s="1726" t="s">
        <v>25</v>
      </c>
      <c r="U19" s="1727">
        <f>H19</f>
        <v>100</v>
      </c>
      <c r="V19" s="1726" t="s">
        <v>25</v>
      </c>
      <c r="W19" s="1727">
        <f>J19</f>
        <v>100</v>
      </c>
      <c r="X19" s="1666"/>
      <c r="Y19" s="3433"/>
      <c r="Z19" s="1728" t="str">
        <f>Q19</f>
        <v>办公集聚程度</v>
      </c>
      <c r="AA19" s="1729">
        <f t="shared" si="3"/>
        <v>1</v>
      </c>
      <c r="AB19" s="1729">
        <f t="shared" si="4"/>
        <v>1</v>
      </c>
      <c r="AC19" s="1729">
        <f t="shared" si="5"/>
        <v>1</v>
      </c>
    </row>
    <row r="20" spans="1:29" ht="15.5">
      <c r="A20" s="1668"/>
      <c r="B20" s="1979"/>
      <c r="C20" s="1976"/>
      <c r="D20" s="1732"/>
      <c r="E20" s="1733"/>
      <c r="F20" s="1732"/>
      <c r="G20" s="1733"/>
      <c r="H20" s="1732"/>
      <c r="I20" s="1735"/>
      <c r="J20" s="1732"/>
      <c r="K20" s="1970"/>
      <c r="L20" s="3004"/>
      <c r="M20" s="3000"/>
      <c r="N20" s="3000"/>
      <c r="O20" s="3048"/>
      <c r="P20" s="3433"/>
      <c r="Q20" s="1616"/>
      <c r="R20" s="1726"/>
      <c r="S20" s="1727"/>
      <c r="T20" s="1726"/>
      <c r="U20" s="1727"/>
      <c r="V20" s="1726"/>
      <c r="W20" s="1727"/>
      <c r="X20" s="1666"/>
      <c r="Y20" s="3433"/>
      <c r="Z20" s="1728"/>
      <c r="AA20" s="1729">
        <v>1</v>
      </c>
      <c r="AB20" s="1729">
        <v>1</v>
      </c>
      <c r="AC20" s="1729">
        <v>1</v>
      </c>
    </row>
    <row r="21" spans="1:29" ht="168">
      <c r="A21" s="1668"/>
      <c r="B21" s="1977" t="s">
        <v>2415</v>
      </c>
      <c r="C21" s="1981" t="str">
        <f>估价对象房地状况!C18</f>
        <v>估价对象周边有昌11路、昌21路、昌52路、昌59路等多条公交线路。以估价对象为圆心，半径1000米范围内有地铁昌平线昌平地铁站，交通便捷程度好。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33"/>
      <c r="Q21" s="1616" t="str">
        <f>B21</f>
        <v>交通便捷度</v>
      </c>
      <c r="R21" s="1726" t="s">
        <v>25</v>
      </c>
      <c r="S21" s="1727">
        <f>F21</f>
        <v>100</v>
      </c>
      <c r="T21" s="1726" t="s">
        <v>25</v>
      </c>
      <c r="U21" s="1727">
        <f>H21</f>
        <v>100</v>
      </c>
      <c r="V21" s="1726" t="s">
        <v>25</v>
      </c>
      <c r="W21" s="1727">
        <f>J21</f>
        <v>100</v>
      </c>
      <c r="X21" s="1666"/>
      <c r="Y21" s="3433"/>
      <c r="Z21" s="1728" t="str">
        <f>Q21</f>
        <v>交通便捷度</v>
      </c>
      <c r="AA21" s="1729">
        <f t="shared" si="3"/>
        <v>1</v>
      </c>
      <c r="AB21" s="1729">
        <f t="shared" si="4"/>
        <v>1</v>
      </c>
      <c r="AC21" s="1729">
        <f t="shared" si="5"/>
        <v>1</v>
      </c>
    </row>
    <row r="22" spans="1:29" ht="15.5">
      <c r="A22" s="1668"/>
      <c r="B22" s="1982"/>
      <c r="C22" s="1976"/>
      <c r="D22" s="1736"/>
      <c r="E22" s="1733"/>
      <c r="F22" s="1732"/>
      <c r="G22" s="1733"/>
      <c r="H22" s="1732"/>
      <c r="I22" s="1735"/>
      <c r="J22" s="1732"/>
      <c r="K22" s="1970"/>
      <c r="L22" s="3004"/>
      <c r="M22" s="3000"/>
      <c r="N22" s="3000"/>
      <c r="O22" s="3048"/>
      <c r="P22" s="3433"/>
      <c r="Q22" s="1616"/>
      <c r="R22" s="1726"/>
      <c r="S22" s="1727"/>
      <c r="T22" s="1726"/>
      <c r="U22" s="1727"/>
      <c r="V22" s="1726"/>
      <c r="W22" s="1727"/>
      <c r="X22" s="1666"/>
      <c r="Y22" s="3433"/>
      <c r="Z22" s="1728"/>
      <c r="AA22" s="1729">
        <v>1</v>
      </c>
      <c r="AB22" s="1729">
        <v>1</v>
      </c>
      <c r="AC22" s="1729">
        <v>1</v>
      </c>
    </row>
    <row r="23" spans="1:29" ht="28">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33"/>
      <c r="Q23" s="1616" t="str">
        <f t="shared" ref="Q23:Q37" si="8">B23</f>
        <v>区域土地利用方向</v>
      </c>
      <c r="R23" s="1726" t="s">
        <v>25</v>
      </c>
      <c r="S23" s="1727">
        <f>F23</f>
        <v>100</v>
      </c>
      <c r="T23" s="1726" t="s">
        <v>25</v>
      </c>
      <c r="U23" s="1727">
        <f>H23</f>
        <v>100</v>
      </c>
      <c r="V23" s="1726" t="s">
        <v>25</v>
      </c>
      <c r="W23" s="1727">
        <f>J23</f>
        <v>100</v>
      </c>
      <c r="X23" s="1666"/>
      <c r="Y23" s="3433"/>
      <c r="Z23" s="1728" t="str">
        <f>Q23</f>
        <v>区域土地利用方向</v>
      </c>
      <c r="AA23" s="1729">
        <f t="shared" si="3"/>
        <v>1</v>
      </c>
      <c r="AB23" s="1729">
        <f t="shared" si="4"/>
        <v>1</v>
      </c>
      <c r="AC23" s="1729">
        <f t="shared" si="5"/>
        <v>1</v>
      </c>
    </row>
    <row r="24" spans="1:29" ht="15.5">
      <c r="A24" s="1668"/>
      <c r="B24" s="1459"/>
      <c r="C24" s="1984"/>
      <c r="D24" s="1732"/>
      <c r="E24" s="1733"/>
      <c r="F24" s="1732"/>
      <c r="G24" s="1735"/>
      <c r="H24" s="1732"/>
      <c r="I24" s="1735"/>
      <c r="J24" s="1732"/>
      <c r="K24" s="1985"/>
      <c r="L24" s="3004"/>
      <c r="M24" s="3000"/>
      <c r="N24" s="3000"/>
      <c r="O24" s="3048"/>
      <c r="P24" s="3433"/>
      <c r="Q24" s="1616"/>
      <c r="R24" s="1726"/>
      <c r="S24" s="1727"/>
      <c r="T24" s="1726"/>
      <c r="U24" s="1727"/>
      <c r="V24" s="1726"/>
      <c r="W24" s="1727"/>
      <c r="X24" s="1666"/>
      <c r="Y24" s="3433"/>
      <c r="Z24" s="1728"/>
      <c r="AA24" s="1729"/>
      <c r="AB24" s="1729"/>
      <c r="AC24" s="1729"/>
    </row>
    <row r="25" spans="1:29" ht="168">
      <c r="A25" s="1668"/>
      <c r="B25" s="1982" t="s">
        <v>2456</v>
      </c>
      <c r="C25" s="1978" t="str">
        <f>估价对象房地状况!C20</f>
        <v xml:space="preserve">自然环境：昌平公园、北山公园等自然景观；
人文环境：中国石油大学、中国政法大学昌平校区等人文场所；
综合评价环境状况好。
</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33"/>
      <c r="Q25" s="1616" t="str">
        <f t="shared" si="8"/>
        <v>自然及人文环境状况</v>
      </c>
      <c r="R25" s="1726" t="s">
        <v>25</v>
      </c>
      <c r="S25" s="1727">
        <f>F25</f>
        <v>100</v>
      </c>
      <c r="T25" s="1726" t="s">
        <v>25</v>
      </c>
      <c r="U25" s="1727">
        <f>H25</f>
        <v>100</v>
      </c>
      <c r="V25" s="1726" t="s">
        <v>25</v>
      </c>
      <c r="W25" s="1727">
        <f>J25</f>
        <v>100</v>
      </c>
      <c r="X25" s="1666"/>
      <c r="Y25" s="3433"/>
      <c r="Z25" s="1728" t="str">
        <f>Q25</f>
        <v>自然及人文环境状况</v>
      </c>
      <c r="AA25" s="1729">
        <f t="shared" si="3"/>
        <v>1</v>
      </c>
      <c r="AB25" s="1729">
        <f t="shared" si="4"/>
        <v>1</v>
      </c>
      <c r="AC25" s="1729">
        <f t="shared" si="5"/>
        <v>1</v>
      </c>
    </row>
    <row r="26" spans="1:29" ht="15.5">
      <c r="A26" s="1668"/>
      <c r="B26" s="1979"/>
      <c r="C26" s="1976"/>
      <c r="D26" s="1732"/>
      <c r="E26" s="1976"/>
      <c r="F26" s="1732"/>
      <c r="G26" s="1976"/>
      <c r="H26" s="1732"/>
      <c r="I26" s="1731"/>
      <c r="J26" s="1732"/>
      <c r="K26" s="1970"/>
      <c r="L26" s="3004"/>
      <c r="M26" s="3000"/>
      <c r="N26" s="3000"/>
      <c r="O26" s="3048"/>
      <c r="P26" s="3433"/>
      <c r="Q26" s="1616"/>
      <c r="R26" s="1726"/>
      <c r="S26" s="1727"/>
      <c r="T26" s="1726"/>
      <c r="U26" s="1727"/>
      <c r="V26" s="1726"/>
      <c r="W26" s="1727"/>
      <c r="X26" s="1666"/>
      <c r="Y26" s="3433"/>
      <c r="Z26" s="1728"/>
      <c r="AA26" s="1729">
        <v>1</v>
      </c>
      <c r="AB26" s="1729">
        <v>1</v>
      </c>
      <c r="AC26" s="1729">
        <v>1</v>
      </c>
    </row>
    <row r="27" spans="1:29" ht="42">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33"/>
      <c r="Q27" s="1635" t="str">
        <f t="shared" ref="Q27" si="9">B27</f>
        <v>公共配套设施</v>
      </c>
      <c r="R27" s="1681" t="s">
        <v>25</v>
      </c>
      <c r="S27" s="1682">
        <f>F27</f>
        <v>100</v>
      </c>
      <c r="T27" s="1681" t="s">
        <v>25</v>
      </c>
      <c r="U27" s="1682">
        <f>H27</f>
        <v>100</v>
      </c>
      <c r="V27" s="1681" t="s">
        <v>25</v>
      </c>
      <c r="W27" s="1682">
        <f>J27</f>
        <v>100</v>
      </c>
      <c r="X27" s="1666"/>
      <c r="Y27" s="3433"/>
      <c r="Z27" s="1694" t="str">
        <f>Q27</f>
        <v>公共配套设施</v>
      </c>
      <c r="AA27" s="1729">
        <f>D27/F27</f>
        <v>1</v>
      </c>
      <c r="AB27" s="1729">
        <f>D27/H27</f>
        <v>1</v>
      </c>
      <c r="AC27" s="1729">
        <f>D27/J27</f>
        <v>1</v>
      </c>
    </row>
    <row r="28" spans="1:29" ht="15.5">
      <c r="A28" s="1668"/>
      <c r="B28" s="1979"/>
      <c r="C28" s="1987"/>
      <c r="D28" s="1732"/>
      <c r="E28" s="1987"/>
      <c r="F28" s="1732"/>
      <c r="G28" s="1987"/>
      <c r="H28" s="1732"/>
      <c r="I28" s="1987"/>
      <c r="J28" s="1732"/>
      <c r="K28" s="1970"/>
      <c r="L28" s="3004"/>
      <c r="M28" s="3000"/>
      <c r="N28" s="3000"/>
      <c r="O28" s="3048"/>
      <c r="P28" s="3433"/>
      <c r="Q28" s="1616"/>
      <c r="R28" s="1726"/>
      <c r="S28" s="1727"/>
      <c r="T28" s="1726"/>
      <c r="U28" s="1727"/>
      <c r="V28" s="1726"/>
      <c r="W28" s="1727"/>
      <c r="X28" s="1666"/>
      <c r="Y28" s="3433"/>
      <c r="Z28" s="1694"/>
      <c r="AA28" s="1729">
        <v>1</v>
      </c>
      <c r="AB28" s="1729">
        <v>1</v>
      </c>
      <c r="AC28" s="1729">
        <v>1</v>
      </c>
    </row>
    <row r="29" spans="1:29" s="1685" customFormat="1" ht="42">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33"/>
      <c r="Q29" s="1635" t="str">
        <f t="shared" si="8"/>
        <v>基础设施水平</v>
      </c>
      <c r="R29" s="1681" t="s">
        <v>25</v>
      </c>
      <c r="S29" s="1682">
        <f>F29</f>
        <v>100</v>
      </c>
      <c r="T29" s="1681" t="s">
        <v>25</v>
      </c>
      <c r="U29" s="1682">
        <f>H29</f>
        <v>100</v>
      </c>
      <c r="V29" s="1681" t="s">
        <v>25</v>
      </c>
      <c r="W29" s="1682">
        <f>J29</f>
        <v>100</v>
      </c>
      <c r="X29" s="1683"/>
      <c r="Y29" s="3433"/>
      <c r="Z29" s="1694" t="str">
        <f>Q29</f>
        <v>基础设施水平</v>
      </c>
      <c r="AA29" s="1729">
        <f>D29/F29</f>
        <v>1</v>
      </c>
      <c r="AB29" s="1729">
        <f>D29/H29</f>
        <v>1</v>
      </c>
      <c r="AC29" s="1729">
        <f>D29/J29</f>
        <v>1</v>
      </c>
    </row>
    <row r="30" spans="1:29" s="1685" customFormat="1" ht="15.5">
      <c r="A30" s="1988"/>
      <c r="B30" s="1979"/>
      <c r="C30" s="1987"/>
      <c r="D30" s="1732"/>
      <c r="E30" s="1987"/>
      <c r="F30" s="1732"/>
      <c r="G30" s="1987"/>
      <c r="H30" s="1732"/>
      <c r="I30" s="1987"/>
      <c r="J30" s="1732"/>
      <c r="K30" s="1970"/>
      <c r="L30" s="2999"/>
      <c r="M30" s="2972"/>
      <c r="N30" s="2972"/>
      <c r="O30" s="3046"/>
      <c r="P30" s="3433"/>
      <c r="Q30" s="1635"/>
      <c r="R30" s="1681"/>
      <c r="S30" s="1682"/>
      <c r="T30" s="1681"/>
      <c r="U30" s="1682"/>
      <c r="V30" s="1681"/>
      <c r="W30" s="1682"/>
      <c r="X30" s="1683"/>
      <c r="Y30" s="3433"/>
      <c r="Z30" s="1694"/>
      <c r="AA30" s="1729">
        <v>1</v>
      </c>
      <c r="AB30" s="1729">
        <v>1</v>
      </c>
      <c r="AC30" s="1729">
        <v>1</v>
      </c>
    </row>
    <row r="31" spans="1:29" ht="15.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3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3"/>
      <c r="Z31" s="1728" t="str">
        <f t="shared" ref="Z31:Z45" si="13">Q31</f>
        <v>临街状况</v>
      </c>
      <c r="AA31" s="1729">
        <f t="shared" si="3"/>
        <v>1</v>
      </c>
      <c r="AB31" s="1729">
        <f t="shared" si="4"/>
        <v>1</v>
      </c>
      <c r="AC31" s="1729">
        <f t="shared" si="5"/>
        <v>1</v>
      </c>
    </row>
    <row r="32" spans="1:29" ht="28">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33"/>
      <c r="Q32" s="1616" t="str">
        <f t="shared" si="8"/>
        <v>毗邻道路的类型与等级</v>
      </c>
      <c r="R32" s="1726" t="s">
        <v>25</v>
      </c>
      <c r="S32" s="1727">
        <f t="shared" si="10"/>
        <v>100</v>
      </c>
      <c r="T32" s="1726" t="s">
        <v>25</v>
      </c>
      <c r="U32" s="1727">
        <f t="shared" si="11"/>
        <v>100</v>
      </c>
      <c r="V32" s="1726" t="s">
        <v>25</v>
      </c>
      <c r="W32" s="1727">
        <f t="shared" si="12"/>
        <v>100</v>
      </c>
      <c r="X32" s="1666"/>
      <c r="Y32" s="3433"/>
      <c r="Z32" s="1728" t="str">
        <f t="shared" si="13"/>
        <v>毗邻道路的类型与等级</v>
      </c>
      <c r="AA32" s="1729">
        <f t="shared" si="3"/>
        <v>1</v>
      </c>
      <c r="AB32" s="1729">
        <f t="shared" si="4"/>
        <v>1</v>
      </c>
      <c r="AC32" s="1729">
        <f t="shared" si="5"/>
        <v>1</v>
      </c>
    </row>
    <row r="33" spans="1:29" ht="15.5">
      <c r="A33" s="1668"/>
      <c r="B33" s="1979"/>
      <c r="C33" s="1976"/>
      <c r="D33" s="1732"/>
      <c r="E33" s="1976"/>
      <c r="F33" s="1732"/>
      <c r="G33" s="1976"/>
      <c r="H33" s="1732"/>
      <c r="I33" s="1731"/>
      <c r="J33" s="1732"/>
      <c r="K33" s="1990"/>
      <c r="L33" s="3004"/>
      <c r="M33" s="3000"/>
      <c r="N33" s="3000"/>
      <c r="O33" s="3048"/>
      <c r="P33" s="3433"/>
      <c r="Q33" s="1616"/>
      <c r="R33" s="1726"/>
      <c r="S33" s="1727"/>
      <c r="T33" s="1726"/>
      <c r="U33" s="1727"/>
      <c r="V33" s="1726"/>
      <c r="W33" s="1727"/>
      <c r="X33" s="1666"/>
      <c r="Y33" s="3433"/>
      <c r="Z33" s="1728"/>
      <c r="AA33" s="1729">
        <v>1</v>
      </c>
      <c r="AB33" s="1729">
        <v>1</v>
      </c>
      <c r="AC33" s="1729">
        <v>1</v>
      </c>
    </row>
    <row r="34" spans="1:29" ht="15.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33"/>
      <c r="Q34" s="1616" t="str">
        <f t="shared" si="8"/>
        <v>土地级别</v>
      </c>
      <c r="R34" s="1726" t="s">
        <v>25</v>
      </c>
      <c r="S34" s="1727">
        <f t="shared" si="10"/>
        <v>100</v>
      </c>
      <c r="T34" s="1726" t="s">
        <v>25</v>
      </c>
      <c r="U34" s="1727">
        <f t="shared" si="11"/>
        <v>100</v>
      </c>
      <c r="V34" s="1726" t="s">
        <v>25</v>
      </c>
      <c r="W34" s="1727">
        <f t="shared" si="12"/>
        <v>100</v>
      </c>
      <c r="X34" s="1666"/>
      <c r="Y34" s="3433"/>
      <c r="Z34" s="1728" t="str">
        <f t="shared" si="13"/>
        <v>土地级别</v>
      </c>
      <c r="AA34" s="1729">
        <f t="shared" si="3"/>
        <v>1</v>
      </c>
      <c r="AB34" s="1729">
        <f t="shared" si="4"/>
        <v>1</v>
      </c>
      <c r="AC34" s="1729">
        <f t="shared" si="5"/>
        <v>1</v>
      </c>
    </row>
    <row r="35" spans="1:29" ht="15.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33"/>
      <c r="Q35" s="1616">
        <f t="shared" si="8"/>
        <v>111</v>
      </c>
      <c r="R35" s="1726" t="s">
        <v>25</v>
      </c>
      <c r="S35" s="1727">
        <f t="shared" si="10"/>
        <v>100</v>
      </c>
      <c r="T35" s="1726" t="s">
        <v>25</v>
      </c>
      <c r="U35" s="1727">
        <f t="shared" si="11"/>
        <v>100</v>
      </c>
      <c r="V35" s="1726" t="s">
        <v>25</v>
      </c>
      <c r="W35" s="1727">
        <f t="shared" si="12"/>
        <v>100</v>
      </c>
      <c r="X35" s="1666"/>
      <c r="Y35" s="3433"/>
      <c r="Z35" s="1728">
        <f t="shared" si="13"/>
        <v>111</v>
      </c>
      <c r="AA35" s="1729">
        <f t="shared" si="3"/>
        <v>1</v>
      </c>
      <c r="AB35" s="1729">
        <f t="shared" si="4"/>
        <v>1</v>
      </c>
      <c r="AC35" s="1729">
        <f t="shared" si="5"/>
        <v>1</v>
      </c>
    </row>
    <row r="36" spans="1:29" ht="15.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74" t="s">
        <v>2284</v>
      </c>
      <c r="Q36" s="1616">
        <f t="shared" si="8"/>
        <v>111</v>
      </c>
      <c r="R36" s="1726" t="s">
        <v>25</v>
      </c>
      <c r="S36" s="1727">
        <f t="shared" si="10"/>
        <v>100</v>
      </c>
      <c r="T36" s="1726" t="s">
        <v>25</v>
      </c>
      <c r="U36" s="1727">
        <f t="shared" si="11"/>
        <v>100</v>
      </c>
      <c r="V36" s="1726" t="s">
        <v>25</v>
      </c>
      <c r="W36" s="1727">
        <f t="shared" si="12"/>
        <v>100</v>
      </c>
      <c r="X36" s="1666"/>
      <c r="Y36" s="3437" t="s">
        <v>2284</v>
      </c>
      <c r="Z36" s="1728">
        <f t="shared" si="13"/>
        <v>111</v>
      </c>
      <c r="AA36" s="1729">
        <f t="shared" si="3"/>
        <v>1</v>
      </c>
      <c r="AB36" s="1729">
        <f t="shared" si="4"/>
        <v>1</v>
      </c>
      <c r="AC36" s="1729">
        <f t="shared" si="5"/>
        <v>1</v>
      </c>
    </row>
    <row r="37" spans="1:29" s="1772" customFormat="1" ht="16"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37"/>
      <c r="Q37" s="1616">
        <f t="shared" si="8"/>
        <v>111</v>
      </c>
      <c r="R37" s="1768" t="s">
        <v>25</v>
      </c>
      <c r="S37" s="1769">
        <f t="shared" si="10"/>
        <v>100</v>
      </c>
      <c r="T37" s="1768" t="s">
        <v>25</v>
      </c>
      <c r="U37" s="1769">
        <f t="shared" si="11"/>
        <v>100</v>
      </c>
      <c r="V37" s="1768" t="s">
        <v>25</v>
      </c>
      <c r="W37" s="1769">
        <f t="shared" si="12"/>
        <v>100</v>
      </c>
      <c r="X37" s="1770"/>
      <c r="Y37" s="3437"/>
      <c r="Z37" s="1771">
        <f t="shared" si="13"/>
        <v>111</v>
      </c>
      <c r="AA37" s="1729">
        <f t="shared" si="3"/>
        <v>1</v>
      </c>
      <c r="AB37" s="1729">
        <f t="shared" si="4"/>
        <v>1</v>
      </c>
      <c r="AC37" s="1729">
        <f t="shared" si="5"/>
        <v>1</v>
      </c>
    </row>
    <row r="38" spans="1:29" ht="15.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37"/>
      <c r="Q38" s="1616" t="str">
        <f>B38</f>
        <v>宗地面积</v>
      </c>
      <c r="R38" s="1726" t="s">
        <v>25</v>
      </c>
      <c r="S38" s="1727" t="e">
        <f t="shared" si="10"/>
        <v>#N/A</v>
      </c>
      <c r="T38" s="1726" t="s">
        <v>25</v>
      </c>
      <c r="U38" s="1727" t="e">
        <f t="shared" si="11"/>
        <v>#N/A</v>
      </c>
      <c r="V38" s="1726" t="s">
        <v>25</v>
      </c>
      <c r="W38" s="1727" t="e">
        <f t="shared" si="12"/>
        <v>#N/A</v>
      </c>
      <c r="X38" s="1666"/>
      <c r="Y38" s="3437"/>
      <c r="Z38" s="1728" t="str">
        <f t="shared" si="13"/>
        <v>宗地面积</v>
      </c>
      <c r="AA38" s="1729" t="e">
        <f t="shared" si="3"/>
        <v>#N/A</v>
      </c>
      <c r="AB38" s="1729" t="e">
        <f t="shared" si="4"/>
        <v>#N/A</v>
      </c>
      <c r="AC38" s="1729" t="e">
        <f t="shared" si="5"/>
        <v>#N/A</v>
      </c>
    </row>
    <row r="39" spans="1:29" ht="15.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37"/>
      <c r="Q39" s="1616" t="str">
        <f t="shared" ref="Q39:Q45" si="14">B39</f>
        <v>宗地形状</v>
      </c>
      <c r="R39" s="1726" t="s">
        <v>25</v>
      </c>
      <c r="S39" s="1727">
        <f t="shared" si="10"/>
        <v>100</v>
      </c>
      <c r="T39" s="1726" t="s">
        <v>25</v>
      </c>
      <c r="U39" s="1727">
        <f t="shared" si="11"/>
        <v>100</v>
      </c>
      <c r="V39" s="1726" t="s">
        <v>25</v>
      </c>
      <c r="W39" s="1727">
        <f t="shared" si="12"/>
        <v>100</v>
      </c>
      <c r="X39" s="1666"/>
      <c r="Y39" s="3437"/>
      <c r="Z39" s="1728" t="str">
        <f t="shared" si="13"/>
        <v>宗地形状</v>
      </c>
      <c r="AA39" s="1729">
        <f t="shared" si="3"/>
        <v>1</v>
      </c>
      <c r="AB39" s="1729">
        <f t="shared" si="4"/>
        <v>1</v>
      </c>
      <c r="AC39" s="1729">
        <f t="shared" si="5"/>
        <v>1</v>
      </c>
    </row>
    <row r="40" spans="1:29" ht="15.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37"/>
      <c r="Q40" s="1616" t="str">
        <f t="shared" si="14"/>
        <v>临街宽度及深度</v>
      </c>
      <c r="R40" s="1726" t="s">
        <v>25</v>
      </c>
      <c r="S40" s="1727">
        <f t="shared" si="10"/>
        <v>100</v>
      </c>
      <c r="T40" s="1726" t="s">
        <v>25</v>
      </c>
      <c r="U40" s="1727">
        <f t="shared" si="11"/>
        <v>100</v>
      </c>
      <c r="V40" s="1726" t="s">
        <v>25</v>
      </c>
      <c r="W40" s="1727">
        <f t="shared" si="12"/>
        <v>100</v>
      </c>
      <c r="X40" s="1666"/>
      <c r="Y40" s="3437"/>
      <c r="Z40" s="1728" t="str">
        <f t="shared" si="13"/>
        <v>临街宽度及深度</v>
      </c>
      <c r="AA40" s="1729">
        <f t="shared" si="3"/>
        <v>1</v>
      </c>
      <c r="AB40" s="1729">
        <f t="shared" si="4"/>
        <v>1</v>
      </c>
      <c r="AC40" s="1729">
        <f t="shared" si="5"/>
        <v>1</v>
      </c>
    </row>
    <row r="41" spans="1:29" s="1685" customFormat="1" ht="15.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37"/>
      <c r="Q41" s="1616" t="str">
        <f t="shared" si="14"/>
        <v>宗地开发程度</v>
      </c>
      <c r="R41" s="1681" t="s">
        <v>25</v>
      </c>
      <c r="S41" s="1682">
        <f t="shared" si="10"/>
        <v>100</v>
      </c>
      <c r="T41" s="1681" t="s">
        <v>25</v>
      </c>
      <c r="U41" s="1682">
        <f t="shared" si="11"/>
        <v>100</v>
      </c>
      <c r="V41" s="1681" t="s">
        <v>25</v>
      </c>
      <c r="W41" s="1682">
        <f t="shared" si="12"/>
        <v>100</v>
      </c>
      <c r="X41" s="1683"/>
      <c r="Y41" s="3437"/>
      <c r="Z41" s="1694" t="str">
        <f t="shared" si="13"/>
        <v>宗地开发程度</v>
      </c>
      <c r="AA41" s="1684">
        <f t="shared" si="3"/>
        <v>1</v>
      </c>
      <c r="AB41" s="1684">
        <f t="shared" si="4"/>
        <v>1</v>
      </c>
      <c r="AC41" s="1684">
        <f t="shared" si="5"/>
        <v>1</v>
      </c>
    </row>
    <row r="42" spans="1:29" ht="15.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37" t="s">
        <v>2284</v>
      </c>
      <c r="Q42" s="1616" t="str">
        <f t="shared" si="14"/>
        <v>工程地质条件</v>
      </c>
      <c r="R42" s="1726" t="s">
        <v>25</v>
      </c>
      <c r="S42" s="1727">
        <f t="shared" si="10"/>
        <v>100</v>
      </c>
      <c r="T42" s="1726" t="s">
        <v>25</v>
      </c>
      <c r="U42" s="1727">
        <f t="shared" si="11"/>
        <v>100</v>
      </c>
      <c r="V42" s="1726" t="s">
        <v>25</v>
      </c>
      <c r="W42" s="1727">
        <f t="shared" si="12"/>
        <v>100</v>
      </c>
      <c r="X42" s="1666"/>
      <c r="Y42" s="3437" t="s">
        <v>2284</v>
      </c>
      <c r="Z42" s="1728" t="str">
        <f t="shared" si="13"/>
        <v>工程地质条件</v>
      </c>
      <c r="AA42" s="1729">
        <f t="shared" si="3"/>
        <v>1</v>
      </c>
      <c r="AB42" s="1729">
        <f t="shared" si="4"/>
        <v>1</v>
      </c>
      <c r="AC42" s="1729">
        <f t="shared" si="5"/>
        <v>1</v>
      </c>
    </row>
    <row r="43" spans="1:29" ht="15.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37"/>
      <c r="Q43" s="1616">
        <f t="shared" si="14"/>
        <v>111</v>
      </c>
      <c r="R43" s="1726" t="s">
        <v>25</v>
      </c>
      <c r="S43" s="1727">
        <f t="shared" si="10"/>
        <v>100</v>
      </c>
      <c r="T43" s="1726" t="s">
        <v>25</v>
      </c>
      <c r="U43" s="1727">
        <f t="shared" si="11"/>
        <v>100</v>
      </c>
      <c r="V43" s="1726" t="s">
        <v>25</v>
      </c>
      <c r="W43" s="1727">
        <f t="shared" si="12"/>
        <v>100</v>
      </c>
      <c r="X43" s="1666"/>
      <c r="Y43" s="3437"/>
      <c r="Z43" s="1728">
        <f t="shared" si="13"/>
        <v>111</v>
      </c>
      <c r="AA43" s="1729">
        <f t="shared" si="3"/>
        <v>1</v>
      </c>
      <c r="AB43" s="1729">
        <f t="shared" si="4"/>
        <v>1</v>
      </c>
      <c r="AC43" s="1729">
        <f t="shared" si="5"/>
        <v>1</v>
      </c>
    </row>
    <row r="44" spans="1:29" ht="15.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37"/>
      <c r="Q44" s="1616">
        <f t="shared" si="14"/>
        <v>111</v>
      </c>
      <c r="R44" s="1726" t="s">
        <v>25</v>
      </c>
      <c r="S44" s="1727">
        <f t="shared" si="10"/>
        <v>100</v>
      </c>
      <c r="T44" s="1726" t="s">
        <v>25</v>
      </c>
      <c r="U44" s="1727">
        <f t="shared" si="11"/>
        <v>100</v>
      </c>
      <c r="V44" s="1726" t="s">
        <v>25</v>
      </c>
      <c r="W44" s="1727">
        <f t="shared" si="12"/>
        <v>100</v>
      </c>
      <c r="X44" s="1666"/>
      <c r="Y44" s="3437"/>
      <c r="Z44" s="1728">
        <f t="shared" si="13"/>
        <v>111</v>
      </c>
      <c r="AA44" s="1729">
        <f t="shared" si="3"/>
        <v>1</v>
      </c>
      <c r="AB44" s="1729">
        <f t="shared" si="4"/>
        <v>1</v>
      </c>
      <c r="AC44" s="1729">
        <f t="shared" si="5"/>
        <v>1</v>
      </c>
    </row>
    <row r="45" spans="1:29" s="1772" customFormat="1" ht="16"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37"/>
      <c r="Q45" s="1616">
        <f t="shared" si="14"/>
        <v>111</v>
      </c>
      <c r="R45" s="1768" t="s">
        <v>25</v>
      </c>
      <c r="S45" s="1769">
        <f t="shared" si="10"/>
        <v>100</v>
      </c>
      <c r="T45" s="1768" t="s">
        <v>25</v>
      </c>
      <c r="U45" s="1769">
        <f t="shared" si="11"/>
        <v>100</v>
      </c>
      <c r="V45" s="1768" t="s">
        <v>25</v>
      </c>
      <c r="W45" s="1769">
        <f t="shared" si="12"/>
        <v>100</v>
      </c>
      <c r="X45" s="1770"/>
      <c r="Y45" s="3437"/>
      <c r="Z45" s="1771">
        <f t="shared" si="13"/>
        <v>111</v>
      </c>
      <c r="AA45" s="1729">
        <f t="shared" si="3"/>
        <v>1</v>
      </c>
      <c r="AB45" s="1729">
        <f t="shared" si="4"/>
        <v>1</v>
      </c>
      <c r="AC45" s="1729">
        <f t="shared" si="5"/>
        <v>1</v>
      </c>
    </row>
    <row r="46" spans="1:29">
      <c r="A46" s="1782" t="s">
        <v>2426</v>
      </c>
      <c r="B46" s="2007" t="s">
        <v>2463</v>
      </c>
      <c r="C46" s="2008" t="s">
        <v>1</v>
      </c>
      <c r="D46" s="2009"/>
      <c r="E46" s="2010"/>
      <c r="F46" s="2011"/>
      <c r="G46" s="2012"/>
      <c r="H46" s="2013"/>
      <c r="I46" s="2010"/>
      <c r="J46" s="2013"/>
      <c r="K46" s="2014"/>
      <c r="L46" s="3005"/>
      <c r="N46" s="3000"/>
      <c r="P46" s="3429" t="str">
        <f>A46</f>
        <v>成交单价</v>
      </c>
      <c r="Q46" s="3429"/>
      <c r="R46" s="3466">
        <f>E46</f>
        <v>0</v>
      </c>
      <c r="S46" s="3466"/>
      <c r="T46" s="3466">
        <f>G46</f>
        <v>0</v>
      </c>
      <c r="U46" s="3466"/>
      <c r="V46" s="3466">
        <f>I46</f>
        <v>0</v>
      </c>
      <c r="W46" s="3466"/>
      <c r="X46" s="1792"/>
      <c r="Y46" s="1793"/>
      <c r="Z46" s="1792"/>
      <c r="AA46" s="1792"/>
      <c r="AB46" s="1792"/>
      <c r="AC46" s="1792"/>
    </row>
    <row r="47" spans="1:29" ht="14.5" thickBot="1">
      <c r="A47" s="1794" t="s">
        <v>2379</v>
      </c>
      <c r="B47" s="2015"/>
      <c r="C47" s="2016" t="e">
        <f>R48</f>
        <v>#DIV/0!</v>
      </c>
      <c r="D47" s="1797" t="s">
        <v>2752</v>
      </c>
      <c r="E47" s="2016" t="e">
        <f>R47</f>
        <v>#DIV/0!</v>
      </c>
      <c r="F47" s="1799"/>
      <c r="G47" s="2017" t="e">
        <f>T47</f>
        <v>#DIV/0!</v>
      </c>
      <c r="H47" s="1799"/>
      <c r="I47" s="2016" t="e">
        <f>V47</f>
        <v>#DIV/0!</v>
      </c>
      <c r="J47" s="1799"/>
      <c r="K47" s="2513">
        <f>F47+H47+J47</f>
        <v>0</v>
      </c>
      <c r="L47" s="3005"/>
      <c r="P47" s="3429" t="str">
        <f>A47</f>
        <v>比较价值（元/平方米）</v>
      </c>
      <c r="Q47" s="3429"/>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4.5" thickBot="1">
      <c r="A48" s="1800" t="s">
        <v>2402</v>
      </c>
      <c r="B48" s="1801"/>
      <c r="C48" s="2018" t="e">
        <f>R48</f>
        <v>#DIV/0!</v>
      </c>
      <c r="D48" s="2018"/>
      <c r="E48" s="2018"/>
      <c r="F48" s="2018"/>
      <c r="G48" s="2018"/>
      <c r="H48" s="2018"/>
      <c r="I48" s="2018"/>
      <c r="J48" s="2018"/>
      <c r="K48" s="2019"/>
      <c r="L48" s="3005"/>
      <c r="P48" s="3426" t="str">
        <f>A48</f>
        <v>估价对象XX用房的比较价值（楼面单价，元/平方米）</v>
      </c>
      <c r="Q48" s="3427"/>
      <c r="R48" s="3518" t="e">
        <f>ROUND(IF(D47="简单平均",AVERAGE(R47:W47),R47*F47+T47*H47+V47*J47),0)</f>
        <v>#DIV/0!</v>
      </c>
      <c r="S48" s="3518"/>
      <c r="T48" s="3518"/>
      <c r="U48" s="3518"/>
      <c r="V48" s="3518"/>
      <c r="W48" s="3518"/>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4.5" thickBot="1">
      <c r="B54" s="3010"/>
      <c r="C54" s="3011"/>
      <c r="K54" s="3012"/>
      <c r="L54" s="3006"/>
    </row>
    <row r="55" spans="1:14" ht="28">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2"/>
      <c r="L58" s="3006"/>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2"/>
      <c r="L60" s="3006"/>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2"/>
      <c r="L62" s="3006"/>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2"/>
      <c r="L64" s="3006"/>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2020-8-1</v>
      </c>
      <c r="D68" s="2041">
        <f>EDATE(C68,-3)</f>
        <v>43952</v>
      </c>
      <c r="E68" s="2041">
        <f t="shared" ref="E68:O68" si="18">EDATE(D68,-3)</f>
        <v>43862</v>
      </c>
      <c r="F68" s="2041">
        <f t="shared" si="18"/>
        <v>43770</v>
      </c>
      <c r="G68" s="2041">
        <f t="shared" si="18"/>
        <v>43678</v>
      </c>
      <c r="H68" s="2041">
        <f t="shared" si="18"/>
        <v>43586</v>
      </c>
      <c r="I68" s="2041">
        <f t="shared" si="18"/>
        <v>43497</v>
      </c>
      <c r="J68" s="2041">
        <f t="shared" si="18"/>
        <v>43405</v>
      </c>
      <c r="K68" s="2041">
        <f t="shared" si="18"/>
        <v>43313</v>
      </c>
      <c r="L68" s="2041">
        <f t="shared" si="18"/>
        <v>43221</v>
      </c>
      <c r="M68" s="2041">
        <f t="shared" si="18"/>
        <v>43132</v>
      </c>
      <c r="N68" s="2041">
        <f t="shared" si="18"/>
        <v>43040</v>
      </c>
      <c r="O68" s="2041">
        <f t="shared" si="18"/>
        <v>42948</v>
      </c>
    </row>
    <row r="69" spans="1:17" ht="21.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c r="A70" s="2047" t="s">
        <v>2483</v>
      </c>
      <c r="B70" s="2048"/>
      <c r="C70" s="2049" t="str">
        <f>YEAR(C68)&amp;"-"&amp;ROUNDUP(MONTH(C68)/3,0)</f>
        <v>2020-3</v>
      </c>
      <c r="D70" s="2049" t="str">
        <f>YEAR(D68)&amp;"-"&amp;ROUNDUP(MONTH(D68)/3,0)</f>
        <v>2020-2</v>
      </c>
      <c r="E70" s="2049" t="str">
        <f t="shared" ref="E70:O70" si="19">YEAR(E68)&amp;"-"&amp;ROUNDUP(MONTH(E68)/3,0)</f>
        <v>2020-1</v>
      </c>
      <c r="F70" s="2049" t="str">
        <f t="shared" si="19"/>
        <v>2019-4</v>
      </c>
      <c r="G70" s="2049" t="str">
        <f t="shared" si="19"/>
        <v>2019-3</v>
      </c>
      <c r="H70" s="2049" t="str">
        <f t="shared" si="19"/>
        <v>2019-2</v>
      </c>
      <c r="I70" s="2049" t="str">
        <f t="shared" si="19"/>
        <v>2019-1</v>
      </c>
      <c r="J70" s="2049" t="str">
        <f t="shared" si="19"/>
        <v>2018-4</v>
      </c>
      <c r="K70" s="2049" t="str">
        <f t="shared" si="19"/>
        <v>2018-3</v>
      </c>
      <c r="L70" s="2049" t="str">
        <f t="shared" si="19"/>
        <v>2018-2</v>
      </c>
      <c r="M70" s="2049" t="str">
        <f t="shared" si="19"/>
        <v>2018-1</v>
      </c>
      <c r="N70" s="2049" t="str">
        <f t="shared" si="19"/>
        <v>2017-4</v>
      </c>
      <c r="O70" s="2049" t="str">
        <f t="shared" si="19"/>
        <v>2017-3</v>
      </c>
      <c r="P70" s="2050"/>
    </row>
    <row r="71" spans="1:17" s="1685" customFormat="1" ht="29.25" customHeight="1">
      <c r="A71" s="2052" t="s">
        <v>2484</v>
      </c>
      <c r="B71" s="2053" t="str">
        <f>"北京市平均增长率"&amp;TEXT(SUMIF(基准地价修正!N21:N25,A71,基准地价修正!P21:P25),"0.00%")</f>
        <v>北京市平均增长率1.19%</v>
      </c>
      <c r="C71" s="1906">
        <v>100</v>
      </c>
      <c r="D71" s="1902"/>
      <c r="E71" s="1902"/>
      <c r="F71" s="1902"/>
      <c r="G71" s="1902"/>
      <c r="H71" s="1902"/>
      <c r="I71" s="1902"/>
      <c r="J71" s="1902"/>
      <c r="K71" s="1902"/>
      <c r="L71" s="1902"/>
      <c r="M71" s="2054"/>
      <c r="N71" s="1902"/>
      <c r="O71" s="2055"/>
      <c r="P71" s="1822"/>
    </row>
    <row r="72" spans="1:17" s="1685" customFormat="1" ht="14.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4.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4.5" thickBot="1">
      <c r="A76" s="1854"/>
      <c r="B76" s="1855"/>
      <c r="C76" s="1856"/>
      <c r="D76" s="1856"/>
      <c r="E76" s="1856"/>
      <c r="F76" s="1856"/>
      <c r="G76" s="1856"/>
      <c r="H76" s="1856"/>
      <c r="I76" s="1856"/>
      <c r="J76" s="1856"/>
      <c r="K76" s="1856"/>
      <c r="L76" s="1856"/>
      <c r="M76" s="1857"/>
      <c r="N76" s="3019"/>
      <c r="O76" s="3019"/>
      <c r="P76" s="2058"/>
      <c r="Q76" s="1822"/>
    </row>
    <row r="77" spans="1:17" ht="28.5" thickTop="1">
      <c r="A77" s="1854"/>
      <c r="B77" s="1859" t="s">
        <v>2275</v>
      </c>
      <c r="C77" s="1860"/>
      <c r="D77" s="1860"/>
      <c r="E77" s="1860"/>
      <c r="F77" s="1860"/>
      <c r="G77" s="1860"/>
      <c r="H77" s="1860"/>
      <c r="I77" s="1860"/>
      <c r="J77" s="1860"/>
      <c r="K77" s="428"/>
      <c r="L77" s="428"/>
      <c r="M77" s="1861"/>
      <c r="N77" s="3018"/>
      <c r="O77" s="3018"/>
      <c r="P77" s="2058"/>
      <c r="Q77" s="1822"/>
    </row>
    <row r="78" spans="1:17" ht="14.5" thickBot="1">
      <c r="A78" s="1854"/>
      <c r="B78" s="1862"/>
      <c r="C78" s="1863"/>
      <c r="D78" s="1863"/>
      <c r="E78" s="1863"/>
      <c r="F78" s="1863"/>
      <c r="G78" s="1863"/>
      <c r="H78" s="1863"/>
      <c r="I78" s="1863"/>
      <c r="J78" s="1863"/>
      <c r="K78" s="1863"/>
      <c r="L78" s="1863"/>
      <c r="M78" s="1864"/>
      <c r="N78" s="3019"/>
      <c r="O78" s="3019"/>
      <c r="P78" s="2058"/>
      <c r="Q78" s="1822"/>
    </row>
    <row r="79" spans="1:17" ht="14.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c r="A80" s="1854"/>
      <c r="B80" s="1867"/>
      <c r="C80" s="1868"/>
      <c r="D80" s="1868"/>
      <c r="E80" s="1868"/>
      <c r="F80" s="1868"/>
      <c r="G80" s="1868"/>
      <c r="H80" s="1868"/>
      <c r="I80" s="1868"/>
      <c r="J80" s="1868"/>
      <c r="K80" s="438"/>
      <c r="L80" s="438"/>
      <c r="M80" s="1869"/>
      <c r="N80" s="3018"/>
      <c r="O80" s="3018"/>
      <c r="P80" s="2058"/>
      <c r="Q80" s="1822"/>
    </row>
    <row r="81" spans="1:17" ht="14.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4.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4.5" thickBot="1">
      <c r="A83" s="1870"/>
      <c r="B83" s="1862"/>
      <c r="C83" s="1875"/>
      <c r="D83" s="1856"/>
      <c r="E83" s="1856"/>
      <c r="F83" s="1856"/>
      <c r="G83" s="1856"/>
      <c r="H83" s="1856"/>
      <c r="I83" s="1856"/>
      <c r="J83" s="1856"/>
      <c r="K83" s="1856"/>
      <c r="L83" s="1856"/>
      <c r="M83" s="1857"/>
      <c r="N83" s="3019"/>
      <c r="O83" s="3019"/>
      <c r="P83" s="2059"/>
      <c r="Q83" s="1874"/>
    </row>
    <row r="84" spans="1:17" s="1772" customFormat="1" ht="14.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4.5" thickBot="1">
      <c r="A85" s="1870"/>
      <c r="B85" s="1862"/>
      <c r="C85" s="1875"/>
      <c r="D85" s="1875"/>
      <c r="E85" s="1875"/>
      <c r="F85" s="1875"/>
      <c r="G85" s="1875"/>
      <c r="H85" s="1878"/>
      <c r="I85" s="1878"/>
      <c r="J85" s="1878"/>
      <c r="K85" s="1878"/>
      <c r="L85" s="1878"/>
      <c r="M85" s="1879"/>
      <c r="N85" s="3020"/>
      <c r="O85" s="3020"/>
      <c r="P85" s="2059"/>
      <c r="Q85" s="1874"/>
    </row>
    <row r="86" spans="1:17" s="1772" customFormat="1" ht="14.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4.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4.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4.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4.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4.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4.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4.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4.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28.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4.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8.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4.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4.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4.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4.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4.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4.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4.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8.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4.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4.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4.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4.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4.5" thickBot="1">
      <c r="A111" s="1854"/>
      <c r="B111" s="1882"/>
      <c r="C111" s="1875"/>
      <c r="D111" s="1875"/>
      <c r="E111" s="1875"/>
      <c r="F111" s="1875"/>
      <c r="G111" s="1898"/>
      <c r="H111" s="1898"/>
      <c r="I111" s="1898"/>
      <c r="J111" s="1898"/>
      <c r="K111" s="1898"/>
      <c r="L111" s="1898"/>
      <c r="M111" s="1899"/>
      <c r="N111" s="3019"/>
      <c r="O111" s="3019"/>
      <c r="P111" s="2058"/>
      <c r="Q111" s="1822"/>
    </row>
    <row r="112" spans="1:17" ht="14.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4.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4.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4.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c r="A117" s="1854"/>
      <c r="B117" s="1865"/>
      <c r="C117" s="1902"/>
      <c r="D117" s="1902"/>
      <c r="E117" s="1902"/>
      <c r="F117" s="1902"/>
      <c r="G117" s="1902"/>
      <c r="H117" s="1902"/>
      <c r="I117" s="1902"/>
      <c r="J117" s="485"/>
      <c r="K117" s="485"/>
      <c r="L117" s="485"/>
      <c r="M117" s="1903"/>
      <c r="N117" s="3018"/>
      <c r="O117" s="3018"/>
      <c r="P117" s="2058"/>
      <c r="Q117" s="1822"/>
    </row>
    <row r="118" spans="1:17" ht="14.5" thickBot="1">
      <c r="A118" s="1854"/>
      <c r="B118" s="1862"/>
      <c r="C118" s="1883"/>
      <c r="D118" s="1898"/>
      <c r="E118" s="1898"/>
      <c r="F118" s="1898"/>
      <c r="G118" s="1898"/>
      <c r="H118" s="1898"/>
      <c r="I118" s="1898"/>
      <c r="J118" s="1898"/>
      <c r="K118" s="1898"/>
      <c r="L118" s="1898"/>
      <c r="M118" s="1899"/>
      <c r="N118" s="3019"/>
      <c r="O118" s="3019"/>
      <c r="P118" s="2058"/>
      <c r="Q118" s="1822"/>
    </row>
    <row r="119" spans="1:17" ht="14.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4.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4.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4.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4.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4.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4.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4.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4.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4.5" thickBot="1">
      <c r="A128" s="1854"/>
      <c r="B128" s="1862"/>
      <c r="C128" s="1875"/>
      <c r="D128" s="1875"/>
      <c r="E128" s="1875"/>
      <c r="F128" s="1875"/>
      <c r="G128" s="1856"/>
      <c r="H128" s="1856"/>
      <c r="I128" s="1856"/>
      <c r="J128" s="1856"/>
      <c r="K128" s="1856"/>
      <c r="L128" s="1856"/>
      <c r="M128" s="1857"/>
      <c r="N128" s="3019"/>
      <c r="O128" s="3019"/>
      <c r="P128" s="2058"/>
      <c r="Q128" s="1822"/>
    </row>
    <row r="129" spans="1:17" ht="14.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4.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4.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4.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3"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
  <cols>
    <col min="1" max="1" width="11.90625" style="296" customWidth="1"/>
    <col min="2" max="2" width="15.7265625" style="296" customWidth="1"/>
    <col min="3" max="3" width="14.36328125" style="296" customWidth="1"/>
    <col min="4" max="4" width="12.26953125" style="296" customWidth="1"/>
    <col min="5" max="5" width="14.36328125" style="296" customWidth="1"/>
    <col min="6" max="6" width="12.26953125" style="296" customWidth="1"/>
    <col min="7" max="7" width="14.453125" style="296" customWidth="1"/>
    <col min="8" max="8" width="12.26953125" style="296" customWidth="1"/>
    <col min="9" max="9" width="14.453125" style="296" customWidth="1"/>
    <col min="10" max="10" width="12.26953125" style="296" customWidth="1"/>
    <col min="11" max="11" width="12.26953125" style="381" customWidth="1"/>
    <col min="12" max="12" width="12.26953125" style="382" customWidth="1"/>
    <col min="13" max="15" width="12.26953125" style="296" customWidth="1"/>
    <col min="16" max="16" width="4.7265625" style="296" customWidth="1"/>
    <col min="17" max="17" width="19.453125" style="296" customWidth="1"/>
    <col min="18" max="22" width="6.08984375" style="296" customWidth="1"/>
    <col min="23" max="23" width="5.7265625" style="296" customWidth="1"/>
    <col min="24" max="24" width="4.26953125" style="296" customWidth="1"/>
    <col min="25" max="25" width="3.453125" style="296" customWidth="1"/>
    <col min="26" max="26" width="19.7265625" style="296" customWidth="1"/>
    <col min="27" max="28" width="9.3632812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c r="A4" s="294" t="s">
        <v>2253</v>
      </c>
      <c r="B4" s="295"/>
      <c r="C4" s="3498" t="s">
        <v>2254</v>
      </c>
      <c r="D4" s="3499"/>
      <c r="E4" s="3500" t="s">
        <v>2255</v>
      </c>
      <c r="F4" s="3501"/>
      <c r="G4" s="3498" t="s">
        <v>2256</v>
      </c>
      <c r="H4" s="3499"/>
      <c r="I4" s="3498" t="s">
        <v>2257</v>
      </c>
      <c r="J4" s="3499"/>
      <c r="K4" s="496" t="s">
        <v>2258</v>
      </c>
      <c r="L4" s="3027"/>
      <c r="M4" s="3028"/>
      <c r="N4" s="3028"/>
      <c r="O4" s="3028"/>
      <c r="P4" s="3502" t="s">
        <v>2259</v>
      </c>
      <c r="Q4" s="3503"/>
      <c r="R4" s="3485" t="s">
        <v>2255</v>
      </c>
      <c r="S4" s="3486"/>
      <c r="T4" s="3485" t="s">
        <v>2256</v>
      </c>
      <c r="U4" s="3486"/>
      <c r="V4" s="3508" t="s">
        <v>2257</v>
      </c>
      <c r="W4" s="3508"/>
      <c r="X4" s="1335"/>
      <c r="Y4" s="3485" t="s">
        <v>2259</v>
      </c>
      <c r="Z4" s="3486"/>
      <c r="AA4" s="3495" t="s">
        <v>2255</v>
      </c>
      <c r="AB4" s="3496" t="s">
        <v>2256</v>
      </c>
      <c r="AC4" s="3495" t="s">
        <v>2257</v>
      </c>
    </row>
    <row r="5" spans="1:29">
      <c r="A5" s="297"/>
      <c r="B5" s="298"/>
      <c r="C5" s="3511" t="s">
        <v>2260</v>
      </c>
      <c r="D5" s="3512"/>
      <c r="E5" s="3509" t="s">
        <v>2261</v>
      </c>
      <c r="F5" s="3510"/>
      <c r="G5" s="3511" t="s">
        <v>2262</v>
      </c>
      <c r="H5" s="3512"/>
      <c r="I5" s="3511" t="s">
        <v>2263</v>
      </c>
      <c r="J5" s="3512"/>
      <c r="K5" s="496"/>
      <c r="L5" s="3027"/>
      <c r="M5" s="3028"/>
      <c r="N5" s="3028"/>
      <c r="O5" s="3028"/>
      <c r="P5" s="3504"/>
      <c r="Q5" s="3505"/>
      <c r="R5" s="3487"/>
      <c r="S5" s="3488"/>
      <c r="T5" s="3487"/>
      <c r="U5" s="3488"/>
      <c r="V5" s="3508"/>
      <c r="W5" s="3508"/>
      <c r="X5" s="1335"/>
      <c r="Y5" s="3487"/>
      <c r="Z5" s="3488"/>
      <c r="AA5" s="3496"/>
      <c r="AB5" s="3496"/>
      <c r="AC5" s="3496"/>
    </row>
    <row r="6" spans="1:29" ht="15" thickBot="1">
      <c r="A6" s="299"/>
      <c r="B6" s="300"/>
      <c r="C6" s="3513" t="s">
        <v>2264</v>
      </c>
      <c r="D6" s="3514"/>
      <c r="E6" s="3515" t="s">
        <v>2264</v>
      </c>
      <c r="F6" s="3516"/>
      <c r="G6" s="3513" t="s">
        <v>2264</v>
      </c>
      <c r="H6" s="3514"/>
      <c r="I6" s="3513" t="s">
        <v>2264</v>
      </c>
      <c r="J6" s="3514"/>
      <c r="K6" s="496" t="s">
        <v>2265</v>
      </c>
      <c r="L6" s="3027"/>
      <c r="M6" s="3028"/>
      <c r="N6" s="3028"/>
      <c r="O6" s="3028"/>
      <c r="P6" s="3506"/>
      <c r="Q6" s="3507"/>
      <c r="R6" s="3487"/>
      <c r="S6" s="3488"/>
      <c r="T6" s="3489"/>
      <c r="U6" s="3490"/>
      <c r="V6" s="3508"/>
      <c r="W6" s="3508"/>
      <c r="X6" s="1335"/>
      <c r="Y6" s="3489"/>
      <c r="Z6" s="3490"/>
      <c r="AA6" s="3497"/>
      <c r="AB6" s="3497"/>
      <c r="AC6" s="3497"/>
    </row>
    <row r="7" spans="1:29" s="25" customFormat="1" ht="14.5" thickBot="1">
      <c r="A7" s="301" t="s">
        <v>2266</v>
      </c>
      <c r="B7" s="302"/>
      <c r="C7" s="303">
        <f>'数据-取费表'!B2</f>
        <v>44062</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83" t="s">
        <v>2267</v>
      </c>
      <c r="Q7" s="3491"/>
      <c r="R7" s="627" t="s">
        <v>25</v>
      </c>
      <c r="S7" s="628">
        <f t="shared" ref="S7:S15" si="0">F7</f>
        <v>0</v>
      </c>
      <c r="T7" s="627" t="s">
        <v>25</v>
      </c>
      <c r="U7" s="628">
        <f t="shared" ref="U7:U15" si="1">H7</f>
        <v>0</v>
      </c>
      <c r="V7" s="627" t="s">
        <v>25</v>
      </c>
      <c r="W7" s="628">
        <f t="shared" ref="W7:W15" si="2">J7</f>
        <v>0</v>
      </c>
      <c r="X7" s="629"/>
      <c r="Y7" s="3483" t="s">
        <v>2267</v>
      </c>
      <c r="Z7" s="3484"/>
      <c r="AA7" s="630" t="e">
        <f>D7/F7</f>
        <v>#DIV/0!</v>
      </c>
      <c r="AB7" s="630" t="e">
        <f>D7/H7</f>
        <v>#DIV/0!</v>
      </c>
      <c r="AC7" s="630" t="e">
        <f>D7/J7</f>
        <v>#DIV/0!</v>
      </c>
    </row>
    <row r="8" spans="1:29" s="25" customFormat="1" ht="14.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83" t="s">
        <v>2270</v>
      </c>
      <c r="Q8" s="3484"/>
      <c r="R8" s="627" t="s">
        <v>25</v>
      </c>
      <c r="S8" s="628">
        <f t="shared" si="0"/>
        <v>0</v>
      </c>
      <c r="T8" s="627" t="s">
        <v>25</v>
      </c>
      <c r="U8" s="628">
        <f t="shared" si="1"/>
        <v>0</v>
      </c>
      <c r="V8" s="627" t="s">
        <v>25</v>
      </c>
      <c r="W8" s="628">
        <f t="shared" si="2"/>
        <v>0</v>
      </c>
      <c r="X8" s="629"/>
      <c r="Y8" s="3483" t="s">
        <v>2270</v>
      </c>
      <c r="Z8" s="3484"/>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75" t="s">
        <v>2273</v>
      </c>
      <c r="Q9" s="1327" t="str">
        <f t="shared" ref="Q9:Q15" si="6">B9</f>
        <v>用途</v>
      </c>
      <c r="R9" s="627" t="s">
        <v>25</v>
      </c>
      <c r="S9" s="628">
        <f t="shared" si="0"/>
        <v>100</v>
      </c>
      <c r="T9" s="627" t="s">
        <v>25</v>
      </c>
      <c r="U9" s="628">
        <f t="shared" si="1"/>
        <v>100</v>
      </c>
      <c r="V9" s="627" t="s">
        <v>25</v>
      </c>
      <c r="W9" s="628">
        <f t="shared" si="2"/>
        <v>100</v>
      </c>
      <c r="X9" s="629"/>
      <c r="Y9" s="3494" t="s">
        <v>2274</v>
      </c>
      <c r="Z9" s="19" t="str">
        <f t="shared" ref="Z9:Z15" si="7">Q9</f>
        <v>用途</v>
      </c>
      <c r="AA9" s="630">
        <f t="shared" si="3"/>
        <v>1</v>
      </c>
      <c r="AB9" s="630">
        <f t="shared" si="4"/>
        <v>1</v>
      </c>
      <c r="AC9" s="630">
        <f t="shared" si="5"/>
        <v>1</v>
      </c>
    </row>
    <row r="10" spans="1:29" s="317" customFormat="1" ht="28">
      <c r="A10" s="312"/>
      <c r="B10" s="313" t="s">
        <v>2275</v>
      </c>
      <c r="C10" s="322"/>
      <c r="D10" s="29">
        <v>100</v>
      </c>
      <c r="E10" s="322"/>
      <c r="F10" s="29">
        <f>ROUND(100/'数据-取费表'!B14,0)</f>
        <v>100</v>
      </c>
      <c r="G10" s="322"/>
      <c r="H10" s="29">
        <f>ROUND(100/'数据-取费表'!B14,0)</f>
        <v>100</v>
      </c>
      <c r="I10" s="322"/>
      <c r="J10" s="29">
        <f>ROUND(100/'数据-取费表'!B14,0)</f>
        <v>100</v>
      </c>
      <c r="K10" s="553"/>
      <c r="L10" s="3032"/>
      <c r="M10" s="3033"/>
      <c r="N10" s="3033"/>
      <c r="O10" s="3034"/>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75"/>
      <c r="Q11" s="1327" t="str">
        <f t="shared" si="6"/>
        <v>容积率</v>
      </c>
      <c r="R11" s="627" t="s">
        <v>25</v>
      </c>
      <c r="S11" s="628" t="e">
        <f t="shared" si="0"/>
        <v>#N/A</v>
      </c>
      <c r="T11" s="627" t="s">
        <v>25</v>
      </c>
      <c r="U11" s="628" t="e">
        <f t="shared" si="1"/>
        <v>#N/A</v>
      </c>
      <c r="V11" s="627" t="s">
        <v>25</v>
      </c>
      <c r="W11" s="628" t="e">
        <f t="shared" si="2"/>
        <v>#N/A</v>
      </c>
      <c r="X11" s="629"/>
      <c r="Y11" s="3494"/>
      <c r="Z11" s="19" t="str">
        <f t="shared" si="7"/>
        <v>容积率</v>
      </c>
      <c r="AA11" s="630" t="e">
        <f t="shared" si="3"/>
        <v>#N/A</v>
      </c>
      <c r="AB11" s="630" t="e">
        <f t="shared" si="4"/>
        <v>#N/A</v>
      </c>
      <c r="AC11" s="630" t="e">
        <f t="shared" si="5"/>
        <v>#N/A</v>
      </c>
    </row>
    <row r="12" spans="1:29" s="25" customFormat="1" ht="15.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75"/>
      <c r="Q14" s="1327">
        <f t="shared" si="6"/>
        <v>111</v>
      </c>
      <c r="R14" s="627" t="s">
        <v>25</v>
      </c>
      <c r="S14" s="628">
        <f t="shared" si="0"/>
        <v>100</v>
      </c>
      <c r="T14" s="627" t="s">
        <v>25</v>
      </c>
      <c r="U14" s="628">
        <f t="shared" si="1"/>
        <v>100</v>
      </c>
      <c r="V14" s="627" t="s">
        <v>25</v>
      </c>
      <c r="W14" s="628">
        <f t="shared" si="2"/>
        <v>100</v>
      </c>
      <c r="X14" s="629"/>
      <c r="Y14" s="3494"/>
      <c r="Z14" s="19">
        <f t="shared" si="7"/>
        <v>111</v>
      </c>
      <c r="AA14" s="630">
        <f t="shared" si="3"/>
        <v>1</v>
      </c>
      <c r="AB14" s="630">
        <f t="shared" si="4"/>
        <v>1</v>
      </c>
      <c r="AC14" s="630">
        <f t="shared" si="5"/>
        <v>1</v>
      </c>
    </row>
    <row r="15" spans="1:29" ht="70">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2" t="s">
        <v>2278</v>
      </c>
      <c r="Q15" s="1334" t="str">
        <f t="shared" si="6"/>
        <v>产业集聚程度</v>
      </c>
      <c r="R15" s="631" t="s">
        <v>25</v>
      </c>
      <c r="S15" s="632">
        <f t="shared" si="0"/>
        <v>100</v>
      </c>
      <c r="T15" s="631" t="s">
        <v>25</v>
      </c>
      <c r="U15" s="632">
        <f t="shared" si="1"/>
        <v>100</v>
      </c>
      <c r="V15" s="631" t="s">
        <v>25</v>
      </c>
      <c r="W15" s="632">
        <f t="shared" si="2"/>
        <v>100</v>
      </c>
      <c r="X15" s="1335"/>
      <c r="Y15" s="3492" t="s">
        <v>2278</v>
      </c>
      <c r="Z15" s="1336" t="str">
        <f t="shared" si="7"/>
        <v>产业集聚程度</v>
      </c>
      <c r="AA15" s="1337">
        <f t="shared" si="3"/>
        <v>1</v>
      </c>
      <c r="AB15" s="1337">
        <f t="shared" si="4"/>
        <v>1</v>
      </c>
      <c r="AC15" s="1337">
        <f t="shared" si="5"/>
        <v>1</v>
      </c>
    </row>
    <row r="16" spans="1:29" ht="15.5">
      <c r="A16" s="318"/>
      <c r="B16" s="512"/>
      <c r="C16" s="335"/>
      <c r="D16" s="336"/>
      <c r="E16" s="1135"/>
      <c r="F16" s="336"/>
      <c r="G16" s="1135"/>
      <c r="H16" s="339"/>
      <c r="I16" s="1135"/>
      <c r="J16" s="336"/>
      <c r="K16" s="553"/>
      <c r="L16" s="3037"/>
      <c r="M16" s="3028"/>
      <c r="N16" s="3028"/>
      <c r="O16" s="3036"/>
      <c r="P16" s="3493"/>
      <c r="Q16" s="1334"/>
      <c r="R16" s="631"/>
      <c r="S16" s="632"/>
      <c r="T16" s="631"/>
      <c r="U16" s="632"/>
      <c r="V16" s="631"/>
      <c r="W16" s="632"/>
      <c r="X16" s="1335"/>
      <c r="Y16" s="3493"/>
      <c r="Z16" s="1336"/>
      <c r="AA16" s="1337">
        <v>1</v>
      </c>
      <c r="AB16" s="1337">
        <v>1</v>
      </c>
      <c r="AC16" s="1337">
        <v>1</v>
      </c>
    </row>
    <row r="17" spans="1:29" ht="98">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3"/>
      <c r="Q17" s="1334" t="str">
        <f>B17</f>
        <v>交通便捷度</v>
      </c>
      <c r="R17" s="631" t="s">
        <v>25</v>
      </c>
      <c r="S17" s="632">
        <f>F17</f>
        <v>100</v>
      </c>
      <c r="T17" s="631" t="s">
        <v>25</v>
      </c>
      <c r="U17" s="632">
        <f>H17</f>
        <v>100</v>
      </c>
      <c r="V17" s="631" t="s">
        <v>25</v>
      </c>
      <c r="W17" s="632">
        <f>J17</f>
        <v>100</v>
      </c>
      <c r="X17" s="1335"/>
      <c r="Y17" s="3493"/>
      <c r="Z17" s="1336" t="str">
        <f>Q17</f>
        <v>交通便捷度</v>
      </c>
      <c r="AA17" s="1337">
        <f t="shared" si="3"/>
        <v>1</v>
      </c>
      <c r="AB17" s="1337">
        <f t="shared" si="4"/>
        <v>1</v>
      </c>
      <c r="AC17" s="1337">
        <f t="shared" si="5"/>
        <v>1</v>
      </c>
    </row>
    <row r="18" spans="1:29" ht="15.5">
      <c r="A18" s="318"/>
      <c r="B18" s="514"/>
      <c r="C18" s="335"/>
      <c r="D18" s="336"/>
      <c r="E18" s="337"/>
      <c r="F18" s="336"/>
      <c r="G18" s="337"/>
      <c r="H18" s="336"/>
      <c r="I18" s="1566"/>
      <c r="J18" s="336"/>
      <c r="K18" s="553"/>
      <c r="L18" s="3037"/>
      <c r="M18" s="3028"/>
      <c r="N18" s="3028"/>
      <c r="O18" s="3036"/>
      <c r="P18" s="3493"/>
      <c r="Q18" s="1334"/>
      <c r="R18" s="631"/>
      <c r="S18" s="632"/>
      <c r="T18" s="631"/>
      <c r="U18" s="632"/>
      <c r="V18" s="631"/>
      <c r="W18" s="632"/>
      <c r="X18" s="1335"/>
      <c r="Y18" s="3493"/>
      <c r="Z18" s="1336"/>
      <c r="AA18" s="1337">
        <v>1</v>
      </c>
      <c r="AB18" s="1337">
        <v>1</v>
      </c>
      <c r="AC18" s="1337">
        <v>1</v>
      </c>
    </row>
    <row r="19" spans="1:29" ht="28">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3"/>
      <c r="Q19" s="1334" t="str">
        <f t="shared" ref="Q19:Q33" si="8">B19</f>
        <v>区域土地利用方向</v>
      </c>
      <c r="R19" s="631" t="s">
        <v>25</v>
      </c>
      <c r="S19" s="632">
        <f>F19</f>
        <v>100</v>
      </c>
      <c r="T19" s="631" t="s">
        <v>25</v>
      </c>
      <c r="U19" s="632">
        <f>H19</f>
        <v>100</v>
      </c>
      <c r="V19" s="631" t="s">
        <v>25</v>
      </c>
      <c r="W19" s="632">
        <f>J19</f>
        <v>100</v>
      </c>
      <c r="X19" s="1335"/>
      <c r="Y19" s="3493"/>
      <c r="Z19" s="1336" t="str">
        <f>Q19</f>
        <v>区域土地利用方向</v>
      </c>
      <c r="AA19" s="1337">
        <f t="shared" si="3"/>
        <v>1</v>
      </c>
      <c r="AB19" s="1337">
        <f t="shared" si="4"/>
        <v>1</v>
      </c>
      <c r="AC19" s="1337">
        <f t="shared" si="5"/>
        <v>1</v>
      </c>
    </row>
    <row r="20" spans="1:29" ht="15.5">
      <c r="A20" s="297"/>
      <c r="B20" s="514"/>
      <c r="C20" s="335"/>
      <c r="D20" s="336"/>
      <c r="E20" s="337"/>
      <c r="F20" s="336"/>
      <c r="G20" s="337"/>
      <c r="H20" s="336"/>
      <c r="I20" s="337"/>
      <c r="J20" s="336"/>
      <c r="K20" s="665"/>
      <c r="L20" s="3037"/>
      <c r="M20" s="3028"/>
      <c r="N20" s="3028"/>
      <c r="O20" s="3036"/>
      <c r="P20" s="3493"/>
      <c r="Q20" s="1334"/>
      <c r="R20" s="631"/>
      <c r="S20" s="632"/>
      <c r="T20" s="631"/>
      <c r="U20" s="632"/>
      <c r="V20" s="631"/>
      <c r="W20" s="632"/>
      <c r="X20" s="1335"/>
      <c r="Y20" s="3493"/>
      <c r="Z20" s="1336"/>
      <c r="AA20" s="1337"/>
      <c r="AB20" s="1337"/>
      <c r="AC20" s="1337"/>
    </row>
    <row r="21" spans="1:29" ht="84">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3"/>
      <c r="Q21" s="1334" t="str">
        <f t="shared" si="8"/>
        <v>环境状况</v>
      </c>
      <c r="R21" s="631" t="s">
        <v>25</v>
      </c>
      <c r="S21" s="632">
        <f>F21</f>
        <v>100</v>
      </c>
      <c r="T21" s="631" t="s">
        <v>25</v>
      </c>
      <c r="U21" s="632">
        <f>H21</f>
        <v>100</v>
      </c>
      <c r="V21" s="631" t="s">
        <v>25</v>
      </c>
      <c r="W21" s="632">
        <f>J21</f>
        <v>100</v>
      </c>
      <c r="X21" s="1335"/>
      <c r="Y21" s="3493"/>
      <c r="Z21" s="1336" t="str">
        <f>Q21</f>
        <v>环境状况</v>
      </c>
      <c r="AA21" s="1337">
        <f t="shared" si="3"/>
        <v>1</v>
      </c>
      <c r="AB21" s="1337">
        <f t="shared" si="4"/>
        <v>1</v>
      </c>
      <c r="AC21" s="1337">
        <f t="shared" si="5"/>
        <v>1</v>
      </c>
    </row>
    <row r="22" spans="1:29" ht="15.5">
      <c r="A22" s="297"/>
      <c r="B22" s="514"/>
      <c r="C22" s="335"/>
      <c r="D22" s="336"/>
      <c r="E22" s="1135"/>
      <c r="F22" s="336"/>
      <c r="G22" s="1135"/>
      <c r="H22" s="336"/>
      <c r="I22" s="335"/>
      <c r="J22" s="336"/>
      <c r="K22" s="553"/>
      <c r="L22" s="3037"/>
      <c r="M22" s="3028"/>
      <c r="N22" s="3028"/>
      <c r="O22" s="3036"/>
      <c r="P22" s="3493"/>
      <c r="Q22" s="1334"/>
      <c r="R22" s="631"/>
      <c r="S22" s="632"/>
      <c r="T22" s="631"/>
      <c r="U22" s="632"/>
      <c r="V22" s="631"/>
      <c r="W22" s="632"/>
      <c r="X22" s="1335"/>
      <c r="Y22" s="3493"/>
      <c r="Z22" s="1336"/>
      <c r="AA22" s="1337">
        <v>1</v>
      </c>
      <c r="AB22" s="1337">
        <v>1</v>
      </c>
      <c r="AC22" s="1337">
        <v>1</v>
      </c>
    </row>
    <row r="23" spans="1:29" s="25" customFormat="1" ht="42">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3"/>
      <c r="Q23" s="1327" t="str">
        <f t="shared" si="8"/>
        <v>公共配套设施</v>
      </c>
      <c r="R23" s="627" t="s">
        <v>25</v>
      </c>
      <c r="S23" s="628">
        <f>F23</f>
        <v>100</v>
      </c>
      <c r="T23" s="627" t="s">
        <v>25</v>
      </c>
      <c r="U23" s="628">
        <f>H23</f>
        <v>100</v>
      </c>
      <c r="V23" s="627" t="s">
        <v>25</v>
      </c>
      <c r="W23" s="628">
        <f>J23</f>
        <v>100</v>
      </c>
      <c r="X23" s="629"/>
      <c r="Y23" s="3493"/>
      <c r="Z23" s="19" t="str">
        <f>Q23</f>
        <v>公共配套设施</v>
      </c>
      <c r="AA23" s="1337">
        <f>D23/F23</f>
        <v>1</v>
      </c>
      <c r="AB23" s="1337">
        <f>D23/H23</f>
        <v>1</v>
      </c>
      <c r="AC23" s="1337">
        <f>D23/J23</f>
        <v>1</v>
      </c>
    </row>
    <row r="24" spans="1:29" s="25" customFormat="1" ht="15.5">
      <c r="A24" s="531"/>
      <c r="B24" s="514"/>
      <c r="C24" s="1596"/>
      <c r="D24" s="336"/>
      <c r="E24" s="1135"/>
      <c r="F24" s="336"/>
      <c r="G24" s="1135"/>
      <c r="H24" s="336"/>
      <c r="I24" s="335"/>
      <c r="J24" s="336"/>
      <c r="K24" s="553"/>
      <c r="L24" s="3029"/>
      <c r="M24" s="3030"/>
      <c r="N24" s="3030"/>
      <c r="O24" s="3031"/>
      <c r="P24" s="3493"/>
      <c r="Q24" s="1327"/>
      <c r="R24" s="627"/>
      <c r="S24" s="628"/>
      <c r="T24" s="627"/>
      <c r="U24" s="628"/>
      <c r="V24" s="627"/>
      <c r="W24" s="628"/>
      <c r="X24" s="629"/>
      <c r="Y24" s="3493"/>
      <c r="Z24" s="19"/>
      <c r="AA24" s="630">
        <v>1</v>
      </c>
      <c r="AB24" s="630">
        <v>1</v>
      </c>
      <c r="AC24" s="630">
        <v>1</v>
      </c>
    </row>
    <row r="25" spans="1:29" s="25" customFormat="1" ht="42">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3"/>
      <c r="Q25" s="1327" t="str">
        <f t="shared" ref="Q25" si="9">B25</f>
        <v>基础设施水平</v>
      </c>
      <c r="R25" s="627" t="s">
        <v>25</v>
      </c>
      <c r="S25" s="628">
        <f>F25</f>
        <v>100</v>
      </c>
      <c r="T25" s="627" t="s">
        <v>25</v>
      </c>
      <c r="U25" s="628">
        <f>H25</f>
        <v>100</v>
      </c>
      <c r="V25" s="627" t="s">
        <v>25</v>
      </c>
      <c r="W25" s="628">
        <f>J25</f>
        <v>100</v>
      </c>
      <c r="X25" s="629"/>
      <c r="Y25" s="3493"/>
      <c r="Z25" s="19" t="str">
        <f>Q25</f>
        <v>基础设施水平</v>
      </c>
      <c r="AA25" s="1337">
        <f>D25/F25</f>
        <v>1</v>
      </c>
      <c r="AB25" s="1337">
        <f>D25/H25</f>
        <v>1</v>
      </c>
      <c r="AC25" s="1337">
        <f>D25/J25</f>
        <v>1</v>
      </c>
    </row>
    <row r="26" spans="1:29" s="25" customFormat="1" ht="15.5">
      <c r="A26" s="531"/>
      <c r="B26" s="514"/>
      <c r="C26" s="1596"/>
      <c r="D26" s="336"/>
      <c r="E26" s="1587"/>
      <c r="F26" s="336"/>
      <c r="G26" s="1587"/>
      <c r="H26" s="336"/>
      <c r="I26" s="1587"/>
      <c r="J26" s="336"/>
      <c r="K26" s="553"/>
      <c r="L26" s="3029"/>
      <c r="M26" s="3030"/>
      <c r="N26" s="3030"/>
      <c r="O26" s="3031"/>
      <c r="P26" s="3493"/>
      <c r="Q26" s="1327"/>
      <c r="R26" s="627"/>
      <c r="S26" s="628"/>
      <c r="T26" s="627"/>
      <c r="U26" s="628"/>
      <c r="V26" s="627"/>
      <c r="W26" s="628"/>
      <c r="X26" s="629"/>
      <c r="Y26" s="3493"/>
      <c r="Z26" s="19"/>
      <c r="AA26" s="630">
        <v>1</v>
      </c>
      <c r="AB26" s="630">
        <v>1</v>
      </c>
      <c r="AC26" s="630">
        <v>1</v>
      </c>
    </row>
    <row r="27" spans="1:29" ht="15.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3"/>
      <c r="Z27" s="1336" t="str">
        <f t="shared" ref="Z27:Z40" si="13">Q27</f>
        <v>临街状况</v>
      </c>
      <c r="AA27" s="1337">
        <f t="shared" si="3"/>
        <v>1</v>
      </c>
      <c r="AB27" s="1337">
        <f t="shared" si="4"/>
        <v>1</v>
      </c>
      <c r="AC27" s="1337">
        <f t="shared" si="5"/>
        <v>1</v>
      </c>
    </row>
    <row r="28" spans="1:29" ht="28">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3"/>
      <c r="Q28" s="1334" t="str">
        <f t="shared" si="8"/>
        <v>毗邻道路的类型与等级</v>
      </c>
      <c r="R28" s="631" t="s">
        <v>25</v>
      </c>
      <c r="S28" s="632">
        <f t="shared" si="10"/>
        <v>100</v>
      </c>
      <c r="T28" s="631" t="s">
        <v>25</v>
      </c>
      <c r="U28" s="632">
        <f t="shared" si="11"/>
        <v>100</v>
      </c>
      <c r="V28" s="631" t="s">
        <v>25</v>
      </c>
      <c r="W28" s="632">
        <f t="shared" si="12"/>
        <v>100</v>
      </c>
      <c r="X28" s="1335"/>
      <c r="Y28" s="3493"/>
      <c r="Z28" s="1336" t="str">
        <f t="shared" si="13"/>
        <v>毗邻道路的类型与等级</v>
      </c>
      <c r="AA28" s="1337">
        <f t="shared" si="3"/>
        <v>1</v>
      </c>
      <c r="AB28" s="1337">
        <f t="shared" si="4"/>
        <v>1</v>
      </c>
      <c r="AC28" s="1337">
        <f t="shared" si="5"/>
        <v>1</v>
      </c>
    </row>
    <row r="29" spans="1:29" ht="15.5">
      <c r="A29" s="318"/>
      <c r="B29" s="514"/>
      <c r="C29" s="335"/>
      <c r="D29" s="336"/>
      <c r="E29" s="1135"/>
      <c r="F29" s="336"/>
      <c r="G29" s="1135"/>
      <c r="H29" s="336"/>
      <c r="I29" s="1135"/>
      <c r="J29" s="336"/>
      <c r="K29" s="499"/>
      <c r="L29" s="3037"/>
      <c r="M29" s="3028"/>
      <c r="N29" s="3028"/>
      <c r="O29" s="3036"/>
      <c r="P29" s="3493"/>
      <c r="Q29" s="1334"/>
      <c r="R29" s="631"/>
      <c r="S29" s="632"/>
      <c r="T29" s="631"/>
      <c r="U29" s="632"/>
      <c r="V29" s="631"/>
      <c r="W29" s="632"/>
      <c r="X29" s="1335"/>
      <c r="Y29" s="3493"/>
      <c r="Z29" s="1336"/>
      <c r="AA29" s="1337">
        <v>1</v>
      </c>
      <c r="AB29" s="1337">
        <v>1</v>
      </c>
      <c r="AC29" s="1337">
        <v>1</v>
      </c>
    </row>
    <row r="30" spans="1:29" ht="15.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3"/>
      <c r="Q30" s="1334" t="str">
        <f t="shared" si="8"/>
        <v>土地级别</v>
      </c>
      <c r="R30" s="631" t="s">
        <v>25</v>
      </c>
      <c r="S30" s="632">
        <f t="shared" si="10"/>
        <v>100</v>
      </c>
      <c r="T30" s="631" t="s">
        <v>25</v>
      </c>
      <c r="U30" s="632">
        <f t="shared" si="11"/>
        <v>100</v>
      </c>
      <c r="V30" s="631" t="s">
        <v>25</v>
      </c>
      <c r="W30" s="632">
        <f t="shared" si="12"/>
        <v>100</v>
      </c>
      <c r="X30" s="1335"/>
      <c r="Y30" s="3493"/>
      <c r="Z30" s="1336" t="str">
        <f t="shared" si="13"/>
        <v>土地级别</v>
      </c>
      <c r="AA30" s="1337">
        <f t="shared" si="3"/>
        <v>1</v>
      </c>
      <c r="AB30" s="1337">
        <f t="shared" si="4"/>
        <v>1</v>
      </c>
      <c r="AC30" s="1337">
        <f t="shared" si="5"/>
        <v>1</v>
      </c>
    </row>
    <row r="31" spans="1:29" ht="15.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3"/>
      <c r="Q31" s="1334">
        <f t="shared" si="8"/>
        <v>111</v>
      </c>
      <c r="R31" s="631" t="s">
        <v>25</v>
      </c>
      <c r="S31" s="632">
        <f t="shared" si="10"/>
        <v>100</v>
      </c>
      <c r="T31" s="631" t="s">
        <v>25</v>
      </c>
      <c r="U31" s="632">
        <f t="shared" si="11"/>
        <v>100</v>
      </c>
      <c r="V31" s="631" t="s">
        <v>25</v>
      </c>
      <c r="W31" s="632">
        <f t="shared" si="12"/>
        <v>100</v>
      </c>
      <c r="X31" s="1335"/>
      <c r="Y31" s="3493"/>
      <c r="Z31" s="1336">
        <f t="shared" si="13"/>
        <v>111</v>
      </c>
      <c r="AA31" s="1337">
        <f t="shared" si="3"/>
        <v>1</v>
      </c>
      <c r="AB31" s="1337">
        <f t="shared" si="4"/>
        <v>1</v>
      </c>
      <c r="AC31" s="1337">
        <f t="shared" si="5"/>
        <v>1</v>
      </c>
    </row>
    <row r="32" spans="1:29" ht="15.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80" t="s">
        <v>2284</v>
      </c>
      <c r="Q32" s="1334">
        <f t="shared" si="8"/>
        <v>111</v>
      </c>
      <c r="R32" s="631" t="s">
        <v>25</v>
      </c>
      <c r="S32" s="632">
        <f t="shared" si="10"/>
        <v>100</v>
      </c>
      <c r="T32" s="631" t="s">
        <v>25</v>
      </c>
      <c r="U32" s="632">
        <f t="shared" si="11"/>
        <v>100</v>
      </c>
      <c r="V32" s="631" t="s">
        <v>25</v>
      </c>
      <c r="W32" s="632">
        <f t="shared" si="12"/>
        <v>100</v>
      </c>
      <c r="X32" s="1335"/>
      <c r="Y32" s="3481" t="s">
        <v>2284</v>
      </c>
      <c r="Z32" s="1336">
        <f t="shared" si="13"/>
        <v>111</v>
      </c>
      <c r="AA32" s="1337">
        <f t="shared" si="3"/>
        <v>1</v>
      </c>
      <c r="AB32" s="1337">
        <f t="shared" si="4"/>
        <v>1</v>
      </c>
      <c r="AC32" s="1337">
        <f t="shared" si="5"/>
        <v>1</v>
      </c>
    </row>
    <row r="33" spans="1:29" s="359" customFormat="1" ht="1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81"/>
      <c r="Q33" s="1334">
        <f t="shared" si="8"/>
        <v>111</v>
      </c>
      <c r="R33" s="634" t="s">
        <v>25</v>
      </c>
      <c r="S33" s="635">
        <f t="shared" si="10"/>
        <v>100</v>
      </c>
      <c r="T33" s="634" t="s">
        <v>25</v>
      </c>
      <c r="U33" s="635">
        <f t="shared" si="11"/>
        <v>100</v>
      </c>
      <c r="V33" s="634" t="s">
        <v>25</v>
      </c>
      <c r="W33" s="635">
        <f t="shared" si="12"/>
        <v>100</v>
      </c>
      <c r="X33" s="636"/>
      <c r="Y33" s="3481"/>
      <c r="Z33" s="637">
        <f t="shared" si="13"/>
        <v>111</v>
      </c>
      <c r="AA33" s="1337">
        <f t="shared" si="3"/>
        <v>1</v>
      </c>
      <c r="AB33" s="1337">
        <f t="shared" si="4"/>
        <v>1</v>
      </c>
      <c r="AC33" s="1337">
        <f t="shared" si="5"/>
        <v>1</v>
      </c>
    </row>
    <row r="34" spans="1:29" ht="29">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81"/>
      <c r="Q34" s="1334" t="str">
        <f>B34</f>
        <v>宗地面积</v>
      </c>
      <c r="R34" s="631" t="s">
        <v>25</v>
      </c>
      <c r="S34" s="632" t="e">
        <f t="shared" si="10"/>
        <v>#N/A</v>
      </c>
      <c r="T34" s="631" t="s">
        <v>25</v>
      </c>
      <c r="U34" s="632" t="e">
        <f t="shared" si="11"/>
        <v>#N/A</v>
      </c>
      <c r="V34" s="631" t="s">
        <v>25</v>
      </c>
      <c r="W34" s="632" t="e">
        <f t="shared" si="12"/>
        <v>#N/A</v>
      </c>
      <c r="X34" s="1335"/>
      <c r="Y34" s="3481"/>
      <c r="Z34" s="1336" t="str">
        <f t="shared" si="13"/>
        <v>宗地面积</v>
      </c>
      <c r="AA34" s="1337" t="e">
        <f t="shared" si="3"/>
        <v>#N/A</v>
      </c>
      <c r="AB34" s="1337" t="e">
        <f t="shared" si="4"/>
        <v>#N/A</v>
      </c>
      <c r="AC34" s="1337" t="e">
        <f t="shared" si="5"/>
        <v>#N/A</v>
      </c>
    </row>
    <row r="35" spans="1:29" ht="15.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81"/>
      <c r="Q35" s="1334" t="str">
        <f t="shared" ref="Q35:Q40" si="14">B35</f>
        <v>宗地形状</v>
      </c>
      <c r="R35" s="631" t="s">
        <v>25</v>
      </c>
      <c r="S35" s="632">
        <f t="shared" si="10"/>
        <v>100</v>
      </c>
      <c r="T35" s="631" t="s">
        <v>25</v>
      </c>
      <c r="U35" s="632">
        <f t="shared" si="11"/>
        <v>100</v>
      </c>
      <c r="V35" s="631" t="s">
        <v>25</v>
      </c>
      <c r="W35" s="632">
        <f t="shared" si="12"/>
        <v>100</v>
      </c>
      <c r="X35" s="1335"/>
      <c r="Y35" s="3481"/>
      <c r="Z35" s="1336" t="str">
        <f t="shared" si="13"/>
        <v>宗地形状</v>
      </c>
      <c r="AA35" s="1337">
        <f t="shared" si="3"/>
        <v>1</v>
      </c>
      <c r="AB35" s="1337">
        <f t="shared" si="4"/>
        <v>1</v>
      </c>
      <c r="AC35" s="1337">
        <f t="shared" si="5"/>
        <v>1</v>
      </c>
    </row>
    <row r="36" spans="1:29" s="25" customFormat="1" ht="15.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81"/>
      <c r="Q36" s="1334" t="str">
        <f t="shared" si="14"/>
        <v>宗地开发程度</v>
      </c>
      <c r="R36" s="627" t="s">
        <v>25</v>
      </c>
      <c r="S36" s="628">
        <f t="shared" si="10"/>
        <v>100</v>
      </c>
      <c r="T36" s="627" t="s">
        <v>25</v>
      </c>
      <c r="U36" s="628">
        <f t="shared" si="11"/>
        <v>100</v>
      </c>
      <c r="V36" s="627" t="s">
        <v>25</v>
      </c>
      <c r="W36" s="628">
        <f t="shared" si="12"/>
        <v>100</v>
      </c>
      <c r="X36" s="629"/>
      <c r="Y36" s="3481"/>
      <c r="Z36" s="19" t="str">
        <f t="shared" si="13"/>
        <v>宗地开发程度</v>
      </c>
      <c r="AA36" s="630">
        <f t="shared" si="3"/>
        <v>1</v>
      </c>
      <c r="AB36" s="630">
        <f t="shared" si="4"/>
        <v>1</v>
      </c>
      <c r="AC36" s="630">
        <f t="shared" si="5"/>
        <v>1</v>
      </c>
    </row>
    <row r="37" spans="1:29" ht="15.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81" t="s">
        <v>2284</v>
      </c>
      <c r="Q37" s="1334" t="str">
        <f t="shared" si="14"/>
        <v>工程地质条件</v>
      </c>
      <c r="R37" s="631" t="s">
        <v>25</v>
      </c>
      <c r="S37" s="632">
        <f t="shared" si="10"/>
        <v>100</v>
      </c>
      <c r="T37" s="631" t="s">
        <v>25</v>
      </c>
      <c r="U37" s="632">
        <f t="shared" si="11"/>
        <v>100</v>
      </c>
      <c r="V37" s="631" t="s">
        <v>25</v>
      </c>
      <c r="W37" s="632">
        <f t="shared" si="12"/>
        <v>100</v>
      </c>
      <c r="X37" s="1335"/>
      <c r="Y37" s="3481" t="s">
        <v>2284</v>
      </c>
      <c r="Z37" s="1336" t="str">
        <f t="shared" si="13"/>
        <v>工程地质条件</v>
      </c>
      <c r="AA37" s="1337">
        <f t="shared" si="3"/>
        <v>1</v>
      </c>
      <c r="AB37" s="1337">
        <f t="shared" si="4"/>
        <v>1</v>
      </c>
      <c r="AC37" s="1337">
        <f t="shared" si="5"/>
        <v>1</v>
      </c>
    </row>
    <row r="38" spans="1:29" ht="15.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81"/>
      <c r="Q38" s="1334">
        <f t="shared" si="14"/>
        <v>111</v>
      </c>
      <c r="R38" s="631" t="s">
        <v>25</v>
      </c>
      <c r="S38" s="632">
        <f t="shared" si="10"/>
        <v>100</v>
      </c>
      <c r="T38" s="631" t="s">
        <v>25</v>
      </c>
      <c r="U38" s="632">
        <f t="shared" si="11"/>
        <v>100</v>
      </c>
      <c r="V38" s="631" t="s">
        <v>25</v>
      </c>
      <c r="W38" s="632">
        <f t="shared" si="12"/>
        <v>100</v>
      </c>
      <c r="X38" s="1335"/>
      <c r="Y38" s="3481"/>
      <c r="Z38" s="1336">
        <f t="shared" si="13"/>
        <v>111</v>
      </c>
      <c r="AA38" s="1337">
        <f t="shared" si="3"/>
        <v>1</v>
      </c>
      <c r="AB38" s="1337">
        <f t="shared" si="4"/>
        <v>1</v>
      </c>
      <c r="AC38" s="1337">
        <f t="shared" si="5"/>
        <v>1</v>
      </c>
    </row>
    <row r="39" spans="1:29" ht="15.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81"/>
      <c r="Q39" s="1334">
        <f t="shared" si="14"/>
        <v>111</v>
      </c>
      <c r="R39" s="631" t="s">
        <v>25</v>
      </c>
      <c r="S39" s="632">
        <f t="shared" si="10"/>
        <v>100</v>
      </c>
      <c r="T39" s="631" t="s">
        <v>25</v>
      </c>
      <c r="U39" s="632">
        <f t="shared" si="11"/>
        <v>100</v>
      </c>
      <c r="V39" s="631" t="s">
        <v>25</v>
      </c>
      <c r="W39" s="632">
        <f t="shared" si="12"/>
        <v>100</v>
      </c>
      <c r="X39" s="1335"/>
      <c r="Y39" s="3481"/>
      <c r="Z39" s="1336">
        <f t="shared" si="13"/>
        <v>111</v>
      </c>
      <c r="AA39" s="1337">
        <f t="shared" si="3"/>
        <v>1</v>
      </c>
      <c r="AB39" s="1337">
        <f t="shared" si="4"/>
        <v>1</v>
      </c>
      <c r="AC39" s="1337">
        <f t="shared" si="5"/>
        <v>1</v>
      </c>
    </row>
    <row r="40" spans="1:29" s="359" customFormat="1" ht="1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81"/>
      <c r="Q40" s="1334">
        <f t="shared" si="14"/>
        <v>111</v>
      </c>
      <c r="R40" s="634" t="s">
        <v>25</v>
      </c>
      <c r="S40" s="635">
        <f t="shared" si="10"/>
        <v>100</v>
      </c>
      <c r="T40" s="634" t="s">
        <v>25</v>
      </c>
      <c r="U40" s="635">
        <f t="shared" si="11"/>
        <v>100</v>
      </c>
      <c r="V40" s="634" t="s">
        <v>25</v>
      </c>
      <c r="W40" s="635">
        <f t="shared" si="12"/>
        <v>100</v>
      </c>
      <c r="X40" s="636"/>
      <c r="Y40" s="3481"/>
      <c r="Z40" s="637">
        <f t="shared" si="13"/>
        <v>111</v>
      </c>
      <c r="AA40" s="1337">
        <f t="shared" si="3"/>
        <v>1</v>
      </c>
      <c r="AB40" s="1337">
        <f t="shared" si="4"/>
        <v>1</v>
      </c>
      <c r="AC40" s="1337">
        <f t="shared" si="5"/>
        <v>1</v>
      </c>
    </row>
    <row r="41" spans="1:29">
      <c r="A41" s="367" t="s">
        <v>2426</v>
      </c>
      <c r="B41" s="1591" t="s">
        <v>2501</v>
      </c>
      <c r="C41" s="562" t="s">
        <v>1</v>
      </c>
      <c r="D41" s="369"/>
      <c r="E41" s="370"/>
      <c r="F41" s="371"/>
      <c r="G41" s="372"/>
      <c r="H41" s="373"/>
      <c r="I41" s="370"/>
      <c r="J41" s="373"/>
      <c r="K41" s="640"/>
      <c r="L41" s="3039"/>
      <c r="M41" s="3028"/>
      <c r="N41" s="3028"/>
      <c r="P41" s="3475" t="str">
        <f>A41</f>
        <v>成交单价</v>
      </c>
      <c r="Q41" s="3475"/>
      <c r="R41" s="3508">
        <f>E41</f>
        <v>0</v>
      </c>
      <c r="S41" s="3508"/>
      <c r="T41" s="3508">
        <f>G41</f>
        <v>0</v>
      </c>
      <c r="U41" s="3508"/>
      <c r="V41" s="3508">
        <f>I41</f>
        <v>0</v>
      </c>
      <c r="W41" s="3508"/>
      <c r="X41" s="618"/>
      <c r="Y41" s="638"/>
      <c r="Z41" s="618"/>
      <c r="AA41" s="618"/>
      <c r="AB41" s="618"/>
      <c r="AC41" s="618"/>
    </row>
    <row r="42" spans="1:29" ht="14.5" thickBot="1">
      <c r="A42" s="374" t="s">
        <v>2379</v>
      </c>
      <c r="B42" s="563"/>
      <c r="C42" s="377" t="e">
        <f>R43</f>
        <v>#DIV/0!</v>
      </c>
      <c r="D42" s="1797" t="s">
        <v>2752</v>
      </c>
      <c r="E42" s="377" t="e">
        <f>R42</f>
        <v>#DIV/0!</v>
      </c>
      <c r="F42" s="1799"/>
      <c r="G42" s="376" t="e">
        <f>T42</f>
        <v>#DIV/0!</v>
      </c>
      <c r="H42" s="1799"/>
      <c r="I42" s="377" t="e">
        <f>V42</f>
        <v>#DIV/0!</v>
      </c>
      <c r="J42" s="1799"/>
      <c r="K42" s="2513">
        <f>F42+H42+J42</f>
        <v>0</v>
      </c>
      <c r="L42" s="3039"/>
      <c r="M42" s="3028"/>
      <c r="N42" s="3028"/>
      <c r="P42" s="3475" t="str">
        <f>A42</f>
        <v>比较价值（元/平方米）</v>
      </c>
      <c r="Q42" s="3475"/>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4.5" thickBot="1">
      <c r="A43" s="378" t="s">
        <v>2402</v>
      </c>
      <c r="B43" s="379"/>
      <c r="C43" s="380" t="e">
        <f>R43</f>
        <v>#DIV/0!</v>
      </c>
      <c r="D43" s="380"/>
      <c r="E43" s="380"/>
      <c r="F43" s="380"/>
      <c r="G43" s="380"/>
      <c r="H43" s="380"/>
      <c r="I43" s="380"/>
      <c r="J43" s="380"/>
      <c r="K43" s="641"/>
      <c r="L43" s="3039"/>
      <c r="M43" s="3028"/>
      <c r="N43" s="3028"/>
      <c r="P43" s="3477" t="str">
        <f>A43</f>
        <v>估价对象XX用房的比较价值（楼面单价，元/平方米）</v>
      </c>
      <c r="Q43" s="3478"/>
      <c r="R43" s="3519" t="e">
        <f>ROUND(IF(D42="简单平均",AVERAGE(R42:W42),R42*F42+T42*H42+V42*J42),0)</f>
        <v>#DIV/0!</v>
      </c>
      <c r="S43" s="3519"/>
      <c r="T43" s="3519"/>
      <c r="U43" s="3519"/>
      <c r="V43" s="3519"/>
      <c r="W43" s="3519"/>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5" thickBot="1">
      <c r="B49" s="3041"/>
      <c r="C49" s="3044"/>
      <c r="K49" s="3043"/>
      <c r="L49" s="3040"/>
    </row>
    <row r="50" spans="1:17" ht="28">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2020-8-1</v>
      </c>
      <c r="D63" s="1182">
        <f>EDATE(C63,-3)</f>
        <v>43952</v>
      </c>
      <c r="E63" s="1182">
        <f t="shared" ref="E63:O63" si="18">EDATE(D63,-3)</f>
        <v>43862</v>
      </c>
      <c r="F63" s="1182">
        <f t="shared" si="18"/>
        <v>43770</v>
      </c>
      <c r="G63" s="1182">
        <f t="shared" si="18"/>
        <v>43678</v>
      </c>
      <c r="H63" s="1182">
        <f t="shared" si="18"/>
        <v>43586</v>
      </c>
      <c r="I63" s="1182">
        <f t="shared" si="18"/>
        <v>43497</v>
      </c>
      <c r="J63" s="1182">
        <f t="shared" si="18"/>
        <v>43405</v>
      </c>
      <c r="K63" s="1182">
        <f t="shared" si="18"/>
        <v>43313</v>
      </c>
      <c r="L63" s="1182">
        <f t="shared" si="18"/>
        <v>43221</v>
      </c>
      <c r="M63" s="1182">
        <f t="shared" si="18"/>
        <v>43132</v>
      </c>
      <c r="N63" s="1182">
        <f t="shared" si="18"/>
        <v>43040</v>
      </c>
      <c r="O63" s="1182">
        <f t="shared" si="18"/>
        <v>42948</v>
      </c>
    </row>
    <row r="64" spans="1:17" ht="21.5" thickBot="1">
      <c r="A64" s="620" t="s">
        <v>2384</v>
      </c>
      <c r="B64" s="618"/>
      <c r="C64" s="621"/>
      <c r="D64" s="621"/>
      <c r="E64" s="621"/>
      <c r="F64" s="622"/>
      <c r="G64" s="622"/>
      <c r="H64" s="621"/>
      <c r="I64" s="963"/>
      <c r="J64" s="963"/>
      <c r="K64" s="961"/>
      <c r="L64" s="962"/>
      <c r="M64" s="963"/>
      <c r="N64" s="963"/>
      <c r="O64" s="963"/>
      <c r="P64" s="389"/>
      <c r="Q64" s="390"/>
    </row>
    <row r="65" spans="1:17" s="394" customFormat="1">
      <c r="A65" s="1595" t="s">
        <v>2483</v>
      </c>
      <c r="B65" s="1126"/>
      <c r="C65" s="1183" t="str">
        <f>YEAR(C63)&amp;"-"&amp;ROUNDUP(MONTH(C63)/3,0)</f>
        <v>2020-3</v>
      </c>
      <c r="D65" s="1183" t="str">
        <f t="shared" ref="D65:O65" si="19">YEAR(D63)&amp;"-"&amp;ROUNDUP(MONTH(D63)/3,0)</f>
        <v>2020-2</v>
      </c>
      <c r="E65" s="1183" t="str">
        <f t="shared" si="19"/>
        <v>2020-1</v>
      </c>
      <c r="F65" s="1183" t="str">
        <f t="shared" si="19"/>
        <v>2019-4</v>
      </c>
      <c r="G65" s="1183" t="str">
        <f t="shared" si="19"/>
        <v>2019-3</v>
      </c>
      <c r="H65" s="1183" t="str">
        <f t="shared" si="19"/>
        <v>2019-2</v>
      </c>
      <c r="I65" s="1183" t="str">
        <f t="shared" si="19"/>
        <v>2019-1</v>
      </c>
      <c r="J65" s="1183" t="str">
        <f t="shared" si="19"/>
        <v>2018-4</v>
      </c>
      <c r="K65" s="1183" t="str">
        <f t="shared" si="19"/>
        <v>2018-3</v>
      </c>
      <c r="L65" s="1183" t="str">
        <f t="shared" si="19"/>
        <v>2018-2</v>
      </c>
      <c r="M65" s="1183" t="str">
        <f t="shared" si="19"/>
        <v>2018-1</v>
      </c>
      <c r="N65" s="1183" t="str">
        <f t="shared" si="19"/>
        <v>2017-4</v>
      </c>
      <c r="O65" s="1183" t="str">
        <f t="shared" si="19"/>
        <v>2017-3</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4.5" thickBot="1">
      <c r="A67" s="400" t="s">
        <v>2304</v>
      </c>
      <c r="B67" s="401"/>
      <c r="C67" s="402"/>
      <c r="D67" s="403"/>
      <c r="E67" s="403"/>
      <c r="F67" s="403"/>
      <c r="G67" s="403"/>
      <c r="H67" s="403"/>
      <c r="I67" s="403"/>
      <c r="J67" s="403"/>
      <c r="K67" s="403"/>
      <c r="L67" s="403"/>
      <c r="M67" s="404"/>
      <c r="N67" s="403"/>
      <c r="O67" s="1185"/>
      <c r="P67" s="390"/>
      <c r="Q67" s="390"/>
    </row>
    <row r="68" spans="1:17" s="25" customFormat="1">
      <c r="A68" s="406" t="s">
        <v>2268</v>
      </c>
      <c r="B68" s="396"/>
      <c r="C68" s="407" t="s">
        <v>2269</v>
      </c>
      <c r="D68" s="408"/>
      <c r="E68" s="408"/>
      <c r="F68" s="408"/>
      <c r="G68" s="408"/>
      <c r="H68" s="408"/>
      <c r="I68" s="408"/>
      <c r="J68" s="408"/>
      <c r="K68" s="408"/>
      <c r="L68" s="409"/>
      <c r="M68" s="410"/>
      <c r="N68" s="27"/>
      <c r="O68" s="27"/>
      <c r="P68" s="411"/>
      <c r="Q68" s="390"/>
    </row>
    <row r="69" spans="1:17" s="25" customFormat="1" ht="14.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4.5" thickBot="1">
      <c r="A71" s="420"/>
      <c r="B71" s="421"/>
      <c r="C71" s="422"/>
      <c r="D71" s="422"/>
      <c r="E71" s="422"/>
      <c r="F71" s="422"/>
      <c r="G71" s="422"/>
      <c r="H71" s="422"/>
      <c r="I71" s="422"/>
      <c r="J71" s="422"/>
      <c r="K71" s="422"/>
      <c r="L71" s="422"/>
      <c r="M71" s="423"/>
      <c r="N71" s="424"/>
      <c r="O71" s="424"/>
      <c r="P71" s="18"/>
      <c r="Q71" s="390"/>
    </row>
    <row r="72" spans="1:17" ht="28.5" thickTop="1">
      <c r="A72" s="420"/>
      <c r="B72" s="425" t="s">
        <v>2275</v>
      </c>
      <c r="C72" s="426"/>
      <c r="D72" s="426"/>
      <c r="E72" s="426"/>
      <c r="F72" s="426"/>
      <c r="G72" s="426"/>
      <c r="H72" s="426"/>
      <c r="I72" s="426"/>
      <c r="J72" s="426"/>
      <c r="K72" s="427"/>
      <c r="L72" s="428"/>
      <c r="M72" s="429"/>
      <c r="N72" s="419"/>
      <c r="O72" s="419"/>
      <c r="P72" s="18"/>
      <c r="Q72" s="390"/>
    </row>
    <row r="73" spans="1:17" ht="14.5" thickBot="1">
      <c r="A73" s="420"/>
      <c r="B73" s="430"/>
      <c r="C73" s="431"/>
      <c r="D73" s="431"/>
      <c r="E73" s="431"/>
      <c r="F73" s="431"/>
      <c r="G73" s="431"/>
      <c r="H73" s="431"/>
      <c r="I73" s="431"/>
      <c r="J73" s="431"/>
      <c r="K73" s="431"/>
      <c r="L73" s="431"/>
      <c r="M73" s="432"/>
      <c r="N73" s="424"/>
      <c r="O73" s="424"/>
      <c r="P73" s="18"/>
      <c r="Q73" s="390"/>
    </row>
    <row r="74" spans="1:17" ht="14.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5" thickTop="1">
      <c r="A77" s="440"/>
      <c r="B77" s="425">
        <f>B12</f>
        <v>111</v>
      </c>
      <c r="C77" s="441"/>
      <c r="D77" s="441"/>
      <c r="E77" s="441"/>
      <c r="F77" s="441"/>
      <c r="G77" s="441"/>
      <c r="H77" s="442"/>
      <c r="I77" s="442"/>
      <c r="J77" s="442"/>
      <c r="K77" s="442"/>
      <c r="L77" s="443"/>
      <c r="M77" s="444"/>
      <c r="N77" s="445"/>
      <c r="O77" s="445"/>
      <c r="P77" s="446"/>
      <c r="Q77" s="447"/>
    </row>
    <row r="78" spans="1:17" s="359" customFormat="1" ht="14.5" thickBot="1">
      <c r="A78" s="440"/>
      <c r="B78" s="430"/>
      <c r="C78" s="448"/>
      <c r="D78" s="422"/>
      <c r="E78" s="422"/>
      <c r="F78" s="422"/>
      <c r="G78" s="422"/>
      <c r="H78" s="422"/>
      <c r="I78" s="422"/>
      <c r="J78" s="422"/>
      <c r="K78" s="422"/>
      <c r="L78" s="422"/>
      <c r="M78" s="423"/>
      <c r="N78" s="424"/>
      <c r="O78" s="424"/>
      <c r="P78" s="446"/>
      <c r="Q78" s="447"/>
    </row>
    <row r="79" spans="1:17" s="359" customFormat="1" ht="14.5" thickTop="1">
      <c r="A79" s="440"/>
      <c r="B79" s="425">
        <f>B13</f>
        <v>111</v>
      </c>
      <c r="C79" s="441"/>
      <c r="D79" s="441"/>
      <c r="E79" s="441"/>
      <c r="F79" s="441"/>
      <c r="G79" s="441"/>
      <c r="H79" s="442"/>
      <c r="I79" s="442"/>
      <c r="J79" s="442"/>
      <c r="K79" s="442"/>
      <c r="L79" s="443"/>
      <c r="M79" s="444"/>
      <c r="N79" s="445"/>
      <c r="O79" s="445"/>
      <c r="P79" s="358"/>
      <c r="Q79" s="449"/>
    </row>
    <row r="80" spans="1:17" s="359" customFormat="1" ht="14.5" thickBot="1">
      <c r="A80" s="440"/>
      <c r="B80" s="430"/>
      <c r="C80" s="448"/>
      <c r="D80" s="448"/>
      <c r="E80" s="448"/>
      <c r="F80" s="448"/>
      <c r="G80" s="448"/>
      <c r="H80" s="450"/>
      <c r="I80" s="450"/>
      <c r="J80" s="450"/>
      <c r="K80" s="450"/>
      <c r="L80" s="450"/>
      <c r="M80" s="451"/>
      <c r="N80" s="445"/>
      <c r="O80" s="445"/>
      <c r="P80" s="446"/>
      <c r="Q80" s="447"/>
    </row>
    <row r="81" spans="1:17" s="359" customFormat="1" ht="14.5" thickTop="1">
      <c r="A81" s="440"/>
      <c r="B81" s="433">
        <f>B14</f>
        <v>111</v>
      </c>
      <c r="C81" s="408"/>
      <c r="D81" s="408"/>
      <c r="E81" s="408"/>
      <c r="F81" s="408"/>
      <c r="G81" s="408"/>
      <c r="H81" s="452"/>
      <c r="I81" s="452"/>
      <c r="J81" s="452"/>
      <c r="K81" s="452"/>
      <c r="L81" s="453"/>
      <c r="M81" s="454"/>
      <c r="N81" s="445"/>
      <c r="O81" s="445"/>
      <c r="P81" s="455"/>
      <c r="Q81" s="447"/>
    </row>
    <row r="82" spans="1:17" s="359" customFormat="1" ht="14.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4.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4.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4.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8.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4.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8.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4.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4.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4.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4.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4.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4.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4.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8.5" thickTop="1">
      <c r="A97" s="420"/>
      <c r="B97" s="425" t="s">
        <v>2396</v>
      </c>
      <c r="C97" s="441"/>
      <c r="D97" s="441"/>
      <c r="E97" s="441"/>
      <c r="F97" s="441"/>
      <c r="G97" s="441"/>
      <c r="H97" s="471"/>
      <c r="I97" s="471"/>
      <c r="J97" s="471"/>
      <c r="K97" s="472"/>
      <c r="L97" s="473"/>
      <c r="M97" s="474"/>
      <c r="N97" s="419"/>
      <c r="O97" s="419"/>
      <c r="P97" s="18"/>
      <c r="Q97" s="390"/>
    </row>
    <row r="98" spans="1:17" ht="14.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4.5" thickTop="1">
      <c r="A99" s="420"/>
      <c r="B99" s="425" t="s">
        <v>2457</v>
      </c>
      <c r="C99" s="471"/>
      <c r="D99" s="471"/>
      <c r="E99" s="471"/>
      <c r="F99" s="471"/>
      <c r="G99" s="471"/>
      <c r="H99" s="471"/>
      <c r="I99" s="471"/>
      <c r="J99" s="471"/>
      <c r="K99" s="472"/>
      <c r="L99" s="473"/>
      <c r="M99" s="474"/>
      <c r="N99" s="419"/>
      <c r="O99" s="419"/>
      <c r="P99" s="18"/>
      <c r="Q99" s="390"/>
    </row>
    <row r="100" spans="1:17" ht="14.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5" thickTop="1">
      <c r="A101" s="420"/>
      <c r="B101" s="433">
        <f>B31</f>
        <v>111</v>
      </c>
      <c r="C101" s="441"/>
      <c r="D101" s="441"/>
      <c r="E101" s="441"/>
      <c r="F101" s="441"/>
      <c r="G101" s="475"/>
      <c r="H101" s="475"/>
      <c r="I101" s="475"/>
      <c r="J101" s="475"/>
      <c r="K101" s="476"/>
      <c r="L101" s="477"/>
      <c r="M101" s="478"/>
      <c r="N101" s="419"/>
      <c r="O101" s="419"/>
      <c r="P101" s="18"/>
      <c r="Q101" s="390"/>
    </row>
    <row r="102" spans="1:17" ht="14.5" thickBot="1">
      <c r="A102" s="420"/>
      <c r="B102" s="457"/>
      <c r="C102" s="448"/>
      <c r="D102" s="422"/>
      <c r="E102" s="422"/>
      <c r="F102" s="422"/>
      <c r="G102" s="479"/>
      <c r="H102" s="479"/>
      <c r="I102" s="479"/>
      <c r="J102" s="479"/>
      <c r="K102" s="479"/>
      <c r="L102" s="479"/>
      <c r="M102" s="480"/>
      <c r="N102" s="424"/>
      <c r="O102" s="424"/>
      <c r="P102" s="18"/>
      <c r="Q102" s="390"/>
    </row>
    <row r="103" spans="1:17" ht="14.5" thickTop="1">
      <c r="A103" s="556"/>
      <c r="B103" s="425">
        <f>B32</f>
        <v>111</v>
      </c>
      <c r="C103" s="441"/>
      <c r="D103" s="441"/>
      <c r="E103" s="441"/>
      <c r="F103" s="441"/>
      <c r="G103" s="471"/>
      <c r="H103" s="471"/>
      <c r="I103" s="471"/>
      <c r="J103" s="471"/>
      <c r="K103" s="472"/>
      <c r="L103" s="473"/>
      <c r="M103" s="474"/>
      <c r="N103" s="419"/>
      <c r="O103" s="419"/>
      <c r="P103" s="18"/>
      <c r="Q103" s="390"/>
    </row>
    <row r="104" spans="1:17" ht="14.5" thickBot="1">
      <c r="A104" s="420"/>
      <c r="B104" s="430"/>
      <c r="C104" s="448"/>
      <c r="D104" s="448"/>
      <c r="E104" s="448"/>
      <c r="F104" s="448"/>
      <c r="G104" s="422"/>
      <c r="H104" s="422"/>
      <c r="I104" s="422"/>
      <c r="J104" s="422"/>
      <c r="K104" s="422"/>
      <c r="L104" s="422"/>
      <c r="M104" s="423"/>
      <c r="N104" s="424"/>
      <c r="O104" s="424"/>
      <c r="P104" s="18"/>
      <c r="Q104" s="390"/>
    </row>
    <row r="105" spans="1:17" s="359" customFormat="1" ht="14.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5" thickBot="1">
      <c r="A109" s="420"/>
      <c r="B109" s="430"/>
      <c r="C109" s="458"/>
      <c r="D109" s="479"/>
      <c r="E109" s="479"/>
      <c r="F109" s="479"/>
      <c r="G109" s="479"/>
      <c r="H109" s="479"/>
      <c r="I109" s="479"/>
      <c r="J109" s="479"/>
      <c r="K109" s="479"/>
      <c r="L109" s="479"/>
      <c r="M109" s="480"/>
      <c r="N109" s="424"/>
      <c r="O109" s="424"/>
      <c r="P109" s="18"/>
      <c r="Q109" s="390"/>
    </row>
    <row r="110" spans="1:17" ht="14.5" thickTop="1">
      <c r="A110" s="487"/>
      <c r="B110" s="425" t="s">
        <v>2493</v>
      </c>
      <c r="C110" s="471"/>
      <c r="D110" s="471"/>
      <c r="E110" s="471"/>
      <c r="F110" s="471"/>
      <c r="G110" s="471"/>
      <c r="H110" s="471"/>
      <c r="I110" s="471"/>
      <c r="J110" s="471"/>
      <c r="K110" s="472"/>
      <c r="L110" s="473"/>
      <c r="M110" s="474"/>
      <c r="N110" s="419"/>
      <c r="O110" s="419"/>
      <c r="P110" s="18"/>
      <c r="Q110" s="390"/>
    </row>
    <row r="111" spans="1:17" ht="14.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4.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4.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4.5" thickTop="1">
      <c r="A114" s="487"/>
      <c r="B114" s="425" t="s">
        <v>2496</v>
      </c>
      <c r="C114" s="441"/>
      <c r="D114" s="441"/>
      <c r="E114" s="471"/>
      <c r="F114" s="471"/>
      <c r="G114" s="471"/>
      <c r="H114" s="471"/>
      <c r="I114" s="471"/>
      <c r="J114" s="471"/>
      <c r="K114" s="472"/>
      <c r="L114" s="473"/>
      <c r="M114" s="474"/>
      <c r="N114" s="419"/>
      <c r="O114" s="419"/>
      <c r="P114" s="18"/>
      <c r="Q114" s="390"/>
    </row>
    <row r="115" spans="1:17" ht="14.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5" thickTop="1">
      <c r="A116" s="487"/>
      <c r="B116" s="425">
        <f>B38</f>
        <v>111</v>
      </c>
      <c r="C116" s="441"/>
      <c r="D116" s="441"/>
      <c r="E116" s="441"/>
      <c r="F116" s="441"/>
      <c r="G116" s="441"/>
      <c r="H116" s="471"/>
      <c r="I116" s="471"/>
      <c r="J116" s="471"/>
      <c r="K116" s="472"/>
      <c r="L116" s="473"/>
      <c r="M116" s="474"/>
      <c r="N116" s="419"/>
      <c r="O116" s="419"/>
      <c r="P116" s="18"/>
      <c r="Q116" s="390"/>
    </row>
    <row r="117" spans="1:17" ht="14.5" thickBot="1">
      <c r="A117" s="420"/>
      <c r="B117" s="430"/>
      <c r="C117" s="448"/>
      <c r="D117" s="422"/>
      <c r="E117" s="422"/>
      <c r="F117" s="422"/>
      <c r="G117" s="422"/>
      <c r="H117" s="422"/>
      <c r="I117" s="422"/>
      <c r="J117" s="422"/>
      <c r="K117" s="422"/>
      <c r="L117" s="422"/>
      <c r="M117" s="423"/>
      <c r="N117" s="424"/>
      <c r="O117" s="424"/>
      <c r="P117" s="18"/>
      <c r="Q117" s="390"/>
    </row>
    <row r="118" spans="1:17" ht="14.5" thickTop="1">
      <c r="A118" s="487"/>
      <c r="B118" s="425">
        <f>B39</f>
        <v>111</v>
      </c>
      <c r="C118" s="441"/>
      <c r="D118" s="441"/>
      <c r="E118" s="441"/>
      <c r="F118" s="441"/>
      <c r="G118" s="471"/>
      <c r="H118" s="471"/>
      <c r="I118" s="471"/>
      <c r="J118" s="471"/>
      <c r="K118" s="472"/>
      <c r="L118" s="473"/>
      <c r="M118" s="474"/>
      <c r="N118" s="419"/>
      <c r="O118" s="419"/>
      <c r="P118" s="18"/>
      <c r="Q118" s="390"/>
    </row>
    <row r="119" spans="1:17" ht="14.5" thickBot="1">
      <c r="A119" s="420"/>
      <c r="B119" s="430"/>
      <c r="C119" s="448"/>
      <c r="D119" s="448"/>
      <c r="E119" s="448"/>
      <c r="F119" s="448"/>
      <c r="G119" s="422"/>
      <c r="H119" s="422"/>
      <c r="I119" s="422"/>
      <c r="J119" s="422"/>
      <c r="K119" s="422"/>
      <c r="L119" s="422"/>
      <c r="M119" s="423"/>
      <c r="N119" s="424"/>
      <c r="O119" s="424"/>
      <c r="P119" s="18"/>
      <c r="Q119" s="390"/>
    </row>
    <row r="120" spans="1:17" s="359" customFormat="1" ht="14.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08984375" defaultRowHeight="14"/>
  <cols>
    <col min="1" max="1" width="85.26953125" style="1344" customWidth="1"/>
    <col min="2" max="3" width="12.453125" style="1344" customWidth="1"/>
    <col min="4" max="6" width="8.08984375" style="1344"/>
    <col min="7" max="7" width="17.453125" style="1344" customWidth="1"/>
    <col min="8" max="16384" width="8.08984375" style="1344"/>
  </cols>
  <sheetData>
    <row r="1" spans="1:7" ht="23">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7.5">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
      <c r="A5" s="1350" t="s">
        <v>1254</v>
      </c>
    </row>
    <row r="6" spans="1:7" s="1351" customFormat="1" ht="52.5">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估价对象为北京市房地产，为XX所有。根据《不动产权证书》[]，估价对象建筑面积为54.91平方米，（分摊）出让国有建设用地使用权面积为0平方米。估价对象用途为。</v>
      </c>
      <c r="B6" s="1349"/>
      <c r="C6" s="1349"/>
      <c r="D6" s="1349"/>
      <c r="E6" s="1349"/>
      <c r="F6" s="1349"/>
      <c r="G6" s="1349"/>
    </row>
    <row r="7" spans="1:7" ht="18">
      <c r="A7" s="1350" t="s">
        <v>1255</v>
      </c>
    </row>
    <row r="8" spans="1:7" ht="17.5">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
      <c r="A9" s="1347" t="s">
        <v>1256</v>
      </c>
      <c r="B9" s="1354"/>
    </row>
    <row r="10" spans="1:7" ht="17.5">
      <c r="A10" s="1355" t="str">
        <f>TEXT(项目基本情况!D2,"yyyy年m月d日;;")&amp;IF(项目基本情况!B2=项目基本情况!D2,"（评估专业人员实地查勘之日）","")</f>
        <v>2020年8月19日</v>
      </c>
      <c r="B10" s="1356"/>
      <c r="C10" s="1356"/>
      <c r="D10" s="1356"/>
      <c r="E10" s="1356"/>
      <c r="F10" s="1356"/>
      <c r="G10" s="1356"/>
    </row>
    <row r="11" spans="1:7" ht="18">
      <c r="A11" s="1347" t="s">
        <v>1257</v>
      </c>
    </row>
    <row r="12" spans="1:7" ht="70">
      <c r="A12" s="1349" t="s">
        <v>1258</v>
      </c>
      <c r="B12" s="1349"/>
      <c r="C12" s="1349"/>
      <c r="D12" s="1349"/>
      <c r="E12" s="1349"/>
      <c r="F12" s="1349"/>
      <c r="G12" s="1349"/>
    </row>
    <row r="13" spans="1:7" ht="52.5">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本次估价的“房地产价值”是指在正常市场情况下，在价值时点2020年8月19日，估价对象规划用途为，假定未设立法定优先受偿款下的房地产市场价值。</v>
      </c>
      <c r="B13" s="1349"/>
      <c r="C13" s="1349"/>
      <c r="D13" s="1349"/>
      <c r="E13" s="1349"/>
      <c r="F13" s="1349"/>
      <c r="G13" s="1349"/>
    </row>
    <row r="14" spans="1:7" ht="17.5">
      <c r="A14" s="1352" t="str">
        <f>IF(项目基本情况!D5="房地产市场价值","——",IF(项目基本情况!F5="房地产抵押价值",定义!C54,IF(项目基本情况!F5="已注销",定义!C55,定义!C56)))</f>
        <v>——</v>
      </c>
      <c r="B14" s="1357"/>
      <c r="C14" s="1357"/>
      <c r="D14" s="1357"/>
      <c r="E14" s="1357"/>
      <c r="F14" s="1357"/>
      <c r="G14" s="1357"/>
    </row>
    <row r="15" spans="1:7" ht="71">
      <c r="A15" s="1349" t="s">
        <v>1252</v>
      </c>
      <c r="B15" s="1349"/>
      <c r="C15" s="1349"/>
      <c r="D15" s="1349"/>
      <c r="E15" s="1349"/>
      <c r="F15" s="1349"/>
      <c r="G15" s="1349"/>
    </row>
    <row r="16" spans="1:7" ht="17.5">
      <c r="A16" s="1353" t="str">
        <f>IF(项目基本情况!D5="房地产市场价值","——",IF(项目基本情况!G5="——","",定义!C57))</f>
        <v>——</v>
      </c>
      <c r="B16" s="1357"/>
      <c r="C16" s="1357"/>
      <c r="D16" s="1357"/>
      <c r="E16" s="1357"/>
      <c r="F16" s="1357"/>
      <c r="G16" s="1357"/>
    </row>
    <row r="17" spans="1:1" ht="18">
      <c r="A17" s="1347" t="s">
        <v>1251</v>
      </c>
    </row>
    <row r="18" spans="1:1" ht="17.5">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Q4:S9"/>
  <sheetViews>
    <sheetView workbookViewId="0">
      <selection activeCell="R27" sqref="R27"/>
    </sheetView>
  </sheetViews>
  <sheetFormatPr defaultRowHeight="14"/>
  <sheetData>
    <row r="4" spans="17:19">
      <c r="Q4">
        <v>15000</v>
      </c>
      <c r="R4">
        <v>322</v>
      </c>
      <c r="S4">
        <f>Q4/R4</f>
        <v>46.58385093167702</v>
      </c>
    </row>
    <row r="5" spans="17:19">
      <c r="Q5">
        <v>16500</v>
      </c>
      <c r="R5">
        <v>300</v>
      </c>
      <c r="S5">
        <f t="shared" ref="S5:S7" si="0">Q5/R5</f>
        <v>55</v>
      </c>
    </row>
    <row r="6" spans="17:19">
      <c r="Q6">
        <v>16000</v>
      </c>
      <c r="R6">
        <v>297</v>
      </c>
      <c r="S6">
        <f t="shared" si="0"/>
        <v>53.872053872053876</v>
      </c>
    </row>
    <row r="7" spans="17:19">
      <c r="Q7">
        <v>15000</v>
      </c>
      <c r="R7">
        <v>345</v>
      </c>
      <c r="S7">
        <f t="shared" si="0"/>
        <v>43.478260869565219</v>
      </c>
    </row>
    <row r="9" spans="17:19">
      <c r="Q9">
        <f>AVERAGE(S4:S7)</f>
        <v>49.73354141832403</v>
      </c>
      <c r="S9">
        <f>Q9*项目基本情况!C12</f>
        <v>2730.8687592801725</v>
      </c>
    </row>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topLeftCell="A18" zoomScaleNormal="90" zoomScaleSheetLayoutView="100" workbookViewId="0">
      <selection activeCell="A75" sqref="A75:XFD75"/>
    </sheetView>
  </sheetViews>
  <sheetFormatPr defaultColWidth="9" defaultRowHeight="12.5"/>
  <cols>
    <col min="1" max="1" width="9.7265625" style="1624" customWidth="1"/>
    <col min="2" max="2" width="19.26953125" style="1624" customWidth="1"/>
    <col min="3" max="3" width="12.453125" style="1624" customWidth="1"/>
    <col min="4" max="4" width="12" style="1624" customWidth="1"/>
    <col min="5" max="5" width="14.6328125" style="1624" customWidth="1"/>
    <col min="6" max="8" width="12" style="1624" customWidth="1"/>
    <col min="9" max="9" width="12.26953125" style="1624" bestFit="1" customWidth="1"/>
    <col min="10" max="10" width="12" style="1624" customWidth="1"/>
    <col min="11" max="11" width="9.453125" style="1623" customWidth="1"/>
    <col min="12" max="12" width="12" style="1624" customWidth="1"/>
    <col min="13" max="13" width="8.453125" style="1624" customWidth="1"/>
    <col min="14" max="14" width="9.7265625" style="1624" customWidth="1"/>
    <col min="15" max="25" width="12" style="1624" customWidth="1"/>
    <col min="26" max="26" width="9.36328125" style="1624" customWidth="1"/>
    <col min="27" max="32" width="9.36328125" style="2267" customWidth="1"/>
    <col min="33" max="38" width="9.36328125" style="1624" customWidth="1"/>
    <col min="39" max="16384" width="9" style="1624"/>
  </cols>
  <sheetData>
    <row r="1" spans="1:36" ht="30">
      <c r="A1" s="2097" t="s">
        <v>2504</v>
      </c>
      <c r="B1" s="2098"/>
      <c r="C1" s="2099" t="s">
        <v>2505</v>
      </c>
      <c r="D1" s="2100">
        <f>SUM(D29:D30,D33:D39)</f>
        <v>54.91</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6">
      <c r="A2" s="1961" t="s">
        <v>2512</v>
      </c>
      <c r="B2" s="1659">
        <f ca="1">C26</f>
        <v>1093258</v>
      </c>
      <c r="C2" s="2108" t="s">
        <v>2513</v>
      </c>
      <c r="D2" s="1602" t="s">
        <v>2514</v>
      </c>
      <c r="E2" s="2109" t="s">
        <v>2900</v>
      </c>
      <c r="F2" s="1602" t="s">
        <v>2515</v>
      </c>
      <c r="G2" s="2110" t="str">
        <f>项目基本情况!F9</f>
        <v>七级</v>
      </c>
      <c r="H2" s="1603" t="s">
        <v>2516</v>
      </c>
      <c r="I2" s="2110" t="str">
        <f>项目基本情况!F10</f>
        <v>Ⅶ-昌1</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1.8629</v>
      </c>
      <c r="T2" s="2104">
        <f ca="1">ROUND($C$5*$C$18*$C$19*$C$20*S2*$C$24,0)</f>
        <v>34987</v>
      </c>
      <c r="U2" s="2115"/>
      <c r="V2" s="2104">
        <f ca="1">ROUND(T2*U2/10000,0)</f>
        <v>0</v>
      </c>
      <c r="W2" s="2105"/>
      <c r="X2" s="2105"/>
      <c r="Y2" s="2105"/>
      <c r="Z2" s="2105"/>
      <c r="AA2" s="2105"/>
      <c r="AB2" s="2105"/>
      <c r="AC2" s="2105"/>
      <c r="AD2" s="2106"/>
      <c r="AE2" s="2106"/>
      <c r="AF2" s="2106"/>
      <c r="AG2" s="2106"/>
      <c r="AH2" s="2106"/>
      <c r="AI2" s="2106"/>
      <c r="AJ2" s="2107"/>
    </row>
    <row r="3" spans="1:36" ht="25">
      <c r="A3" s="1659" t="s">
        <v>2518</v>
      </c>
      <c r="B3" s="1659">
        <f ca="1">ROUND(B2/D1,0)</f>
        <v>19910</v>
      </c>
      <c r="C3" s="2108" t="s">
        <v>2519</v>
      </c>
      <c r="D3" s="1602" t="s">
        <v>2520</v>
      </c>
      <c r="E3" s="2109" t="s">
        <v>2917</v>
      </c>
      <c r="F3" s="1604" t="s">
        <v>2521</v>
      </c>
      <c r="G3" s="2116">
        <f>项目基本情况!C15</f>
        <v>2</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1.3371999999999999</v>
      </c>
      <c r="T3" s="2104">
        <f t="shared" ref="T3:T16" ca="1" si="0">ROUND($C$5*$C$18*$C$19*$C$20*S3*$C$24,0)</f>
        <v>25114</v>
      </c>
      <c r="U3" s="2115"/>
      <c r="V3" s="2104">
        <f t="shared" ref="V3:V16" ca="1" si="1">ROUND(T3*U3/10000,0)</f>
        <v>0</v>
      </c>
      <c r="W3" s="2105"/>
      <c r="X3" s="2105"/>
      <c r="Y3" s="2105"/>
      <c r="Z3" s="2105"/>
      <c r="AA3" s="2105"/>
      <c r="AB3" s="2105"/>
      <c r="AC3" s="2105"/>
      <c r="AD3" s="2106"/>
      <c r="AE3" s="2106"/>
      <c r="AF3" s="2106"/>
      <c r="AG3" s="2106"/>
      <c r="AH3" s="2106"/>
      <c r="AI3" s="2106"/>
      <c r="AJ3" s="2107"/>
    </row>
    <row r="4" spans="1:36" ht="15.5">
      <c r="A4" s="3523"/>
      <c r="B4" s="3524"/>
      <c r="C4" s="3524"/>
      <c r="D4" s="3525"/>
      <c r="E4" s="3525"/>
      <c r="F4" s="3525"/>
      <c r="G4" s="3525"/>
      <c r="H4" s="3525"/>
      <c r="I4" s="3525"/>
      <c r="J4" s="3526"/>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1.0788</v>
      </c>
      <c r="T4" s="2104">
        <f t="shared" ca="1" si="0"/>
        <v>20261</v>
      </c>
      <c r="U4" s="2115"/>
      <c r="V4" s="2104">
        <f t="shared" ca="1" si="1"/>
        <v>0</v>
      </c>
      <c r="W4" s="2105"/>
      <c r="X4" s="2105"/>
      <c r="Y4" s="2105"/>
      <c r="Z4" s="2105"/>
      <c r="AA4" s="2105"/>
      <c r="AB4" s="2105"/>
      <c r="AC4" s="2105"/>
      <c r="AD4" s="2106"/>
      <c r="AE4" s="2106"/>
      <c r="AF4" s="2106"/>
      <c r="AG4" s="2106"/>
      <c r="AH4" s="2106"/>
      <c r="AI4" s="2106"/>
      <c r="AJ4" s="2107"/>
    </row>
    <row r="5" spans="1:36" s="2125" customFormat="1" ht="16" thickBot="1">
      <c r="A5" s="1605" t="s">
        <v>2526</v>
      </c>
      <c r="B5" s="1605" t="s">
        <v>2527</v>
      </c>
      <c r="C5" s="2118">
        <f>ROUND(IF(E2="商业",C6*C7+C16,(IF(E2="住宅",C6*C12+C16,C6+C16))),0)</f>
        <v>10270</v>
      </c>
      <c r="D5" s="2119">
        <f>ROUND(C6+C16,0)</f>
        <v>7780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0.86560000000000004</v>
      </c>
      <c r="T5" s="2104">
        <f t="shared" ca="1" si="0"/>
        <v>16257</v>
      </c>
      <c r="U5" s="2115"/>
      <c r="V5" s="2104">
        <f t="shared" ca="1" si="1"/>
        <v>0</v>
      </c>
      <c r="W5" s="2105"/>
      <c r="X5" s="2105"/>
      <c r="Y5" s="2105"/>
      <c r="Z5" s="2105"/>
      <c r="AA5" s="2105"/>
      <c r="AB5" s="2105"/>
      <c r="AC5" s="2122"/>
      <c r="AD5" s="2123"/>
      <c r="AE5" s="2123"/>
      <c r="AF5" s="2123"/>
      <c r="AG5" s="2123"/>
      <c r="AH5" s="2123"/>
      <c r="AI5" s="2123"/>
      <c r="AJ5" s="2124"/>
    </row>
    <row r="6" spans="1:36" ht="16" thickBot="1">
      <c r="A6" s="2126">
        <v>1</v>
      </c>
      <c r="B6" s="1606" t="s">
        <v>2529</v>
      </c>
      <c r="C6" s="2127">
        <f>SUMIF(L1:L12,G2,M1:M12)</f>
        <v>7780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0.73709999999999998</v>
      </c>
      <c r="T6" s="2104">
        <f t="shared" ca="1" si="0"/>
        <v>13844</v>
      </c>
      <c r="U6" s="2115"/>
      <c r="V6" s="2104">
        <f t="shared" ca="1" si="1"/>
        <v>0</v>
      </c>
      <c r="W6" s="2105"/>
      <c r="X6" s="2105"/>
      <c r="Y6" s="2105"/>
      <c r="Z6" s="2105"/>
      <c r="AA6" s="2105"/>
      <c r="AB6" s="2105"/>
      <c r="AC6" s="2122"/>
      <c r="AD6" s="2123"/>
      <c r="AE6" s="2123"/>
      <c r="AF6" s="2123"/>
      <c r="AG6" s="2123"/>
      <c r="AH6" s="2123"/>
      <c r="AI6" s="2123"/>
      <c r="AJ6" s="2124"/>
    </row>
    <row r="7" spans="1:36" ht="26">
      <c r="A7" s="3527"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7780</v>
      </c>
      <c r="N7" s="2114">
        <f>SUMPRODUCT((因素修正幅度!B158:B205=I2)*(因素修正幅度!C3:F3=E2)*(因素修正幅度!C158:F205))</f>
        <v>0.125</v>
      </c>
      <c r="O7" s="3052"/>
      <c r="P7" s="3052"/>
      <c r="Q7" s="3052"/>
      <c r="R7" s="2104">
        <v>6</v>
      </c>
      <c r="S7" s="2104">
        <f>ROUND(IF(G3&gt;1,IF(R7&lt;7,SUMPRODUCT((B93:B98=R7)*(C92:N92=G2)*(C93:N98)),SUMIF(C92:N92,G2,C100:N100)),IF(R7&lt;7,SUMPRODUCT((B102:B107=R7)*(C92:N92=G2)*(C102:N107)),SUMIF(C92:N92,G2,C109:N109))),4)</f>
        <v>0.6482</v>
      </c>
      <c r="T7" s="2104">
        <f t="shared" ca="1" si="0"/>
        <v>12174</v>
      </c>
      <c r="U7" s="2115"/>
      <c r="V7" s="2104">
        <f t="shared" ca="1" si="1"/>
        <v>0</v>
      </c>
      <c r="W7" s="2136" t="s">
        <v>2535</v>
      </c>
      <c r="X7" s="2137" t="str">
        <f>G2</f>
        <v>七级</v>
      </c>
      <c r="Y7" s="2137" t="s">
        <v>2536</v>
      </c>
      <c r="Z7" s="2138">
        <f>G3</f>
        <v>2</v>
      </c>
      <c r="AA7" s="2105"/>
      <c r="AB7" s="2105"/>
      <c r="AC7" s="2105"/>
      <c r="AD7" s="2106"/>
      <c r="AE7" s="2106"/>
      <c r="AF7" s="2106"/>
      <c r="AG7" s="2106"/>
      <c r="AH7" s="2106"/>
      <c r="AI7" s="2106"/>
      <c r="AJ7" s="2107"/>
    </row>
    <row r="8" spans="1:36" ht="15.5">
      <c r="A8" s="3528"/>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21" t="s">
        <v>2540</v>
      </c>
      <c r="X8" s="3522"/>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5">
      <c r="A9" s="3528"/>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2"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5">
      <c r="A10" s="3528"/>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f t="shared" ca="1" si="0"/>
        <v>0</v>
      </c>
      <c r="U10" s="2115"/>
      <c r="V10" s="2104">
        <f t="shared" ca="1" si="1"/>
        <v>0</v>
      </c>
      <c r="W10" s="352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6" thickBot="1">
      <c r="A11" s="3528"/>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2" t="s">
        <v>2564</v>
      </c>
      <c r="X11" s="2153" t="s">
        <v>2565</v>
      </c>
      <c r="Y11" s="2154">
        <f>$G$3</f>
        <v>2</v>
      </c>
      <c r="Z11" s="2154">
        <f t="shared" ref="Z11:AJ11" si="3">$G$3</f>
        <v>2</v>
      </c>
      <c r="AA11" s="2154">
        <f t="shared" si="3"/>
        <v>2</v>
      </c>
      <c r="AB11" s="2154">
        <f t="shared" si="3"/>
        <v>2</v>
      </c>
      <c r="AC11" s="2154">
        <f t="shared" si="3"/>
        <v>2</v>
      </c>
      <c r="AD11" s="2154">
        <f t="shared" si="3"/>
        <v>2</v>
      </c>
      <c r="AE11" s="2154">
        <f t="shared" si="3"/>
        <v>2</v>
      </c>
      <c r="AF11" s="2154">
        <f t="shared" si="3"/>
        <v>2</v>
      </c>
      <c r="AG11" s="2154">
        <f t="shared" si="3"/>
        <v>2</v>
      </c>
      <c r="AH11" s="2154">
        <f t="shared" si="3"/>
        <v>2</v>
      </c>
      <c r="AI11" s="2154">
        <f t="shared" si="3"/>
        <v>2</v>
      </c>
      <c r="AJ11" s="2154">
        <f t="shared" si="3"/>
        <v>2</v>
      </c>
    </row>
    <row r="12" spans="1:36" ht="26.5" thickBot="1">
      <c r="A12" s="3527">
        <f>IF(E2="住宅",2,"")</f>
        <v>2</v>
      </c>
      <c r="B12" s="1609" t="s">
        <v>2566</v>
      </c>
      <c r="C12" s="2131">
        <f>ROUND(C15*D15*E15*F15*G15*H15*I15*J15,4)</f>
        <v>1.32</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2"/>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6">
      <c r="A13" s="3529"/>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2"/>
      <c r="X13" s="2161"/>
      <c r="Y13" s="2149">
        <f>(-0.163*(Y12^2)-0.59*Y12+7617)*(10^(-4))/Y11</f>
        <v>0.38085000000000002</v>
      </c>
      <c r="Z13" s="2149">
        <f t="shared" ref="Z13:AJ13" si="5">(-0.163*(Z12^2)-0.59*Z12+7617)*(10^(-4))/Z11</f>
        <v>0.38085000000000002</v>
      </c>
      <c r="AA13" s="2149">
        <f t="shared" si="5"/>
        <v>0.38085000000000002</v>
      </c>
      <c r="AB13" s="2149">
        <f t="shared" si="5"/>
        <v>0.38085000000000002</v>
      </c>
      <c r="AC13" s="2149">
        <f t="shared" si="5"/>
        <v>0.38085000000000002</v>
      </c>
      <c r="AD13" s="2149">
        <f t="shared" si="5"/>
        <v>0.38085000000000002</v>
      </c>
      <c r="AE13" s="2149">
        <f t="shared" si="5"/>
        <v>0.38085000000000002</v>
      </c>
      <c r="AF13" s="2149">
        <f t="shared" si="5"/>
        <v>0.38085000000000002</v>
      </c>
      <c r="AG13" s="2149">
        <f t="shared" si="5"/>
        <v>0.38085000000000002</v>
      </c>
      <c r="AH13" s="2149">
        <f t="shared" si="5"/>
        <v>0.38085000000000002</v>
      </c>
      <c r="AI13" s="2149">
        <f t="shared" si="5"/>
        <v>0.38085000000000002</v>
      </c>
      <c r="AJ13" s="2149">
        <f t="shared" si="5"/>
        <v>0.38085000000000002</v>
      </c>
    </row>
    <row r="14" spans="1:36" ht="15.5">
      <c r="A14" s="3529"/>
      <c r="B14" s="1611"/>
      <c r="C14" s="2165" t="s">
        <v>2921</v>
      </c>
      <c r="D14" s="2166" t="s">
        <v>2916</v>
      </c>
      <c r="E14" s="2166" t="s">
        <v>2576</v>
      </c>
      <c r="F14" s="2167" t="s">
        <v>2920</v>
      </c>
      <c r="G14" s="2168" t="s">
        <v>2577</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6" thickBot="1">
      <c r="A15" s="3530"/>
      <c r="B15" s="1612" t="s">
        <v>2578</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5" customHeight="1">
      <c r="A16" s="3531">
        <f>IF(E2="办公",2,IF(E2="工业",2,IF(E2="住宅",3,IF(E2="商业",IF(C8="不临58条商业街",2,3)))))</f>
        <v>3</v>
      </c>
      <c r="B16" s="1631" t="s">
        <v>2584</v>
      </c>
      <c r="C16" s="1607">
        <f>ROUND(IF(F17="与级别开发程度一致",0,(G17-E17)/C17),0)</f>
        <v>0</v>
      </c>
      <c r="D16" s="3544" t="s">
        <v>2588</v>
      </c>
      <c r="E16" s="3545"/>
      <c r="F16" s="3544" t="s">
        <v>2585</v>
      </c>
      <c r="G16" s="3545"/>
      <c r="H16" s="2175" t="s">
        <v>2905</v>
      </c>
      <c r="I16" s="2175" t="s">
        <v>2906</v>
      </c>
      <c r="J16" s="2176" t="s">
        <v>2907</v>
      </c>
      <c r="K16" s="2175" t="s">
        <v>2908</v>
      </c>
      <c r="L16" s="2175" t="s">
        <v>2909</v>
      </c>
      <c r="M16" s="2175" t="s">
        <v>2972</v>
      </c>
      <c r="N16" s="2175" t="s">
        <v>2911</v>
      </c>
      <c r="O16" s="2177" t="s">
        <v>2910</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5.5" thickBot="1">
      <c r="A17" s="3532"/>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2970</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2"/>
      <c r="Q17" s="3052"/>
      <c r="R17" s="1623"/>
      <c r="S17" s="1623"/>
      <c r="T17" s="1623"/>
      <c r="U17" s="1623"/>
      <c r="V17" s="1623"/>
      <c r="W17" s="1623"/>
      <c r="X17" s="1623"/>
      <c r="Y17" s="1623"/>
      <c r="Z17" s="1623"/>
      <c r="AA17" s="1623"/>
      <c r="AB17" s="1623"/>
      <c r="AC17" s="1623"/>
      <c r="AD17" s="1623"/>
      <c r="AE17" s="1623"/>
      <c r="AF17" s="1623"/>
    </row>
    <row r="18" spans="1:35" s="2125" customFormat="1" ht="14.5" thickBot="1">
      <c r="A18" s="2183" t="s">
        <v>2590</v>
      </c>
      <c r="B18" s="1630" t="s">
        <v>2591</v>
      </c>
      <c r="C18" s="2184">
        <f>SUMIF(修正!C18:C39,E3,修正!E18:E39)</f>
        <v>1</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8.5" thickBot="1">
      <c r="A19" s="2183" t="s">
        <v>2592</v>
      </c>
      <c r="B19" s="1613" t="s">
        <v>2593</v>
      </c>
      <c r="C19" s="2189">
        <f>ROUND(IF(H19="按公示增长率计算",SUMPRODUCT((地价!A3:A33=YEAR(G19)&amp;"-"&amp;ROUNDUP(MONTH(G19)/3,0))*(地价!X2:AB2=E2)*(地价!X3:AB33)),IF(H19="地价指数",M20/M19,(1+I19)^O19)),4)</f>
        <v>1.6415999999999999</v>
      </c>
      <c r="D19" s="2190" t="s">
        <v>2594</v>
      </c>
      <c r="E19" s="2191">
        <v>41640</v>
      </c>
      <c r="F19" s="2190" t="s">
        <v>2595</v>
      </c>
      <c r="G19" s="2192">
        <f>'数据-取费表'!B2</f>
        <v>44062</v>
      </c>
      <c r="H19" s="2193" t="s">
        <v>2732</v>
      </c>
      <c r="I19" s="2194" t="str">
        <f>IF(H19="季度增幅（自定义）",SUMIF(N21:N24,E2,O21:O24),"")</f>
        <v/>
      </c>
      <c r="J19" s="2195"/>
      <c r="K19" s="3054"/>
      <c r="L19" s="2076" t="s">
        <v>2596</v>
      </c>
      <c r="M19" s="2196">
        <f>ROUND(SUMIF(地价!B2:F2,E2,地价!B33:F33),0)</f>
        <v>423</v>
      </c>
      <c r="N19" s="2197" t="s">
        <v>2597</v>
      </c>
      <c r="O19" s="2198">
        <f>ROUNDDOWN(DATEDIF(E19,G19,"M")/3,0)</f>
        <v>26</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8.5" thickBot="1">
      <c r="A20" s="1718" t="s">
        <v>2598</v>
      </c>
      <c r="B20" s="1614" t="s">
        <v>2599</v>
      </c>
      <c r="C20" s="2201">
        <f ca="1">ROUND(POWER(1+G20,J20-I20)*(POWER(1+G20,I20)-1)/(POWER(1+G20,J20)-1),4)</f>
        <v>1</v>
      </c>
      <c r="D20" s="2202" t="s">
        <v>2600</v>
      </c>
      <c r="E20" s="2203">
        <f ca="1">存贷款利率!D4/100</f>
        <v>4.3499999999999997E-2</v>
      </c>
      <c r="F20" s="2202" t="s">
        <v>2589</v>
      </c>
      <c r="G20" s="2204">
        <f ca="1">SUMIF(M26:P26,E2,M28:P28)</f>
        <v>0.05</v>
      </c>
      <c r="H20" s="2202" t="s">
        <v>2601</v>
      </c>
      <c r="I20" s="2205">
        <f>'数据-取费表'!B13</f>
        <v>70</v>
      </c>
      <c r="J20" s="2206">
        <f>IF(E2="住宅",70,IF(E2="商业",40,50))</f>
        <v>70</v>
      </c>
      <c r="K20" s="3054"/>
      <c r="L20" s="2207" t="s">
        <v>2602</v>
      </c>
      <c r="M20" s="2208">
        <f>ROUND(SUMPRODUCT((地价!A4:A33=YEAR(G19)&amp;"-"&amp;ROUNDUP(MONTH(G19)/3,0))*(地价!B2:F2=E2)*(地价!B4:F33)),0)</f>
        <v>694</v>
      </c>
      <c r="N20" s="2209" t="s">
        <v>2603</v>
      </c>
      <c r="O20" s="2210" t="s">
        <v>2604</v>
      </c>
      <c r="P20" s="2211" t="s">
        <v>2605</v>
      </c>
      <c r="Q20" s="3054"/>
      <c r="R20" s="3052"/>
      <c r="S20" s="3052"/>
      <c r="T20" s="3052"/>
      <c r="U20" s="3052"/>
      <c r="V20" s="3052"/>
      <c r="W20" s="3052"/>
      <c r="X20" s="1623"/>
      <c r="Y20" s="1623"/>
      <c r="Z20" s="1623"/>
      <c r="AA20" s="1623"/>
      <c r="AB20" s="1623"/>
      <c r="AC20" s="1623"/>
      <c r="AD20" s="1623"/>
      <c r="AE20" s="2188"/>
      <c r="AF20" s="2188"/>
    </row>
    <row r="21" spans="1:35" s="2125" customFormat="1" ht="14">
      <c r="A21" s="2212" t="s">
        <v>2606</v>
      </c>
      <c r="B21" s="1615" t="s">
        <v>2607</v>
      </c>
      <c r="C21" s="2213">
        <f>IF(B21="容积率修正",IF(G3&lt;=10,D22,J22),C23)</f>
        <v>1.0601</v>
      </c>
      <c r="D21" s="2214"/>
      <c r="E21" s="2214"/>
      <c r="F21" s="2214"/>
      <c r="G21" s="2214"/>
      <c r="H21" s="2214"/>
      <c r="I21" s="2214"/>
      <c r="J21" s="2077"/>
      <c r="K21" s="3054"/>
      <c r="L21" s="3054"/>
      <c r="M21" s="3054"/>
      <c r="N21" s="2215" t="s">
        <v>2608</v>
      </c>
      <c r="O21" s="2216"/>
      <c r="P21" s="2217">
        <f>SUMPRODUCT((地价!A3:A33=YEAR(G19)&amp;"-"&amp;ROUNDUP(MONTH(G19)/3,0))*(地价!AD2:AH2=N21)*(地价!AD3:AH33))</f>
        <v>1.1900000000000001E-2</v>
      </c>
      <c r="Q21" s="3054"/>
      <c r="R21" s="3052"/>
      <c r="S21" s="3052"/>
      <c r="T21" s="3052"/>
      <c r="U21" s="3052"/>
      <c r="V21" s="3052"/>
      <c r="W21" s="3052"/>
      <c r="X21" s="1623"/>
      <c r="Y21" s="1623"/>
      <c r="Z21" s="1623"/>
      <c r="AA21" s="1623"/>
      <c r="AB21" s="1623"/>
      <c r="AC21" s="1623"/>
      <c r="AD21" s="1623"/>
      <c r="AE21" s="2188"/>
      <c r="AF21" s="2188"/>
    </row>
    <row r="22" spans="1:35" s="2125" customFormat="1" ht="14.5">
      <c r="A22" s="2073">
        <v>1</v>
      </c>
      <c r="B22" s="2072" t="s">
        <v>2609</v>
      </c>
      <c r="C22" s="2072" t="s">
        <v>2610</v>
      </c>
      <c r="D22" s="2072">
        <f>IF(E22=G22,F22,IF(G3&lt;=10,ROUND(F22+(H22-F22)*(G3-E22)/(G22-E22),4),"——"))</f>
        <v>1.0601</v>
      </c>
      <c r="E22" s="2116">
        <f>ROUNDDOWN(G3,1)</f>
        <v>2</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1.0601</v>
      </c>
      <c r="G22" s="2116">
        <f>ROUNDUP(G3,1)</f>
        <v>2</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2072" t="s">
        <v>104</v>
      </c>
      <c r="J22" s="2218" t="str">
        <f>IF(G3&gt;10,D113,"——")</f>
        <v>——</v>
      </c>
      <c r="K22" s="3054"/>
      <c r="L22" s="3054"/>
      <c r="M22" s="3054"/>
      <c r="N22" s="2215" t="s">
        <v>2611</v>
      </c>
      <c r="O22" s="2216"/>
      <c r="P22" s="2217">
        <f>SUMPRODUCT((地价!A3:A33=YEAR(G19)&amp;"-"&amp;ROUNDUP(MONTH(G19)/3,0))*(地价!AD2:AH2=N22)*(地价!AD3:AH33))</f>
        <v>1.1900000000000001E-2</v>
      </c>
      <c r="Q22" s="3054"/>
      <c r="R22" s="3052"/>
      <c r="S22" s="3052"/>
      <c r="T22" s="3052"/>
      <c r="U22" s="3052"/>
      <c r="V22" s="3052"/>
      <c r="W22" s="3052"/>
      <c r="X22" s="1623"/>
      <c r="Y22" s="1623"/>
      <c r="Z22" s="1623"/>
      <c r="AA22" s="1623"/>
      <c r="AB22" s="1623"/>
      <c r="AC22" s="1623"/>
      <c r="AD22" s="1623"/>
      <c r="AE22" s="2188"/>
      <c r="AF22" s="2188"/>
    </row>
    <row r="23" spans="1:35" ht="28">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2613</v>
      </c>
      <c r="O23" s="2216"/>
      <c r="P23" s="2217">
        <f>SUMPRODUCT((地价!A3:A33=YEAR(G19)&amp;"-"&amp;ROUNDUP(MONTH(G19)/3,0))*(地价!AD2:AH2=N23)*(地价!AD3:AH33))</f>
        <v>1.9900000000000001E-2</v>
      </c>
      <c r="Q23" s="3052"/>
      <c r="R23" s="3052"/>
      <c r="S23" s="3052"/>
      <c r="T23" s="3052"/>
      <c r="U23" s="3052"/>
      <c r="V23" s="3052"/>
      <c r="W23" s="3052"/>
      <c r="X23" s="1623"/>
      <c r="Y23" s="1623"/>
      <c r="Z23" s="1623"/>
      <c r="AA23" s="1623"/>
      <c r="AB23" s="1623"/>
      <c r="AC23" s="1623"/>
      <c r="AD23" s="1623"/>
      <c r="AE23" s="1623"/>
      <c r="AF23" s="1623"/>
    </row>
    <row r="24" spans="1:35" s="2125" customFormat="1" ht="14.5" thickBot="1">
      <c r="A24" s="2222" t="s">
        <v>2614</v>
      </c>
      <c r="B24" s="1617" t="s">
        <v>2615</v>
      </c>
      <c r="C24" s="2223">
        <f>SUMIF(A46:A88,E2,B46:B88)</f>
        <v>1.1140000000000001</v>
      </c>
      <c r="D24" s="2224"/>
      <c r="E24" s="2225"/>
      <c r="F24" s="2225"/>
      <c r="G24" s="2225"/>
      <c r="H24" s="2225"/>
      <c r="I24" s="2225"/>
      <c r="J24" s="2226"/>
      <c r="K24" s="3054"/>
      <c r="L24" s="3054"/>
      <c r="M24" s="3054"/>
      <c r="N24" s="2227" t="s">
        <v>2616</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4.5" thickBot="1">
      <c r="A25" s="1718" t="s">
        <v>2617</v>
      </c>
      <c r="B25" s="1618" t="s">
        <v>2618</v>
      </c>
      <c r="C25" s="2230"/>
      <c r="D25" s="2134"/>
      <c r="E25" s="2134"/>
      <c r="F25" s="2231"/>
      <c r="G25" s="2134"/>
      <c r="H25" s="2134"/>
      <c r="I25" s="2134"/>
      <c r="J25" s="2135"/>
      <c r="K25" s="3052"/>
      <c r="L25" s="3052"/>
      <c r="M25" s="3052"/>
      <c r="N25" s="3055" t="s">
        <v>2619</v>
      </c>
      <c r="O25" s="3056"/>
      <c r="P25" s="3057">
        <f>SUMPRODUCT((地价!A3:A33=YEAR(G19)&amp;"-"&amp;ROUNDUP(MONTH(G19)/3,0))*(地价!AD2:AH2=N25)*(地价!AD3:AH33))</f>
        <v>1.8100000000000002E-2</v>
      </c>
      <c r="Q25" s="3052"/>
      <c r="R25" s="3052"/>
      <c r="S25" s="3052"/>
      <c r="T25" s="3052"/>
      <c r="U25" s="3052"/>
      <c r="V25" s="3052"/>
      <c r="W25" s="3052"/>
      <c r="X25" s="1623"/>
      <c r="Y25" s="1623"/>
      <c r="Z25" s="1623"/>
      <c r="AA25" s="1623"/>
      <c r="AB25" s="1623"/>
      <c r="AC25" s="1623"/>
      <c r="AD25" s="1623"/>
      <c r="AE25" s="1623"/>
      <c r="AF25" s="1623"/>
    </row>
    <row r="26" spans="1:35" ht="14">
      <c r="A26" s="1703"/>
      <c r="B26" s="2072" t="s">
        <v>2620</v>
      </c>
      <c r="C26" s="2892">
        <f ca="1">IF(B21="容积率修正",E29+SUM(E33:E39),SUM(V2:V16)+SUM(E33:E39))</f>
        <v>1093258</v>
      </c>
      <c r="D26" s="2232"/>
      <c r="E26" s="2169"/>
      <c r="F26" s="1478"/>
      <c r="G26" s="2169"/>
      <c r="H26" s="2169"/>
      <c r="I26" s="2169"/>
      <c r="J26" s="2233"/>
      <c r="K26" s="3052"/>
      <c r="L26" s="3058" t="s">
        <v>2579</v>
      </c>
      <c r="M26" s="2132" t="s">
        <v>2580</v>
      </c>
      <c r="N26" s="2132" t="s">
        <v>2581</v>
      </c>
      <c r="O26" s="2132" t="s">
        <v>2582</v>
      </c>
      <c r="P26" s="3059" t="s">
        <v>2583</v>
      </c>
      <c r="Q26" s="3052"/>
      <c r="R26" s="3052"/>
      <c r="S26" s="3052"/>
      <c r="T26" s="3052"/>
      <c r="U26" s="3052"/>
      <c r="V26" s="3052"/>
      <c r="W26" s="3052"/>
      <c r="X26" s="1623"/>
      <c r="Y26" s="1623"/>
      <c r="Z26" s="1623"/>
      <c r="AA26" s="1623"/>
      <c r="AB26" s="1623"/>
      <c r="AC26" s="1623"/>
      <c r="AD26" s="1623"/>
      <c r="AE26" s="1623"/>
      <c r="AF26" s="1623"/>
    </row>
    <row r="27" spans="1:35" ht="14.5" thickBot="1">
      <c r="A27" s="1703"/>
      <c r="B27" s="1619" t="s">
        <v>2621</v>
      </c>
      <c r="C27" s="2234">
        <f ca="1">E30+SUM(I33:I39)</f>
        <v>0</v>
      </c>
      <c r="D27" s="2181"/>
      <c r="E27" s="2235"/>
      <c r="F27" s="2236"/>
      <c r="G27" s="2235"/>
      <c r="H27" s="2235"/>
      <c r="I27" s="2235"/>
      <c r="J27" s="2237"/>
      <c r="K27" s="3052"/>
      <c r="L27" s="2238" t="s">
        <v>2586</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4.5" thickBot="1">
      <c r="A28" s="1718"/>
      <c r="B28" s="2240" t="s">
        <v>2622</v>
      </c>
      <c r="C28" s="2241" t="s">
        <v>2623</v>
      </c>
      <c r="D28" s="2241" t="s">
        <v>2624</v>
      </c>
      <c r="E28" s="1618" t="s">
        <v>2625</v>
      </c>
      <c r="F28" s="2242"/>
      <c r="G28" s="2156"/>
      <c r="H28" s="2156"/>
      <c r="I28" s="2156"/>
      <c r="J28" s="2157"/>
      <c r="K28" s="3052"/>
      <c r="L28" s="2243" t="s">
        <v>2589</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6">
      <c r="A29" s="2245"/>
      <c r="B29" s="1620" t="s">
        <v>2626</v>
      </c>
      <c r="C29" s="54">
        <f ca="1">ROUND(C5*C18*C19*C20*C21*C24,0)</f>
        <v>19910</v>
      </c>
      <c r="D29" s="2246">
        <v>54.91</v>
      </c>
      <c r="E29" s="2031">
        <f ca="1">ROUND(C29*D29,0)</f>
        <v>1093258</v>
      </c>
      <c r="F29" s="2247" t="s">
        <v>2627</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6.5" thickBot="1">
      <c r="A30" s="2250"/>
      <c r="B30" s="1621" t="s">
        <v>2628</v>
      </c>
      <c r="C30" s="2172">
        <f ca="1">ROUND(IF(E2="工业",C29*M39,C29*M38),0)</f>
        <v>4978</v>
      </c>
      <c r="D30" s="2251"/>
      <c r="E30" s="2031">
        <f ca="1">ROUND(C30*D30,0)</f>
        <v>0</v>
      </c>
      <c r="F30" s="2252" t="s">
        <v>2629</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ht="13">
      <c r="A31" s="2255"/>
      <c r="B31" s="1622" t="s">
        <v>2630</v>
      </c>
      <c r="C31" s="2256" t="s">
        <v>2631</v>
      </c>
      <c r="D31" s="2156"/>
      <c r="E31" s="2256"/>
      <c r="F31" s="2256"/>
      <c r="G31" s="2155" t="s">
        <v>2632</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6">
      <c r="A32" s="2245"/>
      <c r="B32" s="2258"/>
      <c r="C32" s="1811" t="s">
        <v>2623</v>
      </c>
      <c r="D32" s="1808" t="s">
        <v>2624</v>
      </c>
      <c r="E32" s="1808" t="s">
        <v>2625</v>
      </c>
      <c r="F32" s="50" t="s">
        <v>2633</v>
      </c>
      <c r="G32" s="2219" t="s">
        <v>2623</v>
      </c>
      <c r="H32" s="2219" t="s">
        <v>2624</v>
      </c>
      <c r="I32" s="2219" t="s">
        <v>2625</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ht="13">
      <c r="A33" s="3541" t="s">
        <v>2634</v>
      </c>
      <c r="B33" s="2259" t="s">
        <v>2635</v>
      </c>
      <c r="C33" s="54">
        <f ca="1">ROUND(D5*C19*C20*C24*F33,0)</f>
        <v>9959</v>
      </c>
      <c r="D33" s="2246"/>
      <c r="E33" s="50">
        <f t="shared" ref="E33:E39" ca="1" si="6">ROUND(C33*D33,0)</f>
        <v>0</v>
      </c>
      <c r="F33" s="50">
        <f>SUMIF(修正!A45:A56,G2,修正!B45:B56)</f>
        <v>0.7</v>
      </c>
      <c r="G33" s="50">
        <f t="shared" ref="G33" ca="1" si="7">ROUND(IF(E2="工业",C33*$M$39,C33*$M$38),0)</f>
        <v>2490</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ht="13">
      <c r="A34" s="3542"/>
      <c r="B34" s="2162" t="s">
        <v>2636</v>
      </c>
      <c r="C34" s="54">
        <f ca="1">ROUND(D5*C19*C20*C24*F34,0)</f>
        <v>5691</v>
      </c>
      <c r="D34" s="2246"/>
      <c r="E34" s="50">
        <f t="shared" ca="1" si="6"/>
        <v>0</v>
      </c>
      <c r="F34" s="50">
        <f>SUMIF(修正!A45:A56,G2,修正!C45:C56)</f>
        <v>0.4</v>
      </c>
      <c r="G34" s="50">
        <f ca="1">ROUND(IF(E2="工业",C34*$M$39,C34*$M$38),0)</f>
        <v>1423</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ht="13">
      <c r="A35" s="3542"/>
      <c r="B35" s="2162" t="s">
        <v>2637</v>
      </c>
      <c r="C35" s="54">
        <f ca="1">ROUND(D5*C19*C20*C24*F35,0)</f>
        <v>3984</v>
      </c>
      <c r="D35" s="2246"/>
      <c r="E35" s="50">
        <f t="shared" ca="1" si="6"/>
        <v>0</v>
      </c>
      <c r="F35" s="50">
        <f>SUMIF(修正!A45:A56,G2,修正!D45:D56)</f>
        <v>0.28000000000000003</v>
      </c>
      <c r="G35" s="50">
        <f ca="1">ROUND(IF(E2="工业",C35*$M$39,C35*$M$38),0)</f>
        <v>996</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43"/>
      <c r="B36" s="2162" t="s">
        <v>2638</v>
      </c>
      <c r="C36" s="54">
        <f ca="1">ROUND(D5*C19*C20*C24*F36,0)</f>
        <v>3557</v>
      </c>
      <c r="D36" s="2246"/>
      <c r="E36" s="50">
        <f t="shared" ca="1" si="6"/>
        <v>0</v>
      </c>
      <c r="F36" s="50">
        <f>SUMIF(修正!A45:A56,G2,修正!E45:E56)</f>
        <v>0.25</v>
      </c>
      <c r="G36" s="50">
        <f ca="1">ROUND(IF(E2="工业",C36*$M$39,C36*$M$38),0)</f>
        <v>889</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ht="13">
      <c r="A37" s="2260"/>
      <c r="B37" s="2162" t="s">
        <v>2639</v>
      </c>
      <c r="C37" s="50">
        <f ca="1">ROUND(D5*C19*C20*C24*F37,0)</f>
        <v>3557</v>
      </c>
      <c r="D37" s="2246"/>
      <c r="E37" s="50">
        <f t="shared" ca="1" si="6"/>
        <v>0</v>
      </c>
      <c r="F37" s="54">
        <f>SUMIF(修正!A45:A56,G2,修正!F45:F56)</f>
        <v>0.25</v>
      </c>
      <c r="G37" s="50">
        <f ca="1">ROUND(IF(E2="工业",C37*$M$39,C37*$M$38),0)</f>
        <v>889</v>
      </c>
      <c r="H37" s="50">
        <f t="shared" si="9"/>
        <v>0</v>
      </c>
      <c r="I37" s="50">
        <f t="shared" ca="1" si="8"/>
        <v>0</v>
      </c>
      <c r="J37" s="2233"/>
      <c r="K37" s="3052"/>
      <c r="L37" s="2261" t="s">
        <v>2640</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ht="1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2"/>
      <c r="L38" s="2262" t="s">
        <v>2642</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2"/>
      <c r="L39" s="2265" t="s">
        <v>2583</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ht="26">
      <c r="A41" s="1623"/>
      <c r="B41" s="2268" t="s">
        <v>2723</v>
      </c>
      <c r="C41" s="50">
        <f ca="1">ROUND(POWER(1+E41,H41-G41)*(POWER(1+E41,G41)-1)/(POWER(1+E41,H41)-1),4)</f>
        <v>0</v>
      </c>
      <c r="D41" s="50" t="s">
        <v>2721</v>
      </c>
      <c r="E41" s="2269">
        <f ca="1">G20</f>
        <v>0.05</v>
      </c>
      <c r="F41" s="50" t="s">
        <v>2722</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4.5" thickBot="1">
      <c r="A45" s="2271" t="s">
        <v>2644</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4" hidden="1">
      <c r="A46" s="2273" t="s">
        <v>2645</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6"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50"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87.5" hidden="1">
      <c r="A49" s="2280" t="s">
        <v>2661</v>
      </c>
      <c r="B49" s="2292" t="str">
        <f>估价对象房地状况!C18</f>
        <v>估价对象周边有昌11路、昌21路、昌52路、昌59路等多条公交线路。以估价对象为圆心，半径1000米范围内有地铁昌平线昌平地铁站，交通便捷程度好。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6"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52"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6" hidden="1">
      <c r="A52" s="2280" t="s">
        <v>2665</v>
      </c>
      <c r="B52" s="2292" t="str">
        <f>估价对象房地状况!C24</f>
        <v>城市支路—通福桥胡同</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6"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6"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6" hidden="1">
      <c r="A55" s="2296" t="s">
        <v>2669</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88" hidden="1" thickBot="1">
      <c r="A56" s="2298" t="s">
        <v>2670</v>
      </c>
      <c r="B56" s="2299" t="str">
        <f>估价对象房地状况!C20</f>
        <v xml:space="preserve">自然环境：昌平公园、北山公园等自然景观；
人文环境：中国石油大学、中国政法大学昌平校区等人文场所；
综合评价环境状况好。
</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4" hidden="1">
      <c r="A57" s="2273" t="s">
        <v>2671</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6"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50"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87.5" hidden="1">
      <c r="A60" s="2280" t="s">
        <v>2661</v>
      </c>
      <c r="B60" s="2292" t="str">
        <f>估价对象房地状况!C18</f>
        <v>估价对象周边有昌11路、昌21路、昌52路、昌59路等多条公交线路。以估价对象为圆心，半径1000米范围内有地铁昌平线昌平地铁站，交通便捷程度好。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6"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52"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6" hidden="1">
      <c r="A63" s="2280" t="s">
        <v>2665</v>
      </c>
      <c r="B63" s="2292" t="str">
        <f>估价对象房地状况!C24</f>
        <v>城市支路—通福桥胡同</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6"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6"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6" hidden="1">
      <c r="A66" s="2280" t="s">
        <v>2669</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88" hidden="1" thickBot="1">
      <c r="A67" s="2298" t="s">
        <v>2670</v>
      </c>
      <c r="B67" s="2303" t="str">
        <f>估价对象房地状况!C20</f>
        <v xml:space="preserve">自然环境：昌平公园、北山公园等自然景观；
人文环境：中国石油大学、中国政法大学昌平校区等人文场所；
综合评价环境状况好。
</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4">
      <c r="A68" s="2273" t="s">
        <v>2676</v>
      </c>
      <c r="B68" s="2302">
        <f>1+E70</f>
        <v>1.1140000000000001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6">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62.5">
      <c r="A70" s="2280" t="s">
        <v>2677</v>
      </c>
      <c r="B70" s="2284" t="str">
        <f>估价对象房地状况!C15</f>
        <v>估价对象周边有西环里、安福苑、燕平家园、和平家园小区等住宅项目，居住社区成熟度好。</v>
      </c>
      <c r="C70" s="2166" t="s">
        <v>29</v>
      </c>
      <c r="D70" s="2285">
        <f t="shared" ref="D70:D78" si="20">SUMIF($J$69:$N$69,C70,J70:N70)</f>
        <v>1.7399999999999999E-2</v>
      </c>
      <c r="E70" s="2286">
        <f>ROUND(SUM(D70:D78),4)</f>
        <v>0.114</v>
      </c>
      <c r="F70" s="2287">
        <f>IF(E2="住宅",SUMIF(L1:L12,G2,N1:N12),"——")</f>
        <v>0.125</v>
      </c>
      <c r="G70" s="2288">
        <f>H70</f>
        <v>8.6999999999999994E-3</v>
      </c>
      <c r="H70" s="2289">
        <f t="shared" ref="H70:H78" si="21">IFERROR(ROUNDDOWN($F$70*I70/2,4),"——")</f>
        <v>8.6999999999999994E-3</v>
      </c>
      <c r="I70" s="2290">
        <v>0.14000000000000001</v>
      </c>
      <c r="J70" s="2291">
        <f t="shared" ref="J70:J78" si="22">K70+$G70</f>
        <v>1.7399999999999999E-2</v>
      </c>
      <c r="K70" s="2291">
        <f t="shared" ref="K70:K78" si="23">$L70+$G70</f>
        <v>8.6999999999999994E-3</v>
      </c>
      <c r="L70" s="2291">
        <v>0</v>
      </c>
      <c r="M70" s="2291">
        <f t="shared" ref="M70:N78" si="24">L70-$G70</f>
        <v>-8.6999999999999994E-3</v>
      </c>
      <c r="N70" s="2291">
        <f t="shared" si="24"/>
        <v>-1.7399999999999999E-2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90.65" customHeight="1">
      <c r="A71" s="2280" t="s">
        <v>2661</v>
      </c>
      <c r="B71" s="2292" t="str">
        <f>估价对象房地状况!C18</f>
        <v>估价对象周边有昌11路、昌21路、昌52路、昌59路等多条公交线路。以估价对象为圆心，半径1000米范围内有地铁昌平线昌平地铁站，交通便捷程度好。</v>
      </c>
      <c r="C71" s="2166" t="s">
        <v>29</v>
      </c>
      <c r="D71" s="2285">
        <f t="shared" si="20"/>
        <v>3.7400000000000003E-2</v>
      </c>
      <c r="E71" s="2293"/>
      <c r="F71" s="2287"/>
      <c r="G71" s="2288">
        <f t="shared" ref="G71:G78" si="25">H71</f>
        <v>1.8700000000000001E-2</v>
      </c>
      <c r="H71" s="2289">
        <f t="shared" si="21"/>
        <v>1.8700000000000001E-2</v>
      </c>
      <c r="I71" s="2290">
        <v>0.3</v>
      </c>
      <c r="J71" s="2291">
        <f t="shared" si="22"/>
        <v>3.7400000000000003E-2</v>
      </c>
      <c r="K71" s="2291">
        <f t="shared" si="23"/>
        <v>1.8700000000000001E-2</v>
      </c>
      <c r="L71" s="2291">
        <v>0</v>
      </c>
      <c r="M71" s="2291">
        <f t="shared" si="24"/>
        <v>-1.8700000000000001E-2</v>
      </c>
      <c r="N71" s="2291">
        <f t="shared" si="24"/>
        <v>-3.7400000000000003E-2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6">
      <c r="A72" s="2280" t="s">
        <v>2662</v>
      </c>
      <c r="B72" s="2292">
        <f>估价对象房地状况!C19</f>
        <v>0</v>
      </c>
      <c r="C72" s="2166" t="s">
        <v>29</v>
      </c>
      <c r="D72" s="2285">
        <f t="shared" si="20"/>
        <v>0.01</v>
      </c>
      <c r="E72" s="2293"/>
      <c r="F72" s="2287"/>
      <c r="G72" s="2288">
        <f t="shared" si="25"/>
        <v>5.0000000000000001E-3</v>
      </c>
      <c r="H72" s="2289">
        <f t="shared" si="21"/>
        <v>5.0000000000000001E-3</v>
      </c>
      <c r="I72" s="2290">
        <v>0.08</v>
      </c>
      <c r="J72" s="2291">
        <f t="shared" si="22"/>
        <v>0.01</v>
      </c>
      <c r="K72" s="2291">
        <f t="shared" si="23"/>
        <v>5.0000000000000001E-3</v>
      </c>
      <c r="L72" s="2291">
        <v>0</v>
      </c>
      <c r="M72" s="2291">
        <f t="shared" si="24"/>
        <v>-5.0000000000000001E-3</v>
      </c>
      <c r="N72" s="2291">
        <f t="shared" si="24"/>
        <v>-0.01</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
      <c r="A73" s="2280" t="s">
        <v>2678</v>
      </c>
      <c r="B73" s="2292" t="str">
        <f>估价对象房地状况!C24</f>
        <v>城市支路—通福桥胡同</v>
      </c>
      <c r="C73" s="2166" t="s">
        <v>31</v>
      </c>
      <c r="D73" s="2285">
        <f t="shared" si="20"/>
        <v>0</v>
      </c>
      <c r="E73" s="2293"/>
      <c r="F73" s="2287"/>
      <c r="G73" s="2288">
        <f t="shared" si="25"/>
        <v>2.5000000000000001E-3</v>
      </c>
      <c r="H73" s="2289">
        <f t="shared" si="21"/>
        <v>2.5000000000000001E-3</v>
      </c>
      <c r="I73" s="2290">
        <v>0.04</v>
      </c>
      <c r="J73" s="2291">
        <f t="shared" si="22"/>
        <v>5.0000000000000001E-3</v>
      </c>
      <c r="K73" s="2291">
        <f t="shared" si="23"/>
        <v>2.5000000000000001E-3</v>
      </c>
      <c r="L73" s="2291">
        <v>0</v>
      </c>
      <c r="M73" s="2291">
        <f t="shared" si="24"/>
        <v>-2.5000000000000001E-3</v>
      </c>
      <c r="N73" s="2291">
        <f t="shared" si="24"/>
        <v>-5.0000000000000001E-3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6">
      <c r="A74" s="2280" t="s">
        <v>2668</v>
      </c>
      <c r="B74" s="2297" t="str">
        <f>估价对象房地状况!C21</f>
        <v>估价对象所在区域公共配套设施齐备情况</v>
      </c>
      <c r="C74" s="2166" t="s">
        <v>29</v>
      </c>
      <c r="D74" s="2285">
        <f t="shared" si="20"/>
        <v>0.01</v>
      </c>
      <c r="E74" s="2293"/>
      <c r="F74" s="2287"/>
      <c r="G74" s="2288">
        <f t="shared" si="25"/>
        <v>5.0000000000000001E-3</v>
      </c>
      <c r="H74" s="2289">
        <f t="shared" si="21"/>
        <v>5.0000000000000001E-3</v>
      </c>
      <c r="I74" s="2290">
        <v>0.08</v>
      </c>
      <c r="J74" s="2291">
        <f t="shared" si="22"/>
        <v>0.01</v>
      </c>
      <c r="K74" s="2291">
        <f t="shared" si="23"/>
        <v>5.0000000000000001E-3</v>
      </c>
      <c r="L74" s="2291">
        <v>0</v>
      </c>
      <c r="M74" s="2291">
        <f t="shared" si="24"/>
        <v>-5.0000000000000001E-3</v>
      </c>
      <c r="N74" s="2291">
        <f t="shared" si="24"/>
        <v>-0.01</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6">
      <c r="A75" s="2280" t="s">
        <v>2669</v>
      </c>
      <c r="B75" s="2297" t="str">
        <f>估价对象房地状况!C22</f>
        <v>估价对象所在区域基础设施水平</v>
      </c>
      <c r="C75" s="2166" t="s">
        <v>29</v>
      </c>
      <c r="D75" s="2285">
        <f t="shared" si="20"/>
        <v>1.4999999999999999E-2</v>
      </c>
      <c r="E75" s="2293"/>
      <c r="F75" s="2287"/>
      <c r="G75" s="2288">
        <f t="shared" si="25"/>
        <v>7.4999999999999997E-3</v>
      </c>
      <c r="H75" s="2289">
        <f t="shared" si="21"/>
        <v>7.4999999999999997E-3</v>
      </c>
      <c r="I75" s="2290">
        <v>0.12</v>
      </c>
      <c r="J75" s="2291">
        <f t="shared" si="22"/>
        <v>1.4999999999999999E-2</v>
      </c>
      <c r="K75" s="2291">
        <f t="shared" si="23"/>
        <v>7.4999999999999997E-3</v>
      </c>
      <c r="L75" s="2291">
        <v>0</v>
      </c>
      <c r="M75" s="2291">
        <f t="shared" si="24"/>
        <v>-7.4999999999999997E-3</v>
      </c>
      <c r="N75" s="2291">
        <f t="shared" si="24"/>
        <v>-1.4999999999999999E-2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6">
      <c r="A76" s="2280" t="s">
        <v>2666</v>
      </c>
      <c r="B76" s="2295" t="s">
        <v>2667</v>
      </c>
      <c r="C76" s="2166" t="s">
        <v>30</v>
      </c>
      <c r="D76" s="2285">
        <f t="shared" si="20"/>
        <v>3.0999999999999999E-3</v>
      </c>
      <c r="E76" s="2293"/>
      <c r="F76" s="2287"/>
      <c r="G76" s="2288">
        <f t="shared" si="25"/>
        <v>3.0999999999999999E-3</v>
      </c>
      <c r="H76" s="2289">
        <f t="shared" si="21"/>
        <v>3.0999999999999999E-3</v>
      </c>
      <c r="I76" s="2290">
        <v>0.05</v>
      </c>
      <c r="J76" s="2291">
        <f t="shared" si="22"/>
        <v>6.1999999999999998E-3</v>
      </c>
      <c r="K76" s="2291">
        <f t="shared" si="23"/>
        <v>3.0999999999999999E-3</v>
      </c>
      <c r="L76" s="2291">
        <v>0</v>
      </c>
      <c r="M76" s="2291">
        <f t="shared" si="24"/>
        <v>-3.0999999999999999E-3</v>
      </c>
      <c r="N76" s="2291">
        <f t="shared" si="24"/>
        <v>-6.1999999999999998E-3</v>
      </c>
      <c r="Q76" s="3060"/>
      <c r="R76" s="3060"/>
      <c r="S76" s="3060"/>
      <c r="T76" s="3060"/>
      <c r="U76" s="3060"/>
      <c r="V76" s="3060"/>
      <c r="W76" s="3060"/>
      <c r="AA76" s="1624"/>
      <c r="AG76" s="2267"/>
    </row>
    <row r="77" spans="1:33" ht="87.5">
      <c r="A77" s="2280" t="s">
        <v>2670</v>
      </c>
      <c r="B77" s="2284" t="str">
        <f>估价对象房地状况!C20</f>
        <v xml:space="preserve">自然环境：昌平公园、北山公园等自然景观；
人文环境：中国石油大学、中国政法大学昌平校区等人文场所；
综合评价环境状况好。
</v>
      </c>
      <c r="C77" s="2166" t="s">
        <v>29</v>
      </c>
      <c r="D77" s="2285">
        <f t="shared" si="20"/>
        <v>1.8599999999999998E-2</v>
      </c>
      <c r="E77" s="2293"/>
      <c r="F77" s="2287"/>
      <c r="G77" s="2288">
        <f t="shared" si="25"/>
        <v>9.2999999999999992E-3</v>
      </c>
      <c r="H77" s="2289">
        <f t="shared" si="21"/>
        <v>9.2999999999999992E-3</v>
      </c>
      <c r="I77" s="2290">
        <v>0.15</v>
      </c>
      <c r="J77" s="2291">
        <f t="shared" si="22"/>
        <v>1.8599999999999998E-2</v>
      </c>
      <c r="K77" s="2291">
        <f t="shared" si="23"/>
        <v>9.2999999999999992E-3</v>
      </c>
      <c r="L77" s="2291">
        <v>0</v>
      </c>
      <c r="M77" s="2291">
        <f t="shared" si="24"/>
        <v>-9.2999999999999992E-3</v>
      </c>
      <c r="N77" s="2291">
        <f t="shared" si="24"/>
        <v>-1.8599999999999998E-2</v>
      </c>
      <c r="Q77" s="3060"/>
      <c r="R77" s="3060"/>
      <c r="S77" s="3060"/>
      <c r="T77" s="3060"/>
      <c r="U77" s="3060"/>
      <c r="V77" s="3060"/>
      <c r="W77" s="3060"/>
      <c r="AA77" s="1624"/>
      <c r="AG77" s="2267"/>
    </row>
    <row r="78" spans="1:33" ht="26.5" thickBot="1">
      <c r="A78" s="2298" t="s">
        <v>2679</v>
      </c>
      <c r="B78" s="2304"/>
      <c r="C78" s="2166" t="s">
        <v>30</v>
      </c>
      <c r="D78" s="2285">
        <f t="shared" si="20"/>
        <v>2.5000000000000001E-3</v>
      </c>
      <c r="E78" s="2300"/>
      <c r="F78" s="2287"/>
      <c r="G78" s="2288">
        <f t="shared" si="25"/>
        <v>2.5000000000000001E-3</v>
      </c>
      <c r="H78" s="2289">
        <f t="shared" si="21"/>
        <v>2.5000000000000001E-3</v>
      </c>
      <c r="I78" s="2301">
        <v>0.04</v>
      </c>
      <c r="J78" s="2291">
        <f t="shared" si="22"/>
        <v>5.0000000000000001E-3</v>
      </c>
      <c r="K78" s="2291">
        <f t="shared" si="23"/>
        <v>2.5000000000000001E-3</v>
      </c>
      <c r="L78" s="2291">
        <v>0</v>
      </c>
      <c r="M78" s="2291">
        <f t="shared" si="24"/>
        <v>-2.5000000000000001E-3</v>
      </c>
      <c r="N78" s="2291">
        <f t="shared" si="24"/>
        <v>-5.0000000000000001E-3</v>
      </c>
      <c r="Q78" s="3060"/>
      <c r="R78" s="3060"/>
      <c r="S78" s="3060"/>
      <c r="T78" s="3060"/>
      <c r="U78" s="3060"/>
      <c r="V78" s="3060"/>
      <c r="W78" s="3060"/>
      <c r="AA78" s="1624"/>
      <c r="AG78" s="2267"/>
    </row>
    <row r="79" spans="1:33" ht="14" hidden="1">
      <c r="A79" s="2273" t="s">
        <v>2680</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6"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0"/>
      <c r="R80" s="3060"/>
      <c r="S80" s="3060"/>
      <c r="T80" s="3060"/>
      <c r="U80" s="3060"/>
      <c r="V80" s="3060"/>
      <c r="W80" s="3060"/>
      <c r="AA80" s="1624"/>
      <c r="AG80" s="2267"/>
    </row>
    <row r="81" spans="1:33" ht="37.5" hidden="1">
      <c r="A81" s="2280" t="s">
        <v>2681</v>
      </c>
      <c r="B81" s="2292" t="str">
        <f>估价对象房地状况!G15</f>
        <v>估价对象位于XX开发区，园区建设成熟度XX，产业集聚程度XX</v>
      </c>
      <c r="C81" s="2166"/>
      <c r="D81" s="2285">
        <f t="shared" ref="D81:D88" si="26">SUMIF($J$80:$N$80,C81,J81:N81)</f>
        <v>0</v>
      </c>
      <c r="E81" s="2286">
        <f>ROUND(SUM(D81:D88),4)</f>
        <v>0</v>
      </c>
      <c r="F81" s="2287" t="str">
        <f>IF(E2="工业",SUMIF(L1:L12,G2,N1:N12),"——")</f>
        <v>——</v>
      </c>
      <c r="G81" s="2288"/>
      <c r="H81" s="2289" t="str">
        <f t="shared" ref="H81:H88" si="27">IFERROR(ROUNDDOWN($F$81*I81/2,4),"——")</f>
        <v>——</v>
      </c>
      <c r="I81" s="2290">
        <v>0.26</v>
      </c>
      <c r="J81" s="2291">
        <f t="shared" ref="J81:J88" si="28">K81+$G81</f>
        <v>0</v>
      </c>
      <c r="K81" s="2291">
        <f t="shared" ref="K81:K88" si="29">$L81+$G81</f>
        <v>0</v>
      </c>
      <c r="L81" s="2291">
        <v>0</v>
      </c>
      <c r="M81" s="2291">
        <f t="shared" ref="M81:N88" si="30">L81-$G81</f>
        <v>0</v>
      </c>
      <c r="N81" s="2291">
        <f t="shared" si="30"/>
        <v>0</v>
      </c>
      <c r="Q81" s="3060"/>
      <c r="R81" s="3060"/>
      <c r="S81" s="3060"/>
      <c r="T81" s="3060"/>
      <c r="U81" s="3060"/>
      <c r="V81" s="3060"/>
      <c r="W81" s="3060"/>
      <c r="AA81" s="1624"/>
      <c r="AG81" s="2267"/>
    </row>
    <row r="82" spans="1:33" ht="50" hidden="1">
      <c r="A82" s="2280" t="s">
        <v>2661</v>
      </c>
      <c r="B82" s="2292" t="str">
        <f>估价对象房地状况!G16</f>
        <v>估价对象周边道路状况、公共交通通达情况、停车便捷程度，综合评价交通便捷度较好</v>
      </c>
      <c r="C82" s="2166"/>
      <c r="D82" s="2285">
        <f t="shared" si="26"/>
        <v>0</v>
      </c>
      <c r="E82" s="2293"/>
      <c r="F82" s="2287"/>
      <c r="G82" s="2288"/>
      <c r="H82" s="2289" t="str">
        <f t="shared" si="27"/>
        <v>——</v>
      </c>
      <c r="I82" s="2290">
        <v>0.33</v>
      </c>
      <c r="J82" s="2291">
        <f t="shared" si="28"/>
        <v>0</v>
      </c>
      <c r="K82" s="2291">
        <f t="shared" si="29"/>
        <v>0</v>
      </c>
      <c r="L82" s="2291">
        <v>0</v>
      </c>
      <c r="M82" s="2291">
        <f t="shared" si="30"/>
        <v>0</v>
      </c>
      <c r="N82" s="2291">
        <f t="shared" si="30"/>
        <v>0</v>
      </c>
      <c r="Q82" s="3060"/>
      <c r="R82" s="3060"/>
      <c r="S82" s="3060"/>
      <c r="T82" s="3060"/>
      <c r="U82" s="3060"/>
      <c r="V82" s="3060"/>
      <c r="W82" s="3060"/>
      <c r="AA82" s="1624"/>
      <c r="AG82" s="2267"/>
    </row>
    <row r="83" spans="1:33" ht="26" hidden="1">
      <c r="A83" s="2280" t="s">
        <v>2662</v>
      </c>
      <c r="B83" s="2292">
        <f>估价对象房地状况!G17</f>
        <v>0</v>
      </c>
      <c r="C83" s="2166"/>
      <c r="D83" s="2285">
        <f t="shared" si="26"/>
        <v>0</v>
      </c>
      <c r="E83" s="2293"/>
      <c r="F83" s="2287"/>
      <c r="G83" s="2288"/>
      <c r="H83" s="2289" t="str">
        <f t="shared" si="27"/>
        <v>——</v>
      </c>
      <c r="I83" s="2290">
        <v>0.05</v>
      </c>
      <c r="J83" s="2291">
        <f t="shared" si="28"/>
        <v>0</v>
      </c>
      <c r="K83" s="2291">
        <f t="shared" si="29"/>
        <v>0</v>
      </c>
      <c r="L83" s="2291">
        <v>0</v>
      </c>
      <c r="M83" s="2291">
        <f t="shared" si="30"/>
        <v>0</v>
      </c>
      <c r="N83" s="2291">
        <f t="shared" si="30"/>
        <v>0</v>
      </c>
      <c r="Q83" s="3060"/>
      <c r="R83" s="3060"/>
      <c r="S83" s="3060"/>
      <c r="T83" s="3060"/>
      <c r="U83" s="3060"/>
      <c r="V83" s="3060"/>
      <c r="W83" s="3060"/>
      <c r="AA83" s="1624"/>
      <c r="AG83" s="2267"/>
    </row>
    <row r="84" spans="1:33" ht="14" hidden="1">
      <c r="A84" s="2280" t="s">
        <v>2678</v>
      </c>
      <c r="B84" s="2292">
        <f>估价对象房地状况!G22</f>
        <v>0</v>
      </c>
      <c r="C84" s="2166"/>
      <c r="D84" s="2285">
        <f t="shared" si="26"/>
        <v>0</v>
      </c>
      <c r="E84" s="2293"/>
      <c r="F84" s="2287"/>
      <c r="G84" s="2288"/>
      <c r="H84" s="2289" t="str">
        <f t="shared" si="27"/>
        <v>——</v>
      </c>
      <c r="I84" s="2290">
        <v>0.04</v>
      </c>
      <c r="J84" s="2291">
        <f t="shared" si="28"/>
        <v>0</v>
      </c>
      <c r="K84" s="2291">
        <f t="shared" si="29"/>
        <v>0</v>
      </c>
      <c r="L84" s="2291">
        <v>0</v>
      </c>
      <c r="M84" s="2291">
        <f t="shared" si="30"/>
        <v>0</v>
      </c>
      <c r="N84" s="2291">
        <f t="shared" si="30"/>
        <v>0</v>
      </c>
      <c r="Q84" s="3060"/>
      <c r="R84" s="3060"/>
      <c r="S84" s="3060"/>
      <c r="T84" s="3060"/>
      <c r="U84" s="3060"/>
      <c r="V84" s="3060"/>
      <c r="W84" s="3060"/>
      <c r="AA84" s="1624"/>
      <c r="AG84" s="2267"/>
    </row>
    <row r="85" spans="1:33" ht="26" hidden="1">
      <c r="A85" s="2280" t="s">
        <v>2668</v>
      </c>
      <c r="B85" s="2297" t="str">
        <f>估价对象房地状况!G19</f>
        <v>估价对象所在区域公共配套设施齐备情况</v>
      </c>
      <c r="C85" s="2166"/>
      <c r="D85" s="2285">
        <f t="shared" si="26"/>
        <v>0</v>
      </c>
      <c r="E85" s="2293"/>
      <c r="F85" s="2287"/>
      <c r="G85" s="2288"/>
      <c r="H85" s="2289" t="str">
        <f t="shared" si="27"/>
        <v>——</v>
      </c>
      <c r="I85" s="2290">
        <v>0.06</v>
      </c>
      <c r="J85" s="2291">
        <f t="shared" si="28"/>
        <v>0</v>
      </c>
      <c r="K85" s="2291">
        <f t="shared" si="29"/>
        <v>0</v>
      </c>
      <c r="L85" s="2291">
        <v>0</v>
      </c>
      <c r="M85" s="2291">
        <f t="shared" si="30"/>
        <v>0</v>
      </c>
      <c r="N85" s="2291">
        <f t="shared" si="30"/>
        <v>0</v>
      </c>
      <c r="Q85" s="3060"/>
      <c r="R85" s="3060"/>
      <c r="S85" s="3060"/>
      <c r="T85" s="3060"/>
      <c r="U85" s="3060"/>
      <c r="V85" s="3060"/>
      <c r="W85" s="3060"/>
      <c r="AA85" s="1624"/>
      <c r="AG85" s="2267"/>
    </row>
    <row r="86" spans="1:33" ht="26" hidden="1">
      <c r="A86" s="2280" t="s">
        <v>2669</v>
      </c>
      <c r="B86" s="2297" t="str">
        <f>估价对象房地状况!G20</f>
        <v>估价对象所在区域基础设施水平</v>
      </c>
      <c r="C86" s="2166"/>
      <c r="D86" s="2285">
        <f t="shared" si="26"/>
        <v>0</v>
      </c>
      <c r="E86" s="2293"/>
      <c r="F86" s="2287"/>
      <c r="G86" s="2288"/>
      <c r="H86" s="2289" t="str">
        <f t="shared" si="27"/>
        <v>——</v>
      </c>
      <c r="I86" s="2290">
        <v>0.15</v>
      </c>
      <c r="J86" s="2291">
        <f t="shared" si="28"/>
        <v>0</v>
      </c>
      <c r="K86" s="2291">
        <f t="shared" si="29"/>
        <v>0</v>
      </c>
      <c r="L86" s="2291">
        <v>0</v>
      </c>
      <c r="M86" s="2291">
        <f t="shared" si="30"/>
        <v>0</v>
      </c>
      <c r="N86" s="2291">
        <f t="shared" si="30"/>
        <v>0</v>
      </c>
      <c r="Q86" s="3060"/>
      <c r="R86" s="3060"/>
      <c r="S86" s="3060"/>
      <c r="T86" s="3060"/>
      <c r="U86" s="3060"/>
      <c r="V86" s="3060"/>
      <c r="W86" s="3060"/>
      <c r="AA86" s="1624"/>
      <c r="AG86" s="2267"/>
    </row>
    <row r="87" spans="1:33" ht="26" hidden="1">
      <c r="A87" s="2280" t="s">
        <v>2666</v>
      </c>
      <c r="B87" s="2295" t="s">
        <v>2667</v>
      </c>
      <c r="C87" s="2166"/>
      <c r="D87" s="2285">
        <f t="shared" si="26"/>
        <v>0</v>
      </c>
      <c r="E87" s="2293"/>
      <c r="F87" s="2287"/>
      <c r="G87" s="2288"/>
      <c r="H87" s="2289" t="str">
        <f t="shared" si="27"/>
        <v>——</v>
      </c>
      <c r="I87" s="2290">
        <v>0.05</v>
      </c>
      <c r="J87" s="2291">
        <f t="shared" si="28"/>
        <v>0</v>
      </c>
      <c r="K87" s="2291">
        <f t="shared" si="29"/>
        <v>0</v>
      </c>
      <c r="L87" s="2291">
        <v>0</v>
      </c>
      <c r="M87" s="2291">
        <f t="shared" si="30"/>
        <v>0</v>
      </c>
      <c r="N87" s="2291">
        <f t="shared" si="30"/>
        <v>0</v>
      </c>
      <c r="Q87" s="3060"/>
      <c r="R87" s="3060"/>
      <c r="S87" s="3060"/>
      <c r="T87" s="3060"/>
      <c r="U87" s="3060"/>
      <c r="V87" s="3060"/>
      <c r="W87" s="3060"/>
      <c r="AA87" s="1624"/>
      <c r="AG87" s="2267"/>
    </row>
    <row r="88" spans="1:33" ht="50.5" hidden="1" thickBot="1">
      <c r="A88" s="2298" t="s">
        <v>2682</v>
      </c>
      <c r="B88" s="2305" t="str">
        <f>估价对象房地状况!G18</f>
        <v>该园区内是否有污染型企业，绿化情况，卫生条件，整体环境状况判断</v>
      </c>
      <c r="C88" s="2306"/>
      <c r="D88" s="2307">
        <f t="shared" si="26"/>
        <v>0</v>
      </c>
      <c r="E88" s="2300"/>
      <c r="F88" s="2287"/>
      <c r="G88" s="2288"/>
      <c r="H88" s="2289" t="str">
        <f t="shared" si="27"/>
        <v>——</v>
      </c>
      <c r="I88" s="2301">
        <v>0.06</v>
      </c>
      <c r="J88" s="2291">
        <f t="shared" si="28"/>
        <v>0</v>
      </c>
      <c r="K88" s="2291">
        <f t="shared" si="29"/>
        <v>0</v>
      </c>
      <c r="L88" s="2291">
        <v>0</v>
      </c>
      <c r="M88" s="2291">
        <f t="shared" si="30"/>
        <v>0</v>
      </c>
      <c r="N88" s="2291">
        <f t="shared" si="30"/>
        <v>0</v>
      </c>
      <c r="Q88" s="3060"/>
      <c r="R88" s="3060"/>
      <c r="S88" s="3060"/>
      <c r="T88" s="3060"/>
      <c r="U88" s="3060"/>
      <c r="V88" s="3060"/>
      <c r="W88" s="3060"/>
      <c r="AA88" s="1624"/>
      <c r="AG88" s="2267"/>
    </row>
    <row r="89" spans="1:33">
      <c r="Q89" s="3060"/>
      <c r="R89" s="3060"/>
      <c r="S89" s="3060"/>
      <c r="T89" s="3060"/>
      <c r="U89" s="3060"/>
      <c r="V89" s="3060"/>
      <c r="W89" s="3060"/>
    </row>
    <row r="90" spans="1:33" ht="13">
      <c r="A90" s="3533" t="s">
        <v>2683</v>
      </c>
      <c r="B90" s="3533"/>
      <c r="C90" s="3533"/>
      <c r="D90" s="3533"/>
      <c r="E90" s="3533"/>
      <c r="F90" s="3533"/>
      <c r="G90" s="3533"/>
      <c r="H90" s="3533"/>
      <c r="I90" s="3533"/>
      <c r="J90" s="3533"/>
      <c r="K90" s="2308"/>
      <c r="L90" s="2308"/>
      <c r="M90" s="2308"/>
      <c r="N90" s="2308"/>
      <c r="Q90" s="3060"/>
      <c r="R90" s="3060"/>
      <c r="S90" s="3060"/>
      <c r="T90" s="3060"/>
      <c r="U90" s="3060"/>
      <c r="V90" s="3060"/>
      <c r="W90" s="3060"/>
    </row>
    <row r="91" spans="1:33" ht="13">
      <c r="A91" s="3535" t="s">
        <v>2684</v>
      </c>
      <c r="B91" s="3535" t="s">
        <v>2685</v>
      </c>
      <c r="C91" s="2247" t="s">
        <v>2686</v>
      </c>
      <c r="D91" s="2248"/>
      <c r="E91" s="2248"/>
      <c r="F91" s="2248"/>
      <c r="G91" s="2248"/>
      <c r="H91" s="2248"/>
      <c r="I91" s="2248"/>
      <c r="J91" s="2310"/>
      <c r="K91" s="2068"/>
      <c r="L91" s="2068"/>
      <c r="M91" s="2068"/>
      <c r="N91" s="2068"/>
      <c r="Q91" s="3060"/>
      <c r="R91" s="3060"/>
      <c r="S91" s="3060"/>
      <c r="T91" s="3060"/>
      <c r="U91" s="3060"/>
      <c r="V91" s="3060"/>
      <c r="W91" s="3060"/>
    </row>
    <row r="92" spans="1:33" ht="13">
      <c r="A92" s="3535"/>
      <c r="B92" s="3535"/>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36"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37"/>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37"/>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37"/>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37"/>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37"/>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ht="13">
      <c r="A99" s="3537"/>
      <c r="B99" s="2311" t="s">
        <v>2557</v>
      </c>
      <c r="C99" s="2313">
        <f>$I$3</f>
        <v>0</v>
      </c>
      <c r="D99" s="2313">
        <f t="shared" ref="D99:M99" si="31">$I$3</f>
        <v>0</v>
      </c>
      <c r="E99" s="2313">
        <f t="shared" si="31"/>
        <v>0</v>
      </c>
      <c r="F99" s="2313">
        <f t="shared" si="31"/>
        <v>0</v>
      </c>
      <c r="G99" s="2313">
        <f t="shared" si="31"/>
        <v>0</v>
      </c>
      <c r="H99" s="2313">
        <f t="shared" si="31"/>
        <v>0</v>
      </c>
      <c r="I99" s="2313">
        <f t="shared" si="31"/>
        <v>0</v>
      </c>
      <c r="J99" s="2313">
        <f t="shared" si="31"/>
        <v>0</v>
      </c>
      <c r="K99" s="2313">
        <f t="shared" si="31"/>
        <v>0</v>
      </c>
      <c r="L99" s="2313">
        <f t="shared" si="31"/>
        <v>0</v>
      </c>
      <c r="M99" s="2313">
        <f t="shared" si="31"/>
        <v>0</v>
      </c>
      <c r="N99" s="2313">
        <f>$I$3</f>
        <v>0</v>
      </c>
      <c r="Q99" s="3060"/>
      <c r="R99" s="3060"/>
      <c r="S99" s="3060"/>
      <c r="T99" s="3060"/>
      <c r="U99" s="3060"/>
      <c r="V99" s="3060"/>
      <c r="W99" s="3060"/>
    </row>
    <row r="100" spans="1:23">
      <c r="A100" s="3538"/>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ht="13">
      <c r="A101" s="3536" t="s">
        <v>2688</v>
      </c>
      <c r="B101" s="2315" t="s">
        <v>2689</v>
      </c>
      <c r="C101" s="2316">
        <f>$G$3</f>
        <v>2</v>
      </c>
      <c r="D101" s="2316">
        <f t="shared" ref="D101:N101" si="32">$G$3</f>
        <v>2</v>
      </c>
      <c r="E101" s="2316">
        <f t="shared" si="32"/>
        <v>2</v>
      </c>
      <c r="F101" s="2316">
        <f t="shared" si="32"/>
        <v>2</v>
      </c>
      <c r="G101" s="2316">
        <f t="shared" si="32"/>
        <v>2</v>
      </c>
      <c r="H101" s="2316">
        <f t="shared" si="32"/>
        <v>2</v>
      </c>
      <c r="I101" s="2316">
        <f t="shared" si="32"/>
        <v>2</v>
      </c>
      <c r="J101" s="2316">
        <f t="shared" si="32"/>
        <v>2</v>
      </c>
      <c r="K101" s="2316">
        <f t="shared" si="32"/>
        <v>2</v>
      </c>
      <c r="L101" s="2316">
        <f t="shared" si="32"/>
        <v>2</v>
      </c>
      <c r="M101" s="2316">
        <f t="shared" si="32"/>
        <v>2</v>
      </c>
      <c r="N101" s="2316">
        <f t="shared" si="32"/>
        <v>2</v>
      </c>
      <c r="Q101" s="3060"/>
      <c r="R101" s="3060"/>
      <c r="S101" s="3060"/>
      <c r="T101" s="3060"/>
      <c r="U101" s="3060"/>
      <c r="V101" s="3060"/>
      <c r="W101" s="3060"/>
    </row>
    <row r="102" spans="1:23">
      <c r="A102" s="3537"/>
      <c r="B102" s="2311">
        <v>1</v>
      </c>
      <c r="C102" s="2312">
        <f>1.9362/C101</f>
        <v>0.96809999999999996</v>
      </c>
      <c r="D102" s="2312">
        <f>1.9362/D101</f>
        <v>0.96809999999999996</v>
      </c>
      <c r="E102" s="2312">
        <f>1.8629/E101</f>
        <v>0.93145</v>
      </c>
      <c r="F102" s="2312">
        <f>1.8629/F101</f>
        <v>0.93145</v>
      </c>
      <c r="G102" s="2312">
        <f>1.8629/G101</f>
        <v>0.93145</v>
      </c>
      <c r="H102" s="2312">
        <f>1.8629/H101</f>
        <v>0.93145</v>
      </c>
      <c r="I102" s="2312">
        <f>1.8629/I101</f>
        <v>0.93145</v>
      </c>
      <c r="J102" s="2312">
        <f>1.942/J101</f>
        <v>0.97099999999999997</v>
      </c>
      <c r="K102" s="2312">
        <f>1.942/K101</f>
        <v>0.97099999999999997</v>
      </c>
      <c r="L102" s="2312">
        <f>1.942/L101</f>
        <v>0.97099999999999997</v>
      </c>
      <c r="M102" s="2312">
        <f>1.942/M101</f>
        <v>0.97099999999999997</v>
      </c>
      <c r="N102" s="2312">
        <f>1.942/N101</f>
        <v>0.97099999999999997</v>
      </c>
      <c r="Q102" s="3060"/>
      <c r="R102" s="3060"/>
      <c r="S102" s="3060"/>
      <c r="T102" s="3060"/>
      <c r="U102" s="3060"/>
      <c r="V102" s="3060"/>
      <c r="W102" s="3060"/>
    </row>
    <row r="103" spans="1:23">
      <c r="A103" s="3537"/>
      <c r="B103" s="2311">
        <v>2</v>
      </c>
      <c r="C103" s="2312">
        <f>1.4198/C101</f>
        <v>0.70989999999999998</v>
      </c>
      <c r="D103" s="2312">
        <f>1.4198/D101</f>
        <v>0.70989999999999998</v>
      </c>
      <c r="E103" s="2312">
        <f>1.3372/E101</f>
        <v>0.66859999999999997</v>
      </c>
      <c r="F103" s="2312">
        <f>1.3372/F101</f>
        <v>0.66859999999999997</v>
      </c>
      <c r="G103" s="2312">
        <f>1.3372/G101</f>
        <v>0.66859999999999997</v>
      </c>
      <c r="H103" s="2312">
        <f>1.3372/H101</f>
        <v>0.66859999999999997</v>
      </c>
      <c r="I103" s="2312">
        <f>1.3372/I101</f>
        <v>0.66859999999999997</v>
      </c>
      <c r="J103" s="2312">
        <f>1.2799/J101</f>
        <v>0.63995000000000002</v>
      </c>
      <c r="K103" s="2312">
        <f>1.2799/K101</f>
        <v>0.63995000000000002</v>
      </c>
      <c r="L103" s="2312">
        <f>1.2799/L101</f>
        <v>0.63995000000000002</v>
      </c>
      <c r="M103" s="2312">
        <f>1.2799/M101</f>
        <v>0.63995000000000002</v>
      </c>
      <c r="N103" s="2312">
        <f>1.2799/N101</f>
        <v>0.63995000000000002</v>
      </c>
      <c r="Q103" s="3060"/>
      <c r="R103" s="3060"/>
      <c r="S103" s="3060"/>
      <c r="T103" s="3060"/>
      <c r="U103" s="3060"/>
      <c r="V103" s="3060"/>
      <c r="W103" s="3060"/>
    </row>
    <row r="104" spans="1:23">
      <c r="A104" s="3537"/>
      <c r="B104" s="2311">
        <v>3</v>
      </c>
      <c r="C104" s="2312">
        <f>1.1594/C101</f>
        <v>0.57969999999999999</v>
      </c>
      <c r="D104" s="2312">
        <f>1.1594/D101</f>
        <v>0.57969999999999999</v>
      </c>
      <c r="E104" s="2312">
        <f>1.0788/E101</f>
        <v>0.53939999999999999</v>
      </c>
      <c r="F104" s="2312">
        <f>1.0788/F101</f>
        <v>0.53939999999999999</v>
      </c>
      <c r="G104" s="2312">
        <f>1.0788/G101</f>
        <v>0.53939999999999999</v>
      </c>
      <c r="H104" s="2312">
        <f>1.0788/H101</f>
        <v>0.53939999999999999</v>
      </c>
      <c r="I104" s="2312">
        <f>1.0788/I101</f>
        <v>0.53939999999999999</v>
      </c>
      <c r="J104" s="2312">
        <f>1.0072/J101</f>
        <v>0.50360000000000005</v>
      </c>
      <c r="K104" s="2312">
        <f>1.0072/K101</f>
        <v>0.50360000000000005</v>
      </c>
      <c r="L104" s="2312">
        <f>1.0072/L101</f>
        <v>0.50360000000000005</v>
      </c>
      <c r="M104" s="2312">
        <f>1.0072/M101</f>
        <v>0.50360000000000005</v>
      </c>
      <c r="N104" s="2312">
        <f>1.0072/N101</f>
        <v>0.50360000000000005</v>
      </c>
      <c r="Q104" s="3060"/>
      <c r="R104" s="3060"/>
      <c r="S104" s="3060"/>
      <c r="T104" s="3060"/>
      <c r="U104" s="3060"/>
      <c r="V104" s="3060"/>
      <c r="W104" s="3060"/>
    </row>
    <row r="105" spans="1:23">
      <c r="A105" s="3537"/>
      <c r="B105" s="2311">
        <v>4</v>
      </c>
      <c r="C105" s="2312">
        <f>0.9622/C101</f>
        <v>0.48110000000000003</v>
      </c>
      <c r="D105" s="2312">
        <f>0.9622/D101</f>
        <v>0.48110000000000003</v>
      </c>
      <c r="E105" s="2312">
        <f>0.8656/E101</f>
        <v>0.43280000000000002</v>
      </c>
      <c r="F105" s="2312">
        <f>0.8656/F101</f>
        <v>0.43280000000000002</v>
      </c>
      <c r="G105" s="2312">
        <f>0.8656/G101</f>
        <v>0.43280000000000002</v>
      </c>
      <c r="H105" s="2312">
        <f>0.8656/H101</f>
        <v>0.43280000000000002</v>
      </c>
      <c r="I105" s="2312">
        <f>0.8656/I101</f>
        <v>0.43280000000000002</v>
      </c>
      <c r="J105" s="2312">
        <f>0.7525/J101</f>
        <v>0.37624999999999997</v>
      </c>
      <c r="K105" s="2312">
        <f>0.7525/K101</f>
        <v>0.37624999999999997</v>
      </c>
      <c r="L105" s="2312">
        <f>0.7525/L101</f>
        <v>0.37624999999999997</v>
      </c>
      <c r="M105" s="2312">
        <f>0.7525/M101</f>
        <v>0.37624999999999997</v>
      </c>
      <c r="N105" s="2312">
        <f>0.7525/N101</f>
        <v>0.37624999999999997</v>
      </c>
      <c r="Q105" s="3060"/>
      <c r="R105" s="3060"/>
      <c r="S105" s="3060"/>
      <c r="T105" s="3060"/>
      <c r="U105" s="3060"/>
      <c r="V105" s="3060"/>
      <c r="W105" s="3060"/>
    </row>
    <row r="106" spans="1:23">
      <c r="A106" s="3537"/>
      <c r="B106" s="2311">
        <v>5</v>
      </c>
      <c r="C106" s="2312">
        <f>0.8417/C101</f>
        <v>0.42085</v>
      </c>
      <c r="D106" s="2312">
        <f>0.8417/D101</f>
        <v>0.42085</v>
      </c>
      <c r="E106" s="2312">
        <f>0.7371/E101</f>
        <v>0.36854999999999999</v>
      </c>
      <c r="F106" s="2312">
        <f>0.7371/F101</f>
        <v>0.36854999999999999</v>
      </c>
      <c r="G106" s="2312">
        <f>0.7371/G101</f>
        <v>0.36854999999999999</v>
      </c>
      <c r="H106" s="2312">
        <f>0.7371/H101</f>
        <v>0.36854999999999999</v>
      </c>
      <c r="I106" s="2312">
        <f>0.7371/I101</f>
        <v>0.36854999999999999</v>
      </c>
      <c r="J106" s="2312">
        <f>0.5659/J101</f>
        <v>0.28294999999999998</v>
      </c>
      <c r="K106" s="2312">
        <f>0.5659/K101</f>
        <v>0.28294999999999998</v>
      </c>
      <c r="L106" s="2312">
        <f>0.5659/L101</f>
        <v>0.28294999999999998</v>
      </c>
      <c r="M106" s="2312">
        <f>0.5659/M101</f>
        <v>0.28294999999999998</v>
      </c>
      <c r="N106" s="2312">
        <f>0.5659/N101</f>
        <v>0.28294999999999998</v>
      </c>
      <c r="Q106" s="3060"/>
      <c r="R106" s="3060"/>
      <c r="S106" s="3060"/>
      <c r="T106" s="3060"/>
      <c r="U106" s="3060"/>
      <c r="V106" s="3060"/>
      <c r="W106" s="3060"/>
    </row>
    <row r="107" spans="1:23">
      <c r="A107" s="3537"/>
      <c r="B107" s="2311">
        <v>6</v>
      </c>
      <c r="C107" s="2312">
        <f>0.7608/C101</f>
        <v>0.38040000000000002</v>
      </c>
      <c r="D107" s="2312">
        <f>0.7608/D101</f>
        <v>0.38040000000000002</v>
      </c>
      <c r="E107" s="2312">
        <f>0.6482/E101</f>
        <v>0.3241</v>
      </c>
      <c r="F107" s="2312">
        <f>0.6482/F101</f>
        <v>0.3241</v>
      </c>
      <c r="G107" s="2312">
        <f>0.6482/G101</f>
        <v>0.3241</v>
      </c>
      <c r="H107" s="2312">
        <f>0.6482/H101</f>
        <v>0.3241</v>
      </c>
      <c r="I107" s="2312">
        <f>0.6482/I101</f>
        <v>0.3241</v>
      </c>
      <c r="J107" s="2312">
        <f>0.4525/J101</f>
        <v>0.22625000000000001</v>
      </c>
      <c r="K107" s="2312">
        <f>0.4525/K101</f>
        <v>0.22625000000000001</v>
      </c>
      <c r="L107" s="2312">
        <f>0.4525/L101</f>
        <v>0.22625000000000001</v>
      </c>
      <c r="M107" s="2312">
        <f>0.4525/M101</f>
        <v>0.22625000000000001</v>
      </c>
      <c r="N107" s="2312">
        <f>0.4525/N101</f>
        <v>0.22625000000000001</v>
      </c>
      <c r="Q107" s="3060"/>
      <c r="R107" s="3060"/>
      <c r="S107" s="3060"/>
      <c r="T107" s="3060"/>
      <c r="U107" s="3060"/>
      <c r="V107" s="3060"/>
      <c r="W107" s="3060"/>
    </row>
    <row r="108" spans="1:23">
      <c r="A108" s="3537"/>
      <c r="B108" s="3539" t="s">
        <v>2690</v>
      </c>
      <c r="C108" s="2313">
        <f>C99</f>
        <v>0</v>
      </c>
      <c r="D108" s="2313">
        <f t="shared" ref="D108:N108" si="33">D99</f>
        <v>0</v>
      </c>
      <c r="E108" s="2313">
        <f t="shared" si="33"/>
        <v>0</v>
      </c>
      <c r="F108" s="2313">
        <f t="shared" si="33"/>
        <v>0</v>
      </c>
      <c r="G108" s="2313">
        <f t="shared" si="33"/>
        <v>0</v>
      </c>
      <c r="H108" s="2313">
        <f t="shared" si="33"/>
        <v>0</v>
      </c>
      <c r="I108" s="2313">
        <f t="shared" si="33"/>
        <v>0</v>
      </c>
      <c r="J108" s="2313">
        <f t="shared" si="33"/>
        <v>0</v>
      </c>
      <c r="K108" s="2313">
        <f t="shared" si="33"/>
        <v>0</v>
      </c>
      <c r="L108" s="2313">
        <f t="shared" si="33"/>
        <v>0</v>
      </c>
      <c r="M108" s="2313">
        <f t="shared" si="33"/>
        <v>0</v>
      </c>
      <c r="N108" s="2313">
        <f t="shared" si="33"/>
        <v>0</v>
      </c>
      <c r="Q108" s="3060"/>
      <c r="R108" s="3060"/>
      <c r="S108" s="3060"/>
      <c r="T108" s="3060"/>
      <c r="U108" s="3060"/>
      <c r="V108" s="3060"/>
      <c r="W108" s="3060"/>
    </row>
    <row r="109" spans="1:23">
      <c r="A109" s="3538"/>
      <c r="B109" s="3540"/>
      <c r="C109" s="2314">
        <f>(-0.163*(C108^2)-0.59*C108+7617)*(10^(-4))/C101</f>
        <v>0.38085000000000002</v>
      </c>
      <c r="D109" s="2314">
        <f>(-0.163*(D108^2)-0.59*D108+7617)*(10^(-4))/D101</f>
        <v>0.38085000000000002</v>
      </c>
      <c r="E109" s="2314">
        <f>(-0.161*(E108^2)-7.509*E108+6533)*(10^(-4))/E101</f>
        <v>0.32665</v>
      </c>
      <c r="F109" s="2314">
        <f>(-0.161*(F108^2)-7.509*F108+6533)*(10^(-4))/F101</f>
        <v>0.32665</v>
      </c>
      <c r="G109" s="2314">
        <f>(-0.161*(G108^2)-7.509*G108+6533)*(10^(-4))/G101</f>
        <v>0.32665</v>
      </c>
      <c r="H109" s="2314">
        <f>(-0.161*(H108^2)-7.509*H108+6533)*(10^(-4))/H101</f>
        <v>0.32665</v>
      </c>
      <c r="I109" s="2314">
        <f>(-0.161*(I108^2)-7.509*I108+6533)*(10^(-4))/I101</f>
        <v>0.32665</v>
      </c>
      <c r="J109" s="2314">
        <f>(-0.214*(J108^2)-21.991*J108+4665)*(10^(-4))/J101</f>
        <v>0.23325000000000001</v>
      </c>
      <c r="K109" s="2314">
        <f>(-0.214*(K108^2)-21.991*K108+4665)*(10^(-4))/K101</f>
        <v>0.23325000000000001</v>
      </c>
      <c r="L109" s="2314">
        <f>(-0.214*(L108^2)-21.991*L108+4665)*(10^(-4))/L101</f>
        <v>0.23325000000000001</v>
      </c>
      <c r="M109" s="2314">
        <f>(-0.214*(M108^2)-21.991*M108+4665)*(10^(-4))/M101</f>
        <v>0.23325000000000001</v>
      </c>
      <c r="N109" s="2314">
        <f>(-0.214*(N108^2)-21.991*N108+4665)*(10^(-4))/N101</f>
        <v>0.23325000000000001</v>
      </c>
      <c r="Q109" s="3060"/>
      <c r="R109" s="3060"/>
      <c r="S109" s="3060"/>
      <c r="T109" s="3060"/>
      <c r="U109" s="3060"/>
      <c r="V109" s="3060"/>
      <c r="W109" s="3060"/>
    </row>
    <row r="110" spans="1:23" ht="13">
      <c r="A110" s="3534" t="s">
        <v>2691</v>
      </c>
      <c r="B110" s="3534"/>
      <c r="C110" s="3534"/>
      <c r="D110" s="3534"/>
      <c r="E110" s="3534"/>
      <c r="F110" s="3534"/>
      <c r="G110" s="3534"/>
      <c r="H110" s="3534"/>
      <c r="I110" s="3534"/>
      <c r="J110" s="3534"/>
      <c r="K110" s="2080"/>
      <c r="L110" s="2080"/>
      <c r="M110" s="2080"/>
      <c r="N110" s="2080"/>
      <c r="Q110" s="3060"/>
      <c r="R110" s="3060"/>
      <c r="S110" s="3060"/>
      <c r="T110" s="3060"/>
      <c r="U110" s="3060"/>
      <c r="V110" s="3060"/>
      <c r="W110" s="3060"/>
    </row>
    <row r="112" spans="1:23" ht="13" thickBot="1"/>
    <row r="113" spans="1:13" ht="26" thickBot="1">
      <c r="A113" s="2317" t="s">
        <v>2692</v>
      </c>
      <c r="B113" s="2318">
        <f>G3</f>
        <v>2</v>
      </c>
      <c r="C113" s="2319" t="s">
        <v>2693</v>
      </c>
      <c r="D113" s="2320">
        <f>SUMPRODUCT((A115:A118=F113)*(B114:M114=H113)*B115:M118)</f>
        <v>0.85880000000000001</v>
      </c>
      <c r="E113" s="1602" t="s">
        <v>2579</v>
      </c>
      <c r="F113" s="2321" t="str">
        <f>E2</f>
        <v>住宅</v>
      </c>
      <c r="G113" s="1602" t="s">
        <v>2515</v>
      </c>
      <c r="H113" s="2321" t="str">
        <f>G2</f>
        <v>七级</v>
      </c>
      <c r="I113" s="1602"/>
      <c r="J113" s="2322"/>
      <c r="K113" s="2322"/>
      <c r="L113" s="2322"/>
      <c r="M113" s="2322"/>
    </row>
    <row r="114" spans="1:13" ht="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ht="13">
      <c r="A115" s="2329" t="s">
        <v>2580</v>
      </c>
      <c r="B115" s="2330">
        <f>ROUND(0.9335-0.0094*B113,4)</f>
        <v>0.91469999999999996</v>
      </c>
      <c r="C115" s="2330">
        <f>B115</f>
        <v>0.91469999999999996</v>
      </c>
      <c r="D115" s="2330">
        <f>ROUND(0.8331-0.0109*B113,4)</f>
        <v>0.81130000000000002</v>
      </c>
      <c r="E115" s="2330">
        <f>D115</f>
        <v>0.81130000000000002</v>
      </c>
      <c r="F115" s="2330">
        <f>E115</f>
        <v>0.81130000000000002</v>
      </c>
      <c r="G115" s="2330">
        <f>F115</f>
        <v>0.81130000000000002</v>
      </c>
      <c r="H115" s="2330">
        <f>G115</f>
        <v>0.81130000000000002</v>
      </c>
      <c r="I115" s="2330">
        <f>ROUND(0.689-0.0155*B113,4)</f>
        <v>0.65800000000000003</v>
      </c>
      <c r="J115" s="2330">
        <f t="shared" ref="J115:M118" si="34">I115</f>
        <v>0.65800000000000003</v>
      </c>
      <c r="K115" s="2330">
        <f t="shared" si="34"/>
        <v>0.65800000000000003</v>
      </c>
      <c r="L115" s="2330">
        <f t="shared" si="34"/>
        <v>0.65800000000000003</v>
      </c>
      <c r="M115" s="2331">
        <f t="shared" si="34"/>
        <v>0.65800000000000003</v>
      </c>
    </row>
    <row r="116" spans="1:13" ht="13">
      <c r="A116" s="2329" t="s">
        <v>2581</v>
      </c>
      <c r="B116" s="2330">
        <f>ROUND(0.949-0.012*B113,4)</f>
        <v>0.92500000000000004</v>
      </c>
      <c r="C116" s="2330">
        <f>B116</f>
        <v>0.92500000000000004</v>
      </c>
      <c r="D116" s="2330">
        <f>ROUND(0.8567-0.013*B113,4)</f>
        <v>0.83069999999999999</v>
      </c>
      <c r="E116" s="2330">
        <f t="shared" ref="E116:H117" si="35">D116</f>
        <v>0.83069999999999999</v>
      </c>
      <c r="F116" s="2330">
        <f t="shared" si="35"/>
        <v>0.83069999999999999</v>
      </c>
      <c r="G116" s="2330">
        <f t="shared" si="35"/>
        <v>0.83069999999999999</v>
      </c>
      <c r="H116" s="2330">
        <f t="shared" si="35"/>
        <v>0.83069999999999999</v>
      </c>
      <c r="I116" s="2330">
        <f>ROUND(0.7694-0.014*B113,4)</f>
        <v>0.74139999999999995</v>
      </c>
      <c r="J116" s="2330">
        <f t="shared" si="34"/>
        <v>0.74139999999999995</v>
      </c>
      <c r="K116" s="2330">
        <f t="shared" si="34"/>
        <v>0.74139999999999995</v>
      </c>
      <c r="L116" s="2330">
        <f t="shared" si="34"/>
        <v>0.74139999999999995</v>
      </c>
      <c r="M116" s="2331">
        <f t="shared" si="34"/>
        <v>0.74139999999999995</v>
      </c>
    </row>
    <row r="117" spans="1:13" ht="13">
      <c r="A117" s="2329" t="s">
        <v>2582</v>
      </c>
      <c r="B117" s="2330">
        <f>ROUND(0.8808-0.006*B113,4)</f>
        <v>0.86880000000000002</v>
      </c>
      <c r="C117" s="2330">
        <f>B117</f>
        <v>0.86880000000000002</v>
      </c>
      <c r="D117" s="2330">
        <f>ROUND(0.8748-0.008*B113,4)</f>
        <v>0.85880000000000001</v>
      </c>
      <c r="E117" s="2330">
        <f t="shared" si="35"/>
        <v>0.85880000000000001</v>
      </c>
      <c r="F117" s="2330">
        <f t="shared" si="35"/>
        <v>0.85880000000000001</v>
      </c>
      <c r="G117" s="2330">
        <f t="shared" si="35"/>
        <v>0.85880000000000001</v>
      </c>
      <c r="H117" s="2330">
        <f t="shared" si="35"/>
        <v>0.85880000000000001</v>
      </c>
      <c r="I117" s="2330">
        <f>ROUND(0.7412-0.0095*B113,4)</f>
        <v>0.72219999999999995</v>
      </c>
      <c r="J117" s="2330">
        <f t="shared" si="34"/>
        <v>0.72219999999999995</v>
      </c>
      <c r="K117" s="2330">
        <f t="shared" si="34"/>
        <v>0.72219999999999995</v>
      </c>
      <c r="L117" s="2330">
        <f t="shared" si="34"/>
        <v>0.72219999999999995</v>
      </c>
      <c r="M117" s="2331">
        <f t="shared" si="34"/>
        <v>0.72219999999999995</v>
      </c>
    </row>
    <row r="118" spans="1:13" ht="13.5" thickBot="1">
      <c r="A118" s="2332" t="s">
        <v>2583</v>
      </c>
      <c r="B118" s="2333">
        <f>ROUND(0.7275-0.01*B113,4)</f>
        <v>0.70750000000000002</v>
      </c>
      <c r="C118" s="2333">
        <f>B118</f>
        <v>0.70750000000000002</v>
      </c>
      <c r="D118" s="2333">
        <f>ROUND(0.7043-0.012*B113,4)</f>
        <v>0.68030000000000002</v>
      </c>
      <c r="E118" s="2333">
        <f>D118</f>
        <v>0.68030000000000002</v>
      </c>
      <c r="F118" s="2333">
        <f>E118</f>
        <v>0.68030000000000002</v>
      </c>
      <c r="G118" s="2333">
        <f>ROUND(0.6299-0.0122*B113,4)</f>
        <v>0.60550000000000004</v>
      </c>
      <c r="H118" s="2333">
        <f>G118</f>
        <v>0.60550000000000004</v>
      </c>
      <c r="I118" s="2333">
        <f>ROUND(0.5667-0.0136*B113,4)</f>
        <v>0.53949999999999998</v>
      </c>
      <c r="J118" s="2333">
        <f t="shared" si="34"/>
        <v>0.53949999999999998</v>
      </c>
      <c r="K118" s="2333">
        <f t="shared" si="34"/>
        <v>0.53949999999999998</v>
      </c>
      <c r="L118" s="2333">
        <f t="shared" si="34"/>
        <v>0.53949999999999998</v>
      </c>
      <c r="M118" s="2334">
        <f t="shared" si="34"/>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
    <tabColor rgb="FF92D050"/>
    <pageSetUpPr fitToPage="1"/>
  </sheetPr>
  <dimension ref="A1:DS57"/>
  <sheetViews>
    <sheetView view="pageBreakPreview" topLeftCell="A34" zoomScaleNormal="80" zoomScaleSheetLayoutView="100" workbookViewId="0">
      <selection activeCell="G28" sqref="G28"/>
    </sheetView>
  </sheetViews>
  <sheetFormatPr defaultColWidth="8.36328125" defaultRowHeight="12.5"/>
  <cols>
    <col min="1" max="1" width="9.36328125" style="131" customWidth="1"/>
    <col min="2" max="2" width="29.26953125" style="116" customWidth="1"/>
    <col min="3" max="3" width="12.08984375" style="116" customWidth="1"/>
    <col min="4" max="4" width="12.26953125" style="134" customWidth="1"/>
    <col min="5" max="5" width="11.26953125" style="134" customWidth="1"/>
    <col min="6" max="6" width="9.453125" style="116" customWidth="1"/>
    <col min="7" max="7" width="31.90625" style="116" customWidth="1"/>
    <col min="8" max="123" width="9" style="122" customWidth="1"/>
    <col min="124" max="254" width="9" style="116" customWidth="1"/>
    <col min="255" max="16384" width="8.36328125" style="116"/>
  </cols>
  <sheetData>
    <row r="1" spans="1:123" s="80" customFormat="1" ht="21">
      <c r="A1" s="77" t="s">
        <v>1920</v>
      </c>
      <c r="B1" s="1002" t="s">
        <v>2755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1692218</v>
      </c>
      <c r="C2" s="79" t="str">
        <f>'数据-取费表'!B3</f>
        <v>元</v>
      </c>
      <c r="D2" s="1516" t="s">
        <v>1240</v>
      </c>
      <c r="E2" s="1180">
        <f ca="1">SUMIF(INDIRECT("'"&amp;G2&amp;"'"&amp;"!A:A"),"承租人权益价值",INDIRECT("'"&amp;G2&amp;"'"&amp;"!c:c"))</f>
        <v>0</v>
      </c>
      <c r="F2" s="1517" t="str">
        <f>C2</f>
        <v>元</v>
      </c>
      <c r="G2" s="1338" t="s">
        <v>2913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30818</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1135388</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1093258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33344</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ht="13">
      <c r="A8" s="92" t="s">
        <v>1934</v>
      </c>
      <c r="B8" s="93" t="s">
        <v>1935</v>
      </c>
      <c r="C8" s="115">
        <f>IF(G8="已包含在土地购买价格中","0",'数据-取费表'!E13)</f>
        <v>8786</v>
      </c>
      <c r="D8" s="1170"/>
      <c r="E8" s="115"/>
      <c r="F8" s="1169"/>
      <c r="G8" s="1518" t="s">
        <v>2914</v>
      </c>
    </row>
    <row r="9" spans="1:123" s="91" customFormat="1" ht="13.5" customHeight="1">
      <c r="A9" s="993" t="s">
        <v>945</v>
      </c>
      <c r="B9" s="97" t="s">
        <v>1936</v>
      </c>
      <c r="C9" s="1171">
        <f>ROUND(D9*E9,0)</f>
        <v>8786</v>
      </c>
      <c r="D9" s="1172">
        <f>IF('数据-取费表'!B10="住宅",IF(B1="仅计算典型户型",'数据-取费表'!E5,'数据-取费表'!B5),0)</f>
        <v>54.91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54.91</v>
      </c>
      <c r="E19" s="111">
        <f>'数据-取费表'!E15</f>
        <v>200</v>
      </c>
      <c r="F19" s="112"/>
      <c r="G19" s="1518" t="s">
        <v>2915</v>
      </c>
    </row>
    <row r="20" spans="1:123" s="91" customFormat="1" ht="13.5" customHeight="1">
      <c r="A20" s="120" t="s">
        <v>1949</v>
      </c>
      <c r="B20" s="89" t="s">
        <v>1950</v>
      </c>
      <c r="C20" s="99">
        <f ca="1">ROUND((C5+C19)*F20,0)</f>
        <v>22708</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49883</v>
      </c>
      <c r="D22" s="101">
        <f ca="1">C26</f>
        <v>4.0000000000000002E-4</v>
      </c>
      <c r="E22" s="102" t="s">
        <v>1954</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49389</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6">
      <c r="A25" s="92" t="s">
        <v>1934</v>
      </c>
      <c r="B25" s="93" t="s">
        <v>1963</v>
      </c>
      <c r="C25" s="1125">
        <f ca="1">ROUND(IF('数据-取费表'!B24&lt;=1,C20*F22*'数据-取费表'!B25/2,C20*(POWER((1+F22),'数据-取费表'!B25/2)-1)),0)</f>
        <v>494</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ht="13">
      <c r="A26" s="92" t="s">
        <v>1965</v>
      </c>
      <c r="B26" s="93" t="s">
        <v>1966</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7">
      <c r="A27" s="994" t="s">
        <v>1967</v>
      </c>
      <c r="B27" s="110" t="s">
        <v>1968</v>
      </c>
      <c r="C27" s="111">
        <f ca="1">C28</f>
        <v>231619</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231619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1559357</v>
      </c>
      <c r="D31" s="1175"/>
      <c r="E31" s="111"/>
      <c r="F31" s="1176"/>
      <c r="G31" s="100" t="s">
        <v>1976</v>
      </c>
    </row>
    <row r="32" spans="1:123" s="88" customFormat="1" ht="16">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131235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109820</v>
      </c>
      <c r="D34" s="1167"/>
      <c r="E34" s="115"/>
      <c r="F34" s="1178" t="str">
        <f>IF('数据-取费表'!B26=0,"",'数据-取费表'!E20)</f>
        <v/>
      </c>
      <c r="G34" s="95"/>
    </row>
    <row r="35" spans="1:123" ht="13.5" customHeight="1">
      <c r="A35" s="92" t="s">
        <v>1932</v>
      </c>
      <c r="B35" s="93" t="s">
        <v>1981</v>
      </c>
      <c r="C35" s="115">
        <f>ROUND(C34*F35,0)</f>
        <v>3295</v>
      </c>
      <c r="D35" s="115"/>
      <c r="E35" s="115"/>
      <c r="F35" s="1179">
        <f>'数据-取费表'!E21</f>
        <v>0.03</v>
      </c>
      <c r="G35" s="95" t="s">
        <v>1982</v>
      </c>
    </row>
    <row r="36" spans="1:123" ht="26">
      <c r="A36" s="92" t="s">
        <v>1934</v>
      </c>
      <c r="B36" s="93" t="s">
        <v>1983</v>
      </c>
      <c r="C36" s="115">
        <f>ROUND(IF('数据-取费表'!B10="住宅",C34*F36,0),0)</f>
        <v>5491</v>
      </c>
      <c r="D36" s="115"/>
      <c r="E36" s="115"/>
      <c r="F36" s="1179">
        <f>'数据-取费表'!E22</f>
        <v>0.05</v>
      </c>
      <c r="G36" s="123" t="s">
        <v>1984</v>
      </c>
    </row>
    <row r="37" spans="1:123" s="122" customFormat="1" ht="13.5" customHeight="1">
      <c r="A37" s="92" t="s">
        <v>1965</v>
      </c>
      <c r="B37" s="93" t="s">
        <v>1985</v>
      </c>
      <c r="C37" s="115">
        <f>ROUND(E37*D37,0)</f>
        <v>10982</v>
      </c>
      <c r="D37" s="1167">
        <f>IF(B1="仅计算典型户型",'数据-取费表'!E5,'数据-取费表'!B5)</f>
        <v>54.91</v>
      </c>
      <c r="E37" s="115">
        <f>'数据-取费表'!E23</f>
        <v>200</v>
      </c>
      <c r="F37" s="1179"/>
      <c r="G37" s="124" t="s">
        <v>1986</v>
      </c>
    </row>
    <row r="38" spans="1:123" ht="13.5" customHeight="1">
      <c r="A38" s="92" t="s">
        <v>1987</v>
      </c>
      <c r="B38" s="93" t="s">
        <v>1988</v>
      </c>
      <c r="C38" s="115">
        <f>ROUND(C34*F38,0)</f>
        <v>1647</v>
      </c>
      <c r="D38" s="115"/>
      <c r="E38" s="115"/>
      <c r="F38" s="1179">
        <f>'数据-取费表'!E24</f>
        <v>1.4999999999999999E-2</v>
      </c>
      <c r="G38" s="95" t="s">
        <v>1982</v>
      </c>
    </row>
    <row r="39" spans="1:123" s="91" customFormat="1" ht="13.5" customHeight="1">
      <c r="A39" s="120" t="s">
        <v>1947</v>
      </c>
      <c r="B39" s="89" t="s">
        <v>1950</v>
      </c>
      <c r="C39" s="99">
        <f>ROUND(C33*F20,0)</f>
        <v>2625</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2911</v>
      </c>
      <c r="D41" s="101">
        <f ca="1">C44</f>
        <v>4.0000000000000002E-4</v>
      </c>
      <c r="E41" s="102" t="s">
        <v>1990</v>
      </c>
      <c r="F41" s="2890">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2854</v>
      </c>
      <c r="D42" s="104"/>
      <c r="E42" s="104"/>
      <c r="F42" s="105"/>
      <c r="G42" s="3546" t="s">
        <v>1992</v>
      </c>
    </row>
    <row r="43" spans="1:123" ht="13.5" customHeight="1">
      <c r="A43" s="92" t="s">
        <v>1932</v>
      </c>
      <c r="B43" s="93" t="s">
        <v>1961</v>
      </c>
      <c r="C43" s="104">
        <f ca="1">ROUND(IF('数据-取费表'!B24&lt;=1,C39*F22*'数据-取费表'!B23/2,C39*(POWER((1+F22),'数据-取费表'!B23/2)-1)),0)</f>
        <v>57</v>
      </c>
      <c r="D43" s="104"/>
      <c r="E43" s="104"/>
      <c r="F43" s="105"/>
      <c r="G43" s="3547"/>
    </row>
    <row r="44" spans="1:123" ht="13.5" customHeight="1">
      <c r="A44" s="92" t="s">
        <v>1934</v>
      </c>
      <c r="B44" s="93" t="s">
        <v>1963</v>
      </c>
      <c r="C44" s="104">
        <f ca="1">ROUND(IF('数据-取费表'!B24&lt;=1,C40*F22*'数据-取费表'!B23/2,C40*(POWER((1+F22),'数据-取费表'!B23/2)-1)),4)</f>
        <v>4.0000000000000002E-4</v>
      </c>
      <c r="D44" s="104"/>
      <c r="E44" s="104"/>
      <c r="F44" s="105"/>
      <c r="G44" s="3548"/>
    </row>
    <row r="45" spans="1:123" s="91" customFormat="1" ht="13.5" customHeight="1">
      <c r="A45" s="120" t="s">
        <v>1956</v>
      </c>
      <c r="B45" s="110" t="s">
        <v>1968</v>
      </c>
      <c r="C45" s="111">
        <f>C46</f>
        <v>26772</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26772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0">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177148</v>
      </c>
      <c r="D49" s="99"/>
      <c r="E49" s="99"/>
      <c r="F49" s="126"/>
      <c r="G49" s="100" t="s">
        <v>2000</v>
      </c>
    </row>
    <row r="50" spans="1:123" s="122" customFormat="1" ht="26">
      <c r="A50" s="994" t="s">
        <v>2001</v>
      </c>
      <c r="B50" s="89" t="s">
        <v>2002</v>
      </c>
      <c r="C50" s="99"/>
      <c r="D50" s="99"/>
      <c r="E50" s="99"/>
      <c r="F50" s="126">
        <f>IF('数据-取费表'!B26=0,'数据-取费表'!E20,1)</f>
        <v>0.75</v>
      </c>
      <c r="G50" s="113" t="s">
        <v>2003</v>
      </c>
    </row>
    <row r="51" spans="1:123" ht="16.5" customHeight="1">
      <c r="A51" s="994" t="s">
        <v>2004</v>
      </c>
      <c r="B51" s="89" t="s">
        <v>2005</v>
      </c>
      <c r="C51" s="99">
        <f ca="1">ROUND(C49*F50,0)</f>
        <v>132861</v>
      </c>
      <c r="D51" s="99"/>
      <c r="E51" s="99"/>
      <c r="F51" s="126"/>
      <c r="G51" s="100" t="s">
        <v>2006</v>
      </c>
    </row>
    <row r="52" spans="1:123" s="88" customFormat="1" ht="16.5" thickBot="1">
      <c r="A52" s="127" t="s">
        <v>2007</v>
      </c>
      <c r="B52" s="128"/>
      <c r="C52" s="129">
        <f ca="1">C31+C51</f>
        <v>1692218</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5">
      <c r="B55" s="132" t="s">
        <v>2008</v>
      </c>
      <c r="C55" s="133"/>
    </row>
    <row r="56" spans="1:123" ht="13">
      <c r="B56" s="135" t="s">
        <v>2009</v>
      </c>
      <c r="C56" s="136">
        <f ca="1">ROUND(C51/C52,3)</f>
        <v>7.9000000000000001E-2</v>
      </c>
    </row>
    <row r="57" spans="1:123" ht="13">
      <c r="B57" s="135" t="s">
        <v>2010</v>
      </c>
      <c r="C57" s="137">
        <f ca="1">1-C56</f>
        <v>0.92100000000000004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F00-000000000000}">
      <formula1>"已包含在土地取得成本中,未包含在土地取得成本中"</formula1>
    </dataValidation>
    <dataValidation type="list" allowBlank="1" showInputMessage="1" showErrorMessage="1" sqref="G8" xr:uid="{00000000-0002-0000-1F00-000001000000}">
      <formula1>"已包含在土地购买价格中,未包含在土地购买价格中"</formula1>
    </dataValidation>
    <dataValidation type="list" allowBlank="1" showInputMessage="1" showErrorMessage="1" sqref="B1" xr:uid="{00000000-0002-0000-1F00-000002000000}">
      <formula1>"估价对象,仅计算典型户型"</formula1>
    </dataValidation>
    <dataValidation type="list" allowBlank="1" showInputMessage="1" showErrorMessage="1" sqref="G2" xr:uid="{00000000-0002-0000-1F00-000003000000}">
      <formula1>估价方法</formula1>
    </dataValidation>
    <dataValidation type="list" allowBlank="1" showInputMessage="1" showErrorMessage="1" sqref="D2" xr:uid="{00000000-0002-0000-1F00-000004000000}">
      <formula1>"需扣减承租人权益,——"</formula1>
    </dataValidation>
  </dataValidations>
  <pageMargins left="0.7" right="0.7" top="0.75" bottom="0.75" header="0.3" footer="0.3"/>
  <pageSetup paperSize="9" scale="7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
  <cols>
    <col min="1" max="1" width="12.6328125" style="741" customWidth="1"/>
    <col min="2" max="2" width="10.26953125" style="674" customWidth="1"/>
  </cols>
  <sheetData>
    <row r="1" spans="1:6">
      <c r="A1" s="3549" t="s">
        <v>779</v>
      </c>
      <c r="B1" s="3549"/>
    </row>
    <row r="2" spans="1:6" ht="14.5" thickBot="1">
      <c r="A2" s="841"/>
      <c r="B2" s="841"/>
    </row>
    <row r="3" spans="1:6" ht="14.5" thickBot="1">
      <c r="A3" s="841"/>
      <c r="B3" s="841"/>
      <c r="C3" s="842" t="s">
        <v>780</v>
      </c>
      <c r="D3" s="842" t="s">
        <v>781</v>
      </c>
      <c r="E3" s="842" t="s">
        <v>782</v>
      </c>
      <c r="F3" s="842" t="s">
        <v>783</v>
      </c>
    </row>
    <row r="4" spans="1:6" ht="14.5" thickBot="1">
      <c r="A4" s="843" t="s">
        <v>784</v>
      </c>
      <c r="B4" s="844" t="s">
        <v>785</v>
      </c>
      <c r="C4" s="842"/>
      <c r="D4" s="842"/>
      <c r="E4" s="842"/>
      <c r="F4" s="842"/>
    </row>
    <row r="5" spans="1:6" ht="14.5" thickBot="1">
      <c r="A5" s="717" t="s">
        <v>786</v>
      </c>
      <c r="B5" s="718" t="s">
        <v>787</v>
      </c>
      <c r="C5" s="845">
        <v>8.8999999999999996E-2</v>
      </c>
      <c r="D5" s="845">
        <v>7.3999999999999996E-2</v>
      </c>
      <c r="E5" s="845">
        <v>7.4999999999999997E-2</v>
      </c>
      <c r="F5" s="846">
        <v>0.1</v>
      </c>
    </row>
    <row r="6" spans="1:6" ht="14.5" thickBot="1">
      <c r="A6" s="717" t="s">
        <v>161</v>
      </c>
      <c r="B6" s="711" t="s">
        <v>788</v>
      </c>
      <c r="C6" s="847">
        <v>0.1</v>
      </c>
      <c r="D6" s="847">
        <v>9.0999999999999998E-2</v>
      </c>
      <c r="E6" s="847">
        <v>9.0999999999999998E-2</v>
      </c>
      <c r="F6" s="848">
        <v>0.1</v>
      </c>
    </row>
    <row r="7" spans="1:6" ht="14.5" thickBot="1">
      <c r="A7" s="717" t="s">
        <v>161</v>
      </c>
      <c r="B7" s="725" t="s">
        <v>150</v>
      </c>
      <c r="C7" s="847">
        <v>8.5999999999999993E-2</v>
      </c>
      <c r="D7" s="847">
        <v>9.6000000000000002E-2</v>
      </c>
      <c r="E7" s="847">
        <v>7.5999999999999998E-2</v>
      </c>
      <c r="F7" s="848">
        <v>0.1</v>
      </c>
    </row>
    <row r="8" spans="1:6" ht="14.5" thickBot="1">
      <c r="A8" s="717" t="s">
        <v>161</v>
      </c>
      <c r="B8" s="711" t="s">
        <v>162</v>
      </c>
      <c r="C8" s="847">
        <v>9.9000000000000005E-2</v>
      </c>
      <c r="D8" s="847">
        <v>9.8000000000000004E-2</v>
      </c>
      <c r="E8" s="847">
        <v>9.8000000000000004E-2</v>
      </c>
      <c r="F8" s="848">
        <v>0.1</v>
      </c>
    </row>
    <row r="9" spans="1:6" ht="14.5" thickBot="1">
      <c r="A9" s="734" t="s">
        <v>161</v>
      </c>
      <c r="B9" s="726" t="s">
        <v>174</v>
      </c>
      <c r="C9" s="849">
        <v>0.05</v>
      </c>
      <c r="D9" s="850"/>
      <c r="E9" s="850"/>
      <c r="F9" s="851"/>
    </row>
    <row r="10" spans="1:6" ht="14.5" thickBot="1">
      <c r="A10" s="717" t="s">
        <v>221</v>
      </c>
      <c r="B10" s="718" t="s">
        <v>789</v>
      </c>
      <c r="C10" s="845">
        <v>8.8999999999999996E-2</v>
      </c>
      <c r="D10" s="845">
        <v>7.2999999999999995E-2</v>
      </c>
      <c r="E10" s="845">
        <v>8.2000000000000003E-2</v>
      </c>
      <c r="F10" s="846">
        <v>0.1</v>
      </c>
    </row>
    <row r="11" spans="1:6" ht="14.5" thickBot="1">
      <c r="A11" s="717" t="s">
        <v>221</v>
      </c>
      <c r="B11" s="725" t="s">
        <v>137</v>
      </c>
      <c r="C11" s="847">
        <v>8.8999999999999996E-2</v>
      </c>
      <c r="D11" s="847">
        <v>7.2999999999999995E-2</v>
      </c>
      <c r="E11" s="847">
        <v>8.2000000000000003E-2</v>
      </c>
      <c r="F11" s="848">
        <v>0.1</v>
      </c>
    </row>
    <row r="12" spans="1:6" ht="14.5" thickBot="1">
      <c r="A12" s="717" t="s">
        <v>221</v>
      </c>
      <c r="B12" s="725" t="s">
        <v>88</v>
      </c>
      <c r="C12" s="847">
        <v>6.0999999999999999E-2</v>
      </c>
      <c r="D12" s="847">
        <v>7.0999999999999994E-2</v>
      </c>
      <c r="E12" s="847">
        <v>9.6000000000000002E-2</v>
      </c>
      <c r="F12" s="848">
        <v>0.1</v>
      </c>
    </row>
    <row r="13" spans="1:6" ht="14.5" thickBot="1">
      <c r="A13" s="717" t="s">
        <v>221</v>
      </c>
      <c r="B13" s="725" t="s">
        <v>163</v>
      </c>
      <c r="C13" s="847">
        <v>6.9000000000000006E-2</v>
      </c>
      <c r="D13" s="847">
        <v>6.5000000000000002E-2</v>
      </c>
      <c r="E13" s="847">
        <v>6.6000000000000003E-2</v>
      </c>
      <c r="F13" s="848">
        <v>0.1</v>
      </c>
    </row>
    <row r="14" spans="1:6" ht="14.5" thickBot="1">
      <c r="A14" s="717" t="s">
        <v>221</v>
      </c>
      <c r="B14" s="725" t="s">
        <v>175</v>
      </c>
      <c r="C14" s="847">
        <v>0.1</v>
      </c>
      <c r="D14" s="847">
        <v>6.5000000000000002E-2</v>
      </c>
      <c r="E14" s="847">
        <v>7.0000000000000007E-2</v>
      </c>
      <c r="F14" s="848">
        <v>0.1</v>
      </c>
    </row>
    <row r="15" spans="1:6" ht="14.5" thickBot="1">
      <c r="A15" s="717" t="s">
        <v>221</v>
      </c>
      <c r="B15" s="725" t="s">
        <v>187</v>
      </c>
      <c r="C15" s="847">
        <v>9.8000000000000004E-2</v>
      </c>
      <c r="D15" s="847">
        <v>8.8999999999999996E-2</v>
      </c>
      <c r="E15" s="847">
        <v>8.8999999999999996E-2</v>
      </c>
      <c r="F15" s="848">
        <v>0.1</v>
      </c>
    </row>
    <row r="16" spans="1:6" ht="14.5" thickBot="1">
      <c r="A16" s="717" t="s">
        <v>221</v>
      </c>
      <c r="B16" s="725" t="s">
        <v>199</v>
      </c>
      <c r="C16" s="847">
        <v>7.0000000000000007E-2</v>
      </c>
      <c r="D16" s="847">
        <v>9.2999999999999999E-2</v>
      </c>
      <c r="E16" s="847">
        <v>9.6000000000000002E-2</v>
      </c>
      <c r="F16" s="848">
        <v>0.1</v>
      </c>
    </row>
    <row r="17" spans="1:6" ht="14.5" thickBot="1">
      <c r="A17" s="717" t="s">
        <v>221</v>
      </c>
      <c r="B17" s="725" t="s">
        <v>211</v>
      </c>
      <c r="C17" s="847">
        <v>9.5000000000000001E-2</v>
      </c>
      <c r="D17" s="847">
        <v>0.1</v>
      </c>
      <c r="E17" s="847">
        <v>0.1</v>
      </c>
      <c r="F17" s="852"/>
    </row>
    <row r="18" spans="1:6" ht="14.5" thickBot="1">
      <c r="A18" s="717" t="s">
        <v>221</v>
      </c>
      <c r="B18" s="725" t="s">
        <v>224</v>
      </c>
      <c r="C18" s="847">
        <v>7.3999999999999996E-2</v>
      </c>
      <c r="D18" s="847">
        <v>9.9000000000000005E-2</v>
      </c>
      <c r="E18" s="847">
        <v>0.1</v>
      </c>
      <c r="F18" s="852"/>
    </row>
    <row r="19" spans="1:6" ht="14.5" thickBot="1">
      <c r="A19" s="717" t="s">
        <v>221</v>
      </c>
      <c r="B19" s="725" t="s">
        <v>235</v>
      </c>
      <c r="C19" s="847">
        <v>9.9000000000000005E-2</v>
      </c>
      <c r="D19" s="847">
        <v>7.5999999999999998E-2</v>
      </c>
      <c r="E19" s="847">
        <v>8.6999999999999994E-2</v>
      </c>
      <c r="F19" s="852"/>
    </row>
    <row r="20" spans="1:6" ht="14.5" thickBot="1">
      <c r="A20" s="717" t="s">
        <v>221</v>
      </c>
      <c r="B20" s="725" t="s">
        <v>246</v>
      </c>
      <c r="C20" s="847">
        <v>9.8000000000000004E-2</v>
      </c>
      <c r="D20" s="847">
        <v>8.5000000000000006E-2</v>
      </c>
      <c r="E20" s="847">
        <v>8.2000000000000003E-2</v>
      </c>
      <c r="F20" s="852"/>
    </row>
    <row r="21" spans="1:6" ht="14.5" thickBot="1">
      <c r="A21" s="717" t="s">
        <v>221</v>
      </c>
      <c r="B21" s="725" t="s">
        <v>257</v>
      </c>
      <c r="C21" s="847">
        <v>6.6000000000000003E-2</v>
      </c>
      <c r="D21" s="847">
        <v>6.4000000000000001E-2</v>
      </c>
      <c r="E21" s="847">
        <v>6.5000000000000002E-2</v>
      </c>
      <c r="F21" s="852"/>
    </row>
    <row r="22" spans="1:6" ht="14.5" thickBot="1">
      <c r="A22" s="717" t="s">
        <v>221</v>
      </c>
      <c r="B22" s="725" t="s">
        <v>790</v>
      </c>
      <c r="C22" s="847">
        <v>0.08</v>
      </c>
      <c r="D22" s="847">
        <v>9.8000000000000004E-2</v>
      </c>
      <c r="E22" s="847">
        <v>9.8000000000000004E-2</v>
      </c>
      <c r="F22" s="852"/>
    </row>
    <row r="23" spans="1:6" ht="14.5" thickBot="1">
      <c r="A23" s="717" t="s">
        <v>221</v>
      </c>
      <c r="B23" s="725" t="s">
        <v>279</v>
      </c>
      <c r="C23" s="847">
        <v>9.9000000000000005E-2</v>
      </c>
      <c r="D23" s="847">
        <v>9.8000000000000004E-2</v>
      </c>
      <c r="E23" s="847">
        <v>9.0999999999999998E-2</v>
      </c>
      <c r="F23" s="852"/>
    </row>
    <row r="24" spans="1:6" ht="14.5" thickBot="1">
      <c r="A24" s="717" t="s">
        <v>221</v>
      </c>
      <c r="B24" s="725" t="s">
        <v>290</v>
      </c>
      <c r="C24" s="847">
        <v>8.8999999999999996E-2</v>
      </c>
      <c r="D24" s="847">
        <v>9.7000000000000003E-2</v>
      </c>
      <c r="E24" s="847">
        <v>7.0000000000000007E-2</v>
      </c>
      <c r="F24" s="852"/>
    </row>
    <row r="25" spans="1:6" ht="14.5" thickBot="1">
      <c r="A25" s="717" t="s">
        <v>221</v>
      </c>
      <c r="B25" s="725" t="s">
        <v>300</v>
      </c>
      <c r="C25" s="847">
        <v>8.8999999999999996E-2</v>
      </c>
      <c r="D25" s="847">
        <v>0.1</v>
      </c>
      <c r="E25" s="847">
        <v>8.1000000000000003E-2</v>
      </c>
      <c r="F25" s="852"/>
    </row>
    <row r="26" spans="1:6" ht="14.5" thickBot="1">
      <c r="A26" s="717" t="s">
        <v>221</v>
      </c>
      <c r="B26" s="725" t="s">
        <v>310</v>
      </c>
      <c r="C26" s="853"/>
      <c r="D26" s="847">
        <v>9.6000000000000002E-2</v>
      </c>
      <c r="E26" s="847">
        <v>9.2999999999999999E-2</v>
      </c>
      <c r="F26" s="852"/>
    </row>
    <row r="27" spans="1:6" ht="14.5" thickBot="1">
      <c r="A27" s="717" t="s">
        <v>221</v>
      </c>
      <c r="B27" s="725" t="s">
        <v>320</v>
      </c>
      <c r="C27" s="853"/>
      <c r="D27" s="847">
        <v>7.5999999999999998E-2</v>
      </c>
      <c r="E27" s="847">
        <v>9.1999999999999998E-2</v>
      </c>
      <c r="F27" s="852"/>
    </row>
    <row r="28" spans="1:6" ht="14.5" thickBot="1">
      <c r="A28" s="734" t="s">
        <v>221</v>
      </c>
      <c r="B28" s="726" t="s">
        <v>330</v>
      </c>
      <c r="C28" s="850"/>
      <c r="D28" s="849">
        <v>7.5999999999999998E-2</v>
      </c>
      <c r="E28" s="849">
        <v>9.1999999999999998E-2</v>
      </c>
      <c r="F28" s="851"/>
    </row>
    <row r="29" spans="1:6" ht="14.5" thickBot="1">
      <c r="A29" s="717" t="s">
        <v>399</v>
      </c>
      <c r="B29" s="718" t="s">
        <v>791</v>
      </c>
      <c r="C29" s="845">
        <v>6.4000000000000001E-2</v>
      </c>
      <c r="D29" s="845">
        <v>6.5000000000000002E-2</v>
      </c>
      <c r="E29" s="845">
        <v>6.9000000000000006E-2</v>
      </c>
      <c r="F29" s="846">
        <v>0.1</v>
      </c>
    </row>
    <row r="30" spans="1:6" ht="14.5" thickBot="1">
      <c r="A30" s="717" t="s">
        <v>399</v>
      </c>
      <c r="B30" s="725" t="s">
        <v>138</v>
      </c>
      <c r="C30" s="847">
        <v>6.4000000000000001E-2</v>
      </c>
      <c r="D30" s="847">
        <v>9.9000000000000005E-2</v>
      </c>
      <c r="E30" s="847">
        <v>0.1</v>
      </c>
      <c r="F30" s="848">
        <v>0.1</v>
      </c>
    </row>
    <row r="31" spans="1:6" ht="14.5" thickBot="1">
      <c r="A31" s="717" t="s">
        <v>399</v>
      </c>
      <c r="B31" s="725" t="s">
        <v>151</v>
      </c>
      <c r="C31" s="847">
        <v>0.1</v>
      </c>
      <c r="D31" s="847">
        <v>9.5000000000000001E-2</v>
      </c>
      <c r="E31" s="847">
        <v>8.8999999999999996E-2</v>
      </c>
      <c r="F31" s="848">
        <v>0.1</v>
      </c>
    </row>
    <row r="32" spans="1:6" ht="14.5" thickBot="1">
      <c r="A32" s="717" t="s">
        <v>399</v>
      </c>
      <c r="B32" s="725" t="s">
        <v>164</v>
      </c>
      <c r="C32" s="847">
        <v>0.05</v>
      </c>
      <c r="D32" s="847">
        <v>0.05</v>
      </c>
      <c r="E32" s="847">
        <v>8.7999999999999995E-2</v>
      </c>
      <c r="F32" s="848">
        <v>0.1</v>
      </c>
    </row>
    <row r="33" spans="1:6" ht="14.5" thickBot="1">
      <c r="A33" s="717" t="s">
        <v>399</v>
      </c>
      <c r="B33" s="725" t="s">
        <v>176</v>
      </c>
      <c r="C33" s="847">
        <v>7.4999999999999997E-2</v>
      </c>
      <c r="D33" s="847">
        <v>9.4E-2</v>
      </c>
      <c r="E33" s="847">
        <v>9.7000000000000003E-2</v>
      </c>
      <c r="F33" s="848">
        <v>0.1</v>
      </c>
    </row>
    <row r="34" spans="1:6" ht="14.5" thickBot="1">
      <c r="A34" s="717" t="s">
        <v>399</v>
      </c>
      <c r="B34" s="725" t="s">
        <v>188</v>
      </c>
      <c r="C34" s="847">
        <v>9.8000000000000004E-2</v>
      </c>
      <c r="D34" s="847">
        <v>8.5999999999999993E-2</v>
      </c>
      <c r="E34" s="847">
        <v>9.7000000000000003E-2</v>
      </c>
      <c r="F34" s="848">
        <v>0.1</v>
      </c>
    </row>
    <row r="35" spans="1:6" ht="14.5" thickBot="1">
      <c r="A35" s="717" t="s">
        <v>399</v>
      </c>
      <c r="B35" s="725" t="s">
        <v>200</v>
      </c>
      <c r="C35" s="847">
        <v>5.8999999999999997E-2</v>
      </c>
      <c r="D35" s="847">
        <v>6.5000000000000002E-2</v>
      </c>
      <c r="E35" s="847">
        <v>7.0000000000000007E-2</v>
      </c>
      <c r="F35" s="848">
        <v>0.1</v>
      </c>
    </row>
    <row r="36" spans="1:6" ht="14.5" thickBot="1">
      <c r="A36" s="717" t="s">
        <v>399</v>
      </c>
      <c r="B36" s="725" t="s">
        <v>212</v>
      </c>
      <c r="C36" s="847">
        <v>6.3E-2</v>
      </c>
      <c r="D36" s="847">
        <v>0.1</v>
      </c>
      <c r="E36" s="847">
        <v>0.1</v>
      </c>
      <c r="F36" s="848">
        <v>0.1</v>
      </c>
    </row>
    <row r="37" spans="1:6" ht="14.5" thickBot="1">
      <c r="A37" s="717" t="s">
        <v>399</v>
      </c>
      <c r="B37" s="725" t="s">
        <v>225</v>
      </c>
      <c r="C37" s="847">
        <v>7.3999999999999996E-2</v>
      </c>
      <c r="D37" s="847">
        <v>0.1</v>
      </c>
      <c r="E37" s="847">
        <v>0.1</v>
      </c>
      <c r="F37" s="848">
        <v>0.1</v>
      </c>
    </row>
    <row r="38" spans="1:6" ht="14.5" thickBot="1">
      <c r="A38" s="717" t="s">
        <v>399</v>
      </c>
      <c r="B38" s="725" t="s">
        <v>236</v>
      </c>
      <c r="C38" s="847">
        <v>0.1</v>
      </c>
      <c r="D38" s="847">
        <v>9.6000000000000002E-2</v>
      </c>
      <c r="E38" s="847">
        <v>9.6000000000000002E-2</v>
      </c>
      <c r="F38" s="852"/>
    </row>
    <row r="39" spans="1:6" ht="14.5" thickBot="1">
      <c r="A39" s="717" t="s">
        <v>399</v>
      </c>
      <c r="B39" s="725" t="s">
        <v>247</v>
      </c>
      <c r="C39" s="847">
        <v>0.1</v>
      </c>
      <c r="D39" s="847">
        <v>9.6000000000000002E-2</v>
      </c>
      <c r="E39" s="847">
        <v>9.6000000000000002E-2</v>
      </c>
      <c r="F39" s="852"/>
    </row>
    <row r="40" spans="1:6" ht="14.5" thickBot="1">
      <c r="A40" s="717" t="s">
        <v>399</v>
      </c>
      <c r="B40" s="725" t="s">
        <v>258</v>
      </c>
      <c r="C40" s="847">
        <v>9.6000000000000002E-2</v>
      </c>
      <c r="D40" s="847">
        <v>0.1</v>
      </c>
      <c r="E40" s="847">
        <v>9.9000000000000005E-2</v>
      </c>
      <c r="F40" s="852"/>
    </row>
    <row r="41" spans="1:6" ht="14.5" thickBot="1">
      <c r="A41" s="717" t="s">
        <v>399</v>
      </c>
      <c r="B41" s="725" t="s">
        <v>269</v>
      </c>
      <c r="C41" s="847">
        <v>9.6000000000000002E-2</v>
      </c>
      <c r="D41" s="847">
        <v>9.8000000000000004E-2</v>
      </c>
      <c r="E41" s="847">
        <v>9.8000000000000004E-2</v>
      </c>
      <c r="F41" s="852"/>
    </row>
    <row r="42" spans="1:6" ht="14.5" thickBot="1">
      <c r="A42" s="717" t="s">
        <v>399</v>
      </c>
      <c r="B42" s="725" t="s">
        <v>280</v>
      </c>
      <c r="C42" s="847">
        <v>0.1</v>
      </c>
      <c r="D42" s="847">
        <v>8.7999999999999995E-2</v>
      </c>
      <c r="E42" s="847">
        <v>0.1</v>
      </c>
      <c r="F42" s="852"/>
    </row>
    <row r="43" spans="1:6" ht="14.5" thickBot="1">
      <c r="A43" s="717" t="s">
        <v>399</v>
      </c>
      <c r="B43" s="725" t="s">
        <v>291</v>
      </c>
      <c r="C43" s="847">
        <v>9.8000000000000004E-2</v>
      </c>
      <c r="D43" s="847">
        <v>9.7000000000000003E-2</v>
      </c>
      <c r="E43" s="847">
        <v>9.6000000000000002E-2</v>
      </c>
      <c r="F43" s="852"/>
    </row>
    <row r="44" spans="1:6" ht="14.5" thickBot="1">
      <c r="A44" s="717" t="s">
        <v>399</v>
      </c>
      <c r="B44" s="725" t="s">
        <v>301</v>
      </c>
      <c r="C44" s="847">
        <v>8.5999999999999993E-2</v>
      </c>
      <c r="D44" s="847">
        <v>7.9000000000000001E-2</v>
      </c>
      <c r="E44" s="847">
        <v>7.0999999999999994E-2</v>
      </c>
      <c r="F44" s="852"/>
    </row>
    <row r="45" spans="1:6" ht="14.5" thickBot="1">
      <c r="A45" s="717" t="s">
        <v>399</v>
      </c>
      <c r="B45" s="725" t="s">
        <v>311</v>
      </c>
      <c r="C45" s="847">
        <v>9.8000000000000004E-2</v>
      </c>
      <c r="D45" s="847">
        <v>9.6000000000000002E-2</v>
      </c>
      <c r="E45" s="847">
        <v>9.6000000000000002E-2</v>
      </c>
      <c r="F45" s="852"/>
    </row>
    <row r="46" spans="1:6" ht="14.5" thickBot="1">
      <c r="A46" s="717" t="s">
        <v>399</v>
      </c>
      <c r="B46" s="725" t="s">
        <v>321</v>
      </c>
      <c r="C46" s="847">
        <v>8.5999999999999993E-2</v>
      </c>
      <c r="D46" s="847">
        <v>9.8000000000000004E-2</v>
      </c>
      <c r="E46" s="847">
        <v>8.7999999999999995E-2</v>
      </c>
      <c r="F46" s="852"/>
    </row>
    <row r="47" spans="1:6" ht="14.5" thickBot="1">
      <c r="A47" s="717" t="s">
        <v>399</v>
      </c>
      <c r="B47" s="725" t="s">
        <v>331</v>
      </c>
      <c r="C47" s="847">
        <v>9.6000000000000002E-2</v>
      </c>
      <c r="D47" s="853"/>
      <c r="E47" s="847">
        <v>6.9000000000000006E-2</v>
      </c>
      <c r="F47" s="852"/>
    </row>
    <row r="48" spans="1:6" ht="14.5" thickBot="1">
      <c r="A48" s="734" t="s">
        <v>399</v>
      </c>
      <c r="B48" s="726" t="s">
        <v>340</v>
      </c>
      <c r="C48" s="849">
        <v>9.8000000000000004E-2</v>
      </c>
      <c r="D48" s="850"/>
      <c r="E48" s="849">
        <v>9.5000000000000001E-2</v>
      </c>
      <c r="F48" s="851"/>
    </row>
    <row r="49" spans="1:6" ht="14.5" thickBot="1">
      <c r="A49" s="717" t="s">
        <v>87</v>
      </c>
      <c r="B49" s="718" t="s">
        <v>792</v>
      </c>
      <c r="C49" s="845">
        <v>9.7000000000000003E-2</v>
      </c>
      <c r="D49" s="845">
        <v>9.5000000000000001E-2</v>
      </c>
      <c r="E49" s="845">
        <v>9.7000000000000003E-2</v>
      </c>
      <c r="F49" s="846">
        <v>0.1</v>
      </c>
    </row>
    <row r="50" spans="1:6" ht="14.5" thickBot="1">
      <c r="A50" s="717" t="s">
        <v>87</v>
      </c>
      <c r="B50" s="711" t="s">
        <v>139</v>
      </c>
      <c r="C50" s="847">
        <v>7.4999999999999997E-2</v>
      </c>
      <c r="D50" s="847">
        <v>9.5000000000000001E-2</v>
      </c>
      <c r="E50" s="847">
        <v>0.1</v>
      </c>
      <c r="F50" s="848">
        <v>0.1</v>
      </c>
    </row>
    <row r="51" spans="1:6" ht="14.5" thickBot="1">
      <c r="A51" s="717" t="s">
        <v>87</v>
      </c>
      <c r="B51" s="711" t="s">
        <v>152</v>
      </c>
      <c r="C51" s="847">
        <v>9.8000000000000004E-2</v>
      </c>
      <c r="D51" s="847">
        <v>8.8999999999999996E-2</v>
      </c>
      <c r="E51" s="847">
        <v>0.1</v>
      </c>
      <c r="F51" s="848">
        <v>0.1</v>
      </c>
    </row>
    <row r="52" spans="1:6" ht="14.5" thickBot="1">
      <c r="A52" s="717" t="s">
        <v>87</v>
      </c>
      <c r="B52" s="711" t="s">
        <v>165</v>
      </c>
      <c r="C52" s="847">
        <v>9.8000000000000004E-2</v>
      </c>
      <c r="D52" s="847">
        <v>9.7000000000000003E-2</v>
      </c>
      <c r="E52" s="847">
        <v>8.1000000000000003E-2</v>
      </c>
      <c r="F52" s="848">
        <v>0.1</v>
      </c>
    </row>
    <row r="53" spans="1:6" ht="14.5" thickBot="1">
      <c r="A53" s="717" t="s">
        <v>87</v>
      </c>
      <c r="B53" s="711" t="s">
        <v>177</v>
      </c>
      <c r="C53" s="847">
        <v>9.7000000000000003E-2</v>
      </c>
      <c r="D53" s="847">
        <v>7.5999999999999998E-2</v>
      </c>
      <c r="E53" s="847">
        <v>7.0999999999999994E-2</v>
      </c>
      <c r="F53" s="848">
        <v>0.1</v>
      </c>
    </row>
    <row r="54" spans="1:6" ht="14.5" thickBot="1">
      <c r="A54" s="717" t="s">
        <v>87</v>
      </c>
      <c r="B54" s="711" t="s">
        <v>189</v>
      </c>
      <c r="C54" s="847">
        <v>7.5999999999999998E-2</v>
      </c>
      <c r="D54" s="847">
        <v>0.1</v>
      </c>
      <c r="E54" s="847">
        <v>9.9000000000000005E-2</v>
      </c>
      <c r="F54" s="848">
        <v>0.1</v>
      </c>
    </row>
    <row r="55" spans="1:6" ht="14.5" thickBot="1">
      <c r="A55" s="717" t="s">
        <v>87</v>
      </c>
      <c r="B55" s="711" t="s">
        <v>201</v>
      </c>
      <c r="C55" s="847">
        <v>0.1</v>
      </c>
      <c r="D55" s="847">
        <v>0.1</v>
      </c>
      <c r="E55" s="847">
        <v>9.6000000000000002E-2</v>
      </c>
      <c r="F55" s="848">
        <v>0.1</v>
      </c>
    </row>
    <row r="56" spans="1:6" ht="14.5" thickBot="1">
      <c r="A56" s="717" t="s">
        <v>87</v>
      </c>
      <c r="B56" s="711" t="s">
        <v>213</v>
      </c>
      <c r="C56" s="847">
        <v>0.1</v>
      </c>
      <c r="D56" s="847">
        <v>9.6000000000000002E-2</v>
      </c>
      <c r="E56" s="847">
        <v>5.1999999999999998E-2</v>
      </c>
      <c r="F56" s="848">
        <v>0.1</v>
      </c>
    </row>
    <row r="57" spans="1:6" ht="14.5" thickBot="1">
      <c r="A57" s="717" t="s">
        <v>87</v>
      </c>
      <c r="B57" s="711" t="s">
        <v>226</v>
      </c>
      <c r="C57" s="847">
        <v>9.7000000000000003E-2</v>
      </c>
      <c r="D57" s="847">
        <v>9.6000000000000002E-2</v>
      </c>
      <c r="E57" s="847">
        <v>9.6000000000000002E-2</v>
      </c>
      <c r="F57" s="848">
        <v>0.1</v>
      </c>
    </row>
    <row r="58" spans="1:6" ht="14.5" thickBot="1">
      <c r="A58" s="717" t="s">
        <v>87</v>
      </c>
      <c r="B58" s="711" t="s">
        <v>237</v>
      </c>
      <c r="C58" s="847">
        <v>9.6000000000000002E-2</v>
      </c>
      <c r="D58" s="847">
        <v>9.9000000000000005E-2</v>
      </c>
      <c r="E58" s="847">
        <v>9.6000000000000002E-2</v>
      </c>
      <c r="F58" s="848">
        <v>0.1</v>
      </c>
    </row>
    <row r="59" spans="1:6" ht="14.5" thickBot="1">
      <c r="A59" s="717" t="s">
        <v>87</v>
      </c>
      <c r="B59" s="711" t="s">
        <v>248</v>
      </c>
      <c r="C59" s="847">
        <v>7.1999999999999995E-2</v>
      </c>
      <c r="D59" s="847">
        <v>9.6000000000000002E-2</v>
      </c>
      <c r="E59" s="847">
        <v>7.0999999999999994E-2</v>
      </c>
      <c r="F59" s="848">
        <v>0.1</v>
      </c>
    </row>
    <row r="60" spans="1:6" ht="14.5" thickBot="1">
      <c r="A60" s="717" t="s">
        <v>87</v>
      </c>
      <c r="B60" s="711" t="s">
        <v>259</v>
      </c>
      <c r="C60" s="847">
        <v>9.6000000000000002E-2</v>
      </c>
      <c r="D60" s="847">
        <v>8.8999999999999996E-2</v>
      </c>
      <c r="E60" s="847">
        <v>9.6000000000000002E-2</v>
      </c>
      <c r="F60" s="848">
        <v>0.1</v>
      </c>
    </row>
    <row r="61" spans="1:6" ht="14.5" thickBot="1">
      <c r="A61" s="717" t="s">
        <v>87</v>
      </c>
      <c r="B61" s="711" t="s">
        <v>270</v>
      </c>
      <c r="C61" s="847">
        <v>8.8999999999999996E-2</v>
      </c>
      <c r="D61" s="847">
        <v>9.8000000000000004E-2</v>
      </c>
      <c r="E61" s="847">
        <v>8.7999999999999995E-2</v>
      </c>
      <c r="F61" s="852"/>
    </row>
    <row r="62" spans="1:6" ht="14.5" thickBot="1">
      <c r="A62" s="717" t="s">
        <v>87</v>
      </c>
      <c r="B62" s="711" t="s">
        <v>281</v>
      </c>
      <c r="C62" s="847">
        <v>9.8000000000000004E-2</v>
      </c>
      <c r="D62" s="847">
        <v>9.2999999999999999E-2</v>
      </c>
      <c r="E62" s="847">
        <v>9.7000000000000003E-2</v>
      </c>
      <c r="F62" s="852"/>
    </row>
    <row r="63" spans="1:6" ht="14.5" thickBot="1">
      <c r="A63" s="717" t="s">
        <v>87</v>
      </c>
      <c r="B63" s="711" t="s">
        <v>292</v>
      </c>
      <c r="C63" s="847">
        <v>9.6000000000000002E-2</v>
      </c>
      <c r="D63" s="847">
        <v>9.8000000000000004E-2</v>
      </c>
      <c r="E63" s="847">
        <v>0.09</v>
      </c>
      <c r="F63" s="852"/>
    </row>
    <row r="64" spans="1:6" ht="14.5" thickBot="1">
      <c r="A64" s="717" t="s">
        <v>87</v>
      </c>
      <c r="B64" s="711" t="s">
        <v>302</v>
      </c>
      <c r="C64" s="847">
        <v>9.9000000000000005E-2</v>
      </c>
      <c r="D64" s="847">
        <v>9.7000000000000003E-2</v>
      </c>
      <c r="E64" s="847">
        <v>9.9000000000000005E-2</v>
      </c>
      <c r="F64" s="852"/>
    </row>
    <row r="65" spans="1:6" ht="14.5" thickBot="1">
      <c r="A65" s="717" t="s">
        <v>87</v>
      </c>
      <c r="B65" s="711" t="s">
        <v>312</v>
      </c>
      <c r="C65" s="847">
        <v>9.8000000000000004E-2</v>
      </c>
      <c r="D65" s="847">
        <v>9.6000000000000002E-2</v>
      </c>
      <c r="E65" s="847">
        <v>9.6000000000000002E-2</v>
      </c>
      <c r="F65" s="852"/>
    </row>
    <row r="66" spans="1:6" ht="14.5" thickBot="1">
      <c r="A66" s="717" t="s">
        <v>87</v>
      </c>
      <c r="B66" s="711" t="s">
        <v>322</v>
      </c>
      <c r="C66" s="847">
        <v>9.6000000000000002E-2</v>
      </c>
      <c r="D66" s="847">
        <v>9.1999999999999998E-2</v>
      </c>
      <c r="E66" s="847">
        <v>9.6000000000000002E-2</v>
      </c>
      <c r="F66" s="852"/>
    </row>
    <row r="67" spans="1:6" ht="14.5" thickBot="1">
      <c r="A67" s="717" t="s">
        <v>87</v>
      </c>
      <c r="B67" s="711" t="s">
        <v>332</v>
      </c>
      <c r="C67" s="847">
        <v>9.4E-2</v>
      </c>
      <c r="D67" s="847">
        <v>0.1</v>
      </c>
      <c r="E67" s="847">
        <v>8.7999999999999995E-2</v>
      </c>
      <c r="F67" s="852"/>
    </row>
    <row r="68" spans="1:6" ht="14.5" thickBot="1">
      <c r="A68" s="717" t="s">
        <v>87</v>
      </c>
      <c r="B68" s="711" t="s">
        <v>341</v>
      </c>
      <c r="C68" s="847">
        <v>0.1</v>
      </c>
      <c r="D68" s="847">
        <v>8.7999999999999995E-2</v>
      </c>
      <c r="E68" s="847">
        <v>9.7000000000000003E-2</v>
      </c>
      <c r="F68" s="852"/>
    </row>
    <row r="69" spans="1:6" ht="14.5" thickBot="1">
      <c r="A69" s="717" t="s">
        <v>87</v>
      </c>
      <c r="B69" s="711" t="s">
        <v>350</v>
      </c>
      <c r="C69" s="847">
        <v>6.4000000000000001E-2</v>
      </c>
      <c r="D69" s="847">
        <v>0.1</v>
      </c>
      <c r="E69" s="847">
        <v>0.1</v>
      </c>
      <c r="F69" s="852"/>
    </row>
    <row r="70" spans="1:6" ht="14.5" thickBot="1">
      <c r="A70" s="717" t="s">
        <v>87</v>
      </c>
      <c r="B70" s="711" t="s">
        <v>358</v>
      </c>
      <c r="C70" s="847">
        <v>9.0999999999999998E-2</v>
      </c>
      <c r="D70" s="853"/>
      <c r="E70" s="853"/>
      <c r="F70" s="852"/>
    </row>
    <row r="71" spans="1:6" ht="14.5" thickBot="1">
      <c r="A71" s="717" t="s">
        <v>87</v>
      </c>
      <c r="B71" s="711" t="s">
        <v>365</v>
      </c>
      <c r="C71" s="847">
        <v>0.1</v>
      </c>
      <c r="D71" s="853"/>
      <c r="E71" s="853"/>
      <c r="F71" s="852"/>
    </row>
    <row r="72" spans="1:6" ht="26.5" thickBot="1">
      <c r="A72" s="717" t="s">
        <v>87</v>
      </c>
      <c r="B72" s="711" t="s">
        <v>793</v>
      </c>
      <c r="C72" s="853"/>
      <c r="D72" s="853"/>
      <c r="E72" s="853"/>
      <c r="F72" s="848">
        <v>0.05</v>
      </c>
    </row>
    <row r="73" spans="1:6" ht="26.5" thickBot="1">
      <c r="A73" s="717" t="s">
        <v>87</v>
      </c>
      <c r="B73" s="711" t="s">
        <v>794</v>
      </c>
      <c r="C73" s="853"/>
      <c r="D73" s="853"/>
      <c r="E73" s="853"/>
      <c r="F73" s="848">
        <v>0.05</v>
      </c>
    </row>
    <row r="74" spans="1:6" ht="26.5" thickBot="1">
      <c r="A74" s="717" t="s">
        <v>87</v>
      </c>
      <c r="B74" s="711" t="s">
        <v>795</v>
      </c>
      <c r="C74" s="853"/>
      <c r="D74" s="853"/>
      <c r="E74" s="853"/>
      <c r="F74" s="848">
        <v>0.05</v>
      </c>
    </row>
    <row r="75" spans="1:6" ht="26.5" thickBot="1">
      <c r="A75" s="734" t="s">
        <v>87</v>
      </c>
      <c r="B75" s="727" t="s">
        <v>796</v>
      </c>
      <c r="C75" s="850"/>
      <c r="D75" s="850"/>
      <c r="E75" s="850"/>
      <c r="F75" s="854">
        <v>0.05</v>
      </c>
    </row>
    <row r="76" spans="1:6" ht="14.5" thickBot="1">
      <c r="A76" s="717" t="s">
        <v>480</v>
      </c>
      <c r="B76" s="718" t="s">
        <v>797</v>
      </c>
      <c r="C76" s="845">
        <v>0.1</v>
      </c>
      <c r="D76" s="845">
        <v>0.1</v>
      </c>
      <c r="E76" s="845">
        <v>0.1</v>
      </c>
      <c r="F76" s="846">
        <v>0.1</v>
      </c>
    </row>
    <row r="77" spans="1:6" ht="14.5" thickBot="1">
      <c r="A77" s="717" t="s">
        <v>480</v>
      </c>
      <c r="B77" s="711" t="s">
        <v>140</v>
      </c>
      <c r="C77" s="847">
        <v>8.7999999999999995E-2</v>
      </c>
      <c r="D77" s="847">
        <v>8.6999999999999994E-2</v>
      </c>
      <c r="E77" s="847">
        <v>7.9000000000000001E-2</v>
      </c>
      <c r="F77" s="848">
        <v>0.1</v>
      </c>
    </row>
    <row r="78" spans="1:6" ht="14.5" thickBot="1">
      <c r="A78" s="717" t="s">
        <v>480</v>
      </c>
      <c r="B78" s="711" t="s">
        <v>153</v>
      </c>
      <c r="C78" s="847">
        <v>8.6999999999999994E-2</v>
      </c>
      <c r="D78" s="847">
        <v>8.4000000000000005E-2</v>
      </c>
      <c r="E78" s="847">
        <v>9.6000000000000002E-2</v>
      </c>
      <c r="F78" s="848">
        <v>0.1</v>
      </c>
    </row>
    <row r="79" spans="1:6" ht="14.5" thickBot="1">
      <c r="A79" s="717" t="s">
        <v>480</v>
      </c>
      <c r="B79" s="711" t="s">
        <v>166</v>
      </c>
      <c r="C79" s="847">
        <v>9.8000000000000004E-2</v>
      </c>
      <c r="D79" s="847">
        <v>9.8000000000000004E-2</v>
      </c>
      <c r="E79" s="847">
        <v>9.0999999999999998E-2</v>
      </c>
      <c r="F79" s="848">
        <v>0.1</v>
      </c>
    </row>
    <row r="80" spans="1:6" ht="14.5" thickBot="1">
      <c r="A80" s="717" t="s">
        <v>480</v>
      </c>
      <c r="B80" s="711" t="s">
        <v>178</v>
      </c>
      <c r="C80" s="847">
        <v>9.6000000000000002E-2</v>
      </c>
      <c r="D80" s="847">
        <v>9.6000000000000002E-2</v>
      </c>
      <c r="E80" s="847">
        <v>0.1</v>
      </c>
      <c r="F80" s="848">
        <v>0.1</v>
      </c>
    </row>
    <row r="81" spans="1:6" ht="14.5" thickBot="1">
      <c r="A81" s="717" t="s">
        <v>480</v>
      </c>
      <c r="B81" s="711" t="s">
        <v>190</v>
      </c>
      <c r="C81" s="847">
        <v>9.9000000000000005E-2</v>
      </c>
      <c r="D81" s="847">
        <v>9.9000000000000005E-2</v>
      </c>
      <c r="E81" s="847">
        <v>9.8000000000000004E-2</v>
      </c>
      <c r="F81" s="848">
        <v>0.1</v>
      </c>
    </row>
    <row r="82" spans="1:6" ht="14.5" thickBot="1">
      <c r="A82" s="717" t="s">
        <v>480</v>
      </c>
      <c r="B82" s="711" t="s">
        <v>202</v>
      </c>
      <c r="C82" s="847">
        <v>9.9000000000000005E-2</v>
      </c>
      <c r="D82" s="847">
        <v>9.9000000000000005E-2</v>
      </c>
      <c r="E82" s="847">
        <v>9.7000000000000003E-2</v>
      </c>
      <c r="F82" s="848">
        <v>0.1</v>
      </c>
    </row>
    <row r="83" spans="1:6" ht="14.5" thickBot="1">
      <c r="A83" s="717" t="s">
        <v>480</v>
      </c>
      <c r="B83" s="711" t="s">
        <v>214</v>
      </c>
      <c r="C83" s="847">
        <v>9.8000000000000004E-2</v>
      </c>
      <c r="D83" s="847">
        <v>9.8000000000000004E-2</v>
      </c>
      <c r="E83" s="847">
        <v>9.8000000000000004E-2</v>
      </c>
      <c r="F83" s="848">
        <v>0.1</v>
      </c>
    </row>
    <row r="84" spans="1:6" ht="14.5" thickBot="1">
      <c r="A84" s="717" t="s">
        <v>480</v>
      </c>
      <c r="B84" s="711" t="s">
        <v>227</v>
      </c>
      <c r="C84" s="847">
        <v>9.9000000000000005E-2</v>
      </c>
      <c r="D84" s="847">
        <v>9.9000000000000005E-2</v>
      </c>
      <c r="E84" s="847">
        <v>9.9000000000000005E-2</v>
      </c>
      <c r="F84" s="848">
        <v>0.1</v>
      </c>
    </row>
    <row r="85" spans="1:6" ht="14.5" thickBot="1">
      <c r="A85" s="717" t="s">
        <v>480</v>
      </c>
      <c r="B85" s="711" t="s">
        <v>238</v>
      </c>
      <c r="C85" s="847">
        <v>9.9000000000000005E-2</v>
      </c>
      <c r="D85" s="847">
        <v>9.9000000000000005E-2</v>
      </c>
      <c r="E85" s="847">
        <v>9.9000000000000005E-2</v>
      </c>
      <c r="F85" s="848">
        <v>0.1</v>
      </c>
    </row>
    <row r="86" spans="1:6" ht="14.5" thickBot="1">
      <c r="A86" s="717" t="s">
        <v>480</v>
      </c>
      <c r="B86" s="711" t="s">
        <v>249</v>
      </c>
      <c r="C86" s="847">
        <v>0.1</v>
      </c>
      <c r="D86" s="847">
        <v>0.1</v>
      </c>
      <c r="E86" s="847">
        <v>7.6999999999999999E-2</v>
      </c>
      <c r="F86" s="848">
        <v>0.1</v>
      </c>
    </row>
    <row r="87" spans="1:6" ht="14.5" thickBot="1">
      <c r="A87" s="717" t="s">
        <v>480</v>
      </c>
      <c r="B87" s="711" t="s">
        <v>260</v>
      </c>
      <c r="C87" s="847">
        <v>0.1</v>
      </c>
      <c r="D87" s="847">
        <v>0.1</v>
      </c>
      <c r="E87" s="847">
        <v>9.8000000000000004E-2</v>
      </c>
      <c r="F87" s="852"/>
    </row>
    <row r="88" spans="1:6" ht="14.5" thickBot="1">
      <c r="A88" s="717" t="s">
        <v>480</v>
      </c>
      <c r="B88" s="711" t="s">
        <v>271</v>
      </c>
      <c r="C88" s="847">
        <v>9.1999999999999998E-2</v>
      </c>
      <c r="D88" s="847">
        <v>8.5000000000000006E-2</v>
      </c>
      <c r="E88" s="847">
        <v>9.6000000000000002E-2</v>
      </c>
      <c r="F88" s="852"/>
    </row>
    <row r="89" spans="1:6" ht="14.5" thickBot="1">
      <c r="A89" s="717" t="s">
        <v>480</v>
      </c>
      <c r="B89" s="711" t="s">
        <v>282</v>
      </c>
      <c r="C89" s="847">
        <v>0.1</v>
      </c>
      <c r="D89" s="847">
        <v>0.1</v>
      </c>
      <c r="E89" s="847">
        <v>9.7000000000000003E-2</v>
      </c>
      <c r="F89" s="852"/>
    </row>
    <row r="90" spans="1:6" ht="14.5" thickBot="1">
      <c r="A90" s="717" t="s">
        <v>480</v>
      </c>
      <c r="B90" s="711" t="s">
        <v>293</v>
      </c>
      <c r="C90" s="847">
        <v>9.8000000000000004E-2</v>
      </c>
      <c r="D90" s="847">
        <v>9.8000000000000004E-2</v>
      </c>
      <c r="E90" s="847">
        <v>8.7999999999999995E-2</v>
      </c>
      <c r="F90" s="852"/>
    </row>
    <row r="91" spans="1:6" ht="14.5" thickBot="1">
      <c r="A91" s="717" t="s">
        <v>480</v>
      </c>
      <c r="B91" s="711" t="s">
        <v>303</v>
      </c>
      <c r="C91" s="847">
        <v>9.9000000000000005E-2</v>
      </c>
      <c r="D91" s="847">
        <v>9.9000000000000005E-2</v>
      </c>
      <c r="E91" s="847">
        <v>9.0999999999999998E-2</v>
      </c>
      <c r="F91" s="852"/>
    </row>
    <row r="92" spans="1:6" ht="14.5" thickBot="1">
      <c r="A92" s="717" t="s">
        <v>480</v>
      </c>
      <c r="B92" s="711" t="s">
        <v>313</v>
      </c>
      <c r="C92" s="847">
        <v>9.6000000000000002E-2</v>
      </c>
      <c r="D92" s="847">
        <v>9.6000000000000002E-2</v>
      </c>
      <c r="E92" s="847">
        <v>7.2999999999999995E-2</v>
      </c>
      <c r="F92" s="852"/>
    </row>
    <row r="93" spans="1:6" ht="14.5" thickBot="1">
      <c r="A93" s="717" t="s">
        <v>480</v>
      </c>
      <c r="B93" s="711" t="s">
        <v>323</v>
      </c>
      <c r="C93" s="847">
        <v>9.6000000000000002E-2</v>
      </c>
      <c r="D93" s="847">
        <v>9.6000000000000002E-2</v>
      </c>
      <c r="E93" s="847">
        <v>9.9000000000000005E-2</v>
      </c>
      <c r="F93" s="852"/>
    </row>
    <row r="94" spans="1:6" ht="14.5" thickBot="1">
      <c r="A94" s="717" t="s">
        <v>480</v>
      </c>
      <c r="B94" s="711" t="s">
        <v>333</v>
      </c>
      <c r="C94" s="847">
        <v>7.5999999999999998E-2</v>
      </c>
      <c r="D94" s="847">
        <v>7.3999999999999996E-2</v>
      </c>
      <c r="E94" s="847">
        <v>9.7000000000000003E-2</v>
      </c>
      <c r="F94" s="852"/>
    </row>
    <row r="95" spans="1:6" ht="14.5" thickBot="1">
      <c r="A95" s="717" t="s">
        <v>480</v>
      </c>
      <c r="B95" s="711" t="s">
        <v>342</v>
      </c>
      <c r="C95" s="847">
        <v>9.9000000000000005E-2</v>
      </c>
      <c r="D95" s="847">
        <v>9.4E-2</v>
      </c>
      <c r="E95" s="847">
        <v>9.6000000000000002E-2</v>
      </c>
      <c r="F95" s="852"/>
    </row>
    <row r="96" spans="1:6" ht="14.5" thickBot="1">
      <c r="A96" s="717" t="s">
        <v>480</v>
      </c>
      <c r="B96" s="711" t="s">
        <v>351</v>
      </c>
      <c r="C96" s="847">
        <v>9.9000000000000005E-2</v>
      </c>
      <c r="D96" s="847">
        <v>9.9000000000000005E-2</v>
      </c>
      <c r="E96" s="847">
        <v>9.9000000000000005E-2</v>
      </c>
      <c r="F96" s="852"/>
    </row>
    <row r="97" spans="1:6" ht="14.5" thickBot="1">
      <c r="A97" s="717" t="s">
        <v>480</v>
      </c>
      <c r="B97" s="711" t="s">
        <v>359</v>
      </c>
      <c r="C97" s="847">
        <v>9.8000000000000004E-2</v>
      </c>
      <c r="D97" s="847">
        <v>9.8000000000000004E-2</v>
      </c>
      <c r="E97" s="847">
        <v>9.7000000000000003E-2</v>
      </c>
      <c r="F97" s="852"/>
    </row>
    <row r="98" spans="1:6" ht="14.5" thickBot="1">
      <c r="A98" s="717" t="s">
        <v>480</v>
      </c>
      <c r="B98" s="711" t="s">
        <v>366</v>
      </c>
      <c r="C98" s="847">
        <v>0.1</v>
      </c>
      <c r="D98" s="847">
        <v>0.1</v>
      </c>
      <c r="E98" s="847">
        <v>9.7000000000000003E-2</v>
      </c>
      <c r="F98" s="852"/>
    </row>
    <row r="99" spans="1:6" ht="14.5" thickBot="1">
      <c r="A99" s="717" t="s">
        <v>480</v>
      </c>
      <c r="B99" s="711" t="s">
        <v>373</v>
      </c>
      <c r="C99" s="847">
        <v>0.1</v>
      </c>
      <c r="D99" s="847">
        <v>0.1</v>
      </c>
      <c r="E99" s="853"/>
      <c r="F99" s="852"/>
    </row>
    <row r="100" spans="1:6" ht="14.5" thickBot="1">
      <c r="A100" s="717" t="s">
        <v>480</v>
      </c>
      <c r="B100" s="711" t="s">
        <v>380</v>
      </c>
      <c r="C100" s="847">
        <v>0.09</v>
      </c>
      <c r="D100" s="847">
        <v>8.8999999999999996E-2</v>
      </c>
      <c r="E100" s="853"/>
      <c r="F100" s="852"/>
    </row>
    <row r="101" spans="1:6" ht="14.5" thickBot="1">
      <c r="A101" s="717" t="s">
        <v>480</v>
      </c>
      <c r="B101" s="711" t="s">
        <v>387</v>
      </c>
      <c r="C101" s="847">
        <v>9.8000000000000004E-2</v>
      </c>
      <c r="D101" s="847">
        <v>9.7000000000000003E-2</v>
      </c>
      <c r="E101" s="853"/>
      <c r="F101" s="852"/>
    </row>
    <row r="102" spans="1:6" ht="26.5" thickBot="1">
      <c r="A102" s="717" t="s">
        <v>480</v>
      </c>
      <c r="B102" s="711" t="s">
        <v>798</v>
      </c>
      <c r="C102" s="853"/>
      <c r="D102" s="853"/>
      <c r="E102" s="853"/>
      <c r="F102" s="848">
        <v>0.05</v>
      </c>
    </row>
    <row r="103" spans="1:6" ht="26.5" thickBot="1">
      <c r="A103" s="717" t="s">
        <v>480</v>
      </c>
      <c r="B103" s="711" t="s">
        <v>799</v>
      </c>
      <c r="C103" s="853"/>
      <c r="D103" s="853"/>
      <c r="E103" s="853"/>
      <c r="F103" s="848">
        <v>0.05</v>
      </c>
    </row>
    <row r="104" spans="1:6" ht="14.5" thickBot="1">
      <c r="A104" s="717" t="s">
        <v>480</v>
      </c>
      <c r="B104" s="711" t="s">
        <v>800</v>
      </c>
      <c r="C104" s="853"/>
      <c r="D104" s="853"/>
      <c r="E104" s="853"/>
      <c r="F104" s="848">
        <v>0.05</v>
      </c>
    </row>
    <row r="105" spans="1:6" ht="26.5" thickBot="1">
      <c r="A105" s="717" t="s">
        <v>480</v>
      </c>
      <c r="B105" s="711" t="s">
        <v>801</v>
      </c>
      <c r="C105" s="853"/>
      <c r="D105" s="853"/>
      <c r="E105" s="853"/>
      <c r="F105" s="848">
        <v>0.05</v>
      </c>
    </row>
    <row r="106" spans="1:6" ht="26.5" thickBot="1">
      <c r="A106" s="717" t="s">
        <v>480</v>
      </c>
      <c r="B106" s="711" t="s">
        <v>802</v>
      </c>
      <c r="C106" s="853"/>
      <c r="D106" s="853"/>
      <c r="E106" s="853"/>
      <c r="F106" s="848">
        <v>0.05</v>
      </c>
    </row>
    <row r="107" spans="1:6" ht="26.5" thickBot="1">
      <c r="A107" s="717" t="s">
        <v>480</v>
      </c>
      <c r="B107" s="711" t="s">
        <v>803</v>
      </c>
      <c r="C107" s="853"/>
      <c r="D107" s="853"/>
      <c r="E107" s="853"/>
      <c r="F107" s="848">
        <v>0.05</v>
      </c>
    </row>
    <row r="108" spans="1:6" ht="26.5" thickBot="1">
      <c r="A108" s="717" t="s">
        <v>480</v>
      </c>
      <c r="B108" s="711" t="s">
        <v>804</v>
      </c>
      <c r="C108" s="853"/>
      <c r="D108" s="853"/>
      <c r="E108" s="853"/>
      <c r="F108" s="848">
        <v>0.05</v>
      </c>
    </row>
    <row r="109" spans="1:6" ht="26.5" thickBot="1">
      <c r="A109" s="734" t="s">
        <v>480</v>
      </c>
      <c r="B109" s="727" t="s">
        <v>805</v>
      </c>
      <c r="C109" s="850"/>
      <c r="D109" s="850"/>
      <c r="E109" s="850"/>
      <c r="F109" s="854">
        <v>0.05</v>
      </c>
    </row>
    <row r="110" spans="1:6" ht="14.5" thickBot="1">
      <c r="A110" s="717" t="s">
        <v>70</v>
      </c>
      <c r="B110" s="718" t="s">
        <v>806</v>
      </c>
      <c r="C110" s="845">
        <v>0.129</v>
      </c>
      <c r="D110" s="845">
        <v>0.129</v>
      </c>
      <c r="E110" s="845">
        <v>0.126</v>
      </c>
      <c r="F110" s="846">
        <v>0.13</v>
      </c>
    </row>
    <row r="111" spans="1:6" ht="14.5" thickBot="1">
      <c r="A111" s="717" t="s">
        <v>70</v>
      </c>
      <c r="B111" s="711" t="s">
        <v>141</v>
      </c>
      <c r="C111" s="847">
        <v>0.11</v>
      </c>
      <c r="D111" s="847">
        <v>0.11</v>
      </c>
      <c r="E111" s="847">
        <v>9.9000000000000005E-2</v>
      </c>
      <c r="F111" s="848">
        <v>0.128</v>
      </c>
    </row>
    <row r="112" spans="1:6" ht="14.5" thickBot="1">
      <c r="A112" s="717" t="s">
        <v>70</v>
      </c>
      <c r="B112" s="711" t="s">
        <v>154</v>
      </c>
      <c r="C112" s="847">
        <v>0.125</v>
      </c>
      <c r="D112" s="847">
        <v>0.125</v>
      </c>
      <c r="E112" s="847">
        <v>0.12</v>
      </c>
      <c r="F112" s="848">
        <v>0.125</v>
      </c>
    </row>
    <row r="113" spans="1:6" ht="14.5" thickBot="1">
      <c r="A113" s="717" t="s">
        <v>70</v>
      </c>
      <c r="B113" s="711" t="s">
        <v>167</v>
      </c>
      <c r="C113" s="847">
        <v>0.13</v>
      </c>
      <c r="D113" s="847">
        <v>0.13</v>
      </c>
      <c r="E113" s="847">
        <v>0.13</v>
      </c>
      <c r="F113" s="848">
        <v>0.13</v>
      </c>
    </row>
    <row r="114" spans="1:6" ht="14.5" thickBot="1">
      <c r="A114" s="717" t="s">
        <v>70</v>
      </c>
      <c r="B114" s="711" t="s">
        <v>179</v>
      </c>
      <c r="C114" s="847">
        <v>0.123</v>
      </c>
      <c r="D114" s="847">
        <v>0.123</v>
      </c>
      <c r="E114" s="847">
        <v>0.12</v>
      </c>
      <c r="F114" s="848">
        <v>0.13</v>
      </c>
    </row>
    <row r="115" spans="1:6" ht="14.5" thickBot="1">
      <c r="A115" s="717" t="s">
        <v>70</v>
      </c>
      <c r="B115" s="711" t="s">
        <v>191</v>
      </c>
      <c r="C115" s="847">
        <v>0.125</v>
      </c>
      <c r="D115" s="847">
        <v>0.125</v>
      </c>
      <c r="E115" s="847">
        <v>0.11700000000000001</v>
      </c>
      <c r="F115" s="848">
        <v>0.13</v>
      </c>
    </row>
    <row r="116" spans="1:6" ht="14.5" thickBot="1">
      <c r="A116" s="717" t="s">
        <v>70</v>
      </c>
      <c r="B116" s="711" t="s">
        <v>203</v>
      </c>
      <c r="C116" s="847">
        <v>0.11700000000000001</v>
      </c>
      <c r="D116" s="847">
        <v>0.11700000000000001</v>
      </c>
      <c r="E116" s="847">
        <v>8.7999999999999995E-2</v>
      </c>
      <c r="F116" s="848">
        <v>0.13</v>
      </c>
    </row>
    <row r="117" spans="1:6" ht="14.5" thickBot="1">
      <c r="A117" s="717" t="s">
        <v>70</v>
      </c>
      <c r="B117" s="711" t="s">
        <v>215</v>
      </c>
      <c r="C117" s="847">
        <v>0.13</v>
      </c>
      <c r="D117" s="847">
        <v>0.13</v>
      </c>
      <c r="E117" s="847">
        <v>0.129</v>
      </c>
      <c r="F117" s="848">
        <v>0.13</v>
      </c>
    </row>
    <row r="118" spans="1:6" ht="14.5" thickBot="1">
      <c r="A118" s="717" t="s">
        <v>70</v>
      </c>
      <c r="B118" s="711" t="s">
        <v>228</v>
      </c>
      <c r="C118" s="847">
        <v>0.123</v>
      </c>
      <c r="D118" s="847">
        <v>0.123</v>
      </c>
      <c r="E118" s="847">
        <v>0.11600000000000001</v>
      </c>
      <c r="F118" s="848">
        <v>0.13</v>
      </c>
    </row>
    <row r="119" spans="1:6" ht="14.5" thickBot="1">
      <c r="A119" s="717" t="s">
        <v>70</v>
      </c>
      <c r="B119" s="711" t="s">
        <v>239</v>
      </c>
      <c r="C119" s="847">
        <v>0.127</v>
      </c>
      <c r="D119" s="847">
        <v>0.127</v>
      </c>
      <c r="E119" s="847">
        <v>0.124</v>
      </c>
      <c r="F119" s="848">
        <v>0.13</v>
      </c>
    </row>
    <row r="120" spans="1:6" ht="14.5" thickBot="1">
      <c r="A120" s="717" t="s">
        <v>70</v>
      </c>
      <c r="B120" s="711" t="s">
        <v>250</v>
      </c>
      <c r="C120" s="847">
        <v>0.125</v>
      </c>
      <c r="D120" s="847">
        <v>0.125</v>
      </c>
      <c r="E120" s="847">
        <v>0.122</v>
      </c>
      <c r="F120" s="848">
        <v>0.13</v>
      </c>
    </row>
    <row r="121" spans="1:6" ht="14.5" thickBot="1">
      <c r="A121" s="717" t="s">
        <v>70</v>
      </c>
      <c r="B121" s="711" t="s">
        <v>261</v>
      </c>
      <c r="C121" s="847">
        <v>0.13</v>
      </c>
      <c r="D121" s="847">
        <v>0.13</v>
      </c>
      <c r="E121" s="847">
        <v>0.13</v>
      </c>
      <c r="F121" s="848">
        <v>0.13</v>
      </c>
    </row>
    <row r="122" spans="1:6" ht="14.5" thickBot="1">
      <c r="A122" s="717" t="s">
        <v>70</v>
      </c>
      <c r="B122" s="711" t="s">
        <v>272</v>
      </c>
      <c r="C122" s="847">
        <v>0.13</v>
      </c>
      <c r="D122" s="847">
        <v>0.13</v>
      </c>
      <c r="E122" s="847">
        <v>0.125</v>
      </c>
      <c r="F122" s="848">
        <v>0.13</v>
      </c>
    </row>
    <row r="123" spans="1:6" ht="14.5" thickBot="1">
      <c r="A123" s="717" t="s">
        <v>70</v>
      </c>
      <c r="B123" s="711" t="s">
        <v>283</v>
      </c>
      <c r="C123" s="847">
        <v>0.129</v>
      </c>
      <c r="D123" s="847">
        <v>0.129</v>
      </c>
      <c r="E123" s="847">
        <v>0.123</v>
      </c>
      <c r="F123" s="848">
        <v>0.13</v>
      </c>
    </row>
    <row r="124" spans="1:6" ht="14.5" thickBot="1">
      <c r="A124" s="717" t="s">
        <v>70</v>
      </c>
      <c r="B124" s="711" t="s">
        <v>294</v>
      </c>
      <c r="C124" s="847">
        <v>0.10199999999999999</v>
      </c>
      <c r="D124" s="847">
        <v>0.10100000000000001</v>
      </c>
      <c r="E124" s="847">
        <v>0.08</v>
      </c>
      <c r="F124" s="852"/>
    </row>
    <row r="125" spans="1:6" ht="14.5" thickBot="1">
      <c r="A125" s="717" t="s">
        <v>70</v>
      </c>
      <c r="B125" s="711" t="s">
        <v>304</v>
      </c>
      <c r="C125" s="847">
        <v>0.13</v>
      </c>
      <c r="D125" s="847">
        <v>0.13</v>
      </c>
      <c r="E125" s="847">
        <v>0.129</v>
      </c>
      <c r="F125" s="852"/>
    </row>
    <row r="126" spans="1:6" ht="14.5" thickBot="1">
      <c r="A126" s="717" t="s">
        <v>70</v>
      </c>
      <c r="B126" s="711" t="s">
        <v>314</v>
      </c>
      <c r="C126" s="847">
        <v>0.13</v>
      </c>
      <c r="D126" s="847">
        <v>0.13</v>
      </c>
      <c r="E126" s="847">
        <v>0.126</v>
      </c>
      <c r="F126" s="852"/>
    </row>
    <row r="127" spans="1:6" ht="14.5" thickBot="1">
      <c r="A127" s="717" t="s">
        <v>70</v>
      </c>
      <c r="B127" s="711" t="s">
        <v>324</v>
      </c>
      <c r="C127" s="847">
        <v>0.125</v>
      </c>
      <c r="D127" s="847">
        <v>0.125</v>
      </c>
      <c r="E127" s="847">
        <v>0.121</v>
      </c>
      <c r="F127" s="852"/>
    </row>
    <row r="128" spans="1:6" ht="14.5" thickBot="1">
      <c r="A128" s="717" t="s">
        <v>70</v>
      </c>
      <c r="B128" s="711" t="s">
        <v>334</v>
      </c>
      <c r="C128" s="847">
        <v>0.12</v>
      </c>
      <c r="D128" s="847">
        <v>0.12</v>
      </c>
      <c r="E128" s="847">
        <v>0.105</v>
      </c>
      <c r="F128" s="852"/>
    </row>
    <row r="129" spans="1:6" ht="14.5" thickBot="1">
      <c r="A129" s="717" t="s">
        <v>70</v>
      </c>
      <c r="B129" s="711" t="s">
        <v>343</v>
      </c>
      <c r="C129" s="847">
        <v>0.13</v>
      </c>
      <c r="D129" s="847">
        <v>0.13</v>
      </c>
      <c r="E129" s="847">
        <v>0.126</v>
      </c>
      <c r="F129" s="852"/>
    </row>
    <row r="130" spans="1:6" ht="14.5" thickBot="1">
      <c r="A130" s="717" t="s">
        <v>70</v>
      </c>
      <c r="B130" s="711" t="s">
        <v>352</v>
      </c>
      <c r="C130" s="847">
        <v>0.125</v>
      </c>
      <c r="D130" s="847">
        <v>0.125</v>
      </c>
      <c r="E130" s="847">
        <v>0.122</v>
      </c>
      <c r="F130" s="852"/>
    </row>
    <row r="131" spans="1:6" ht="14.5" thickBot="1">
      <c r="A131" s="717" t="s">
        <v>70</v>
      </c>
      <c r="B131" s="711" t="s">
        <v>360</v>
      </c>
      <c r="C131" s="847">
        <v>0.127</v>
      </c>
      <c r="D131" s="847">
        <v>0.126</v>
      </c>
      <c r="E131" s="847">
        <v>0.123</v>
      </c>
      <c r="F131" s="852"/>
    </row>
    <row r="132" spans="1:6" ht="14.5" thickBot="1">
      <c r="A132" s="717" t="s">
        <v>70</v>
      </c>
      <c r="B132" s="711" t="s">
        <v>367</v>
      </c>
      <c r="C132" s="847">
        <v>9.0999999999999998E-2</v>
      </c>
      <c r="D132" s="847">
        <v>0.121</v>
      </c>
      <c r="E132" s="847">
        <v>9.9000000000000005E-2</v>
      </c>
      <c r="F132" s="852"/>
    </row>
    <row r="133" spans="1:6" ht="14.5" thickBot="1">
      <c r="A133" s="717" t="s">
        <v>70</v>
      </c>
      <c r="B133" s="711" t="s">
        <v>374</v>
      </c>
      <c r="C133" s="847">
        <v>0.13</v>
      </c>
      <c r="D133" s="847">
        <v>0.13</v>
      </c>
      <c r="E133" s="847">
        <v>0.129</v>
      </c>
      <c r="F133" s="852"/>
    </row>
    <row r="134" spans="1:6" ht="14.5" thickBot="1">
      <c r="A134" s="717" t="s">
        <v>70</v>
      </c>
      <c r="B134" s="711" t="s">
        <v>807</v>
      </c>
      <c r="C134" s="847">
        <v>6.8000000000000005E-2</v>
      </c>
      <c r="D134" s="847">
        <v>6.5000000000000002E-2</v>
      </c>
      <c r="E134" s="847">
        <v>6.5000000000000002E-2</v>
      </c>
      <c r="F134" s="848">
        <v>0.13</v>
      </c>
    </row>
    <row r="135" spans="1:6" ht="14.5" thickBot="1">
      <c r="A135" s="717" t="s">
        <v>70</v>
      </c>
      <c r="B135" s="711" t="s">
        <v>388</v>
      </c>
      <c r="C135" s="847">
        <v>0.123</v>
      </c>
      <c r="D135" s="847">
        <v>0.123</v>
      </c>
      <c r="E135" s="847">
        <v>0.11</v>
      </c>
      <c r="F135" s="852"/>
    </row>
    <row r="136" spans="1:6" ht="14.5" thickBot="1">
      <c r="A136" s="717" t="s">
        <v>70</v>
      </c>
      <c r="B136" s="711" t="s">
        <v>395</v>
      </c>
      <c r="C136" s="847">
        <v>0.13</v>
      </c>
      <c r="D136" s="847">
        <v>0.13</v>
      </c>
      <c r="E136" s="847">
        <v>0.125</v>
      </c>
      <c r="F136" s="852"/>
    </row>
    <row r="137" spans="1:6" ht="14.5" thickBot="1">
      <c r="A137" s="717" t="s">
        <v>70</v>
      </c>
      <c r="B137" s="711" t="s">
        <v>402</v>
      </c>
      <c r="C137" s="847">
        <v>0.121</v>
      </c>
      <c r="D137" s="847">
        <v>0.122</v>
      </c>
      <c r="E137" s="847">
        <v>0.115</v>
      </c>
      <c r="F137" s="852"/>
    </row>
    <row r="138" spans="1:6" ht="14.5" thickBot="1">
      <c r="A138" s="717" t="s">
        <v>70</v>
      </c>
      <c r="B138" s="711" t="s">
        <v>808</v>
      </c>
      <c r="C138" s="847">
        <v>0.105</v>
      </c>
      <c r="D138" s="847">
        <v>0.125</v>
      </c>
      <c r="E138" s="847">
        <v>0.112</v>
      </c>
      <c r="F138" s="852"/>
    </row>
    <row r="139" spans="1:6" ht="14.5" thickBot="1">
      <c r="A139" s="717" t="s">
        <v>70</v>
      </c>
      <c r="B139" s="711" t="s">
        <v>809</v>
      </c>
      <c r="C139" s="847">
        <v>0.127</v>
      </c>
      <c r="D139" s="847">
        <v>0.127</v>
      </c>
      <c r="E139" s="847">
        <v>0.122</v>
      </c>
      <c r="F139" s="848">
        <v>0.13</v>
      </c>
    </row>
    <row r="140" spans="1:6" ht="14.5" thickBot="1">
      <c r="A140" s="717" t="s">
        <v>70</v>
      </c>
      <c r="B140" s="711" t="s">
        <v>810</v>
      </c>
      <c r="C140" s="847">
        <v>0.125</v>
      </c>
      <c r="D140" s="847">
        <v>0.125</v>
      </c>
      <c r="E140" s="847">
        <v>0.11899999999999999</v>
      </c>
      <c r="F140" s="848">
        <v>0.13</v>
      </c>
    </row>
    <row r="141" spans="1:6" ht="14.5" thickBot="1">
      <c r="A141" s="717" t="s">
        <v>70</v>
      </c>
      <c r="B141" s="711" t="s">
        <v>421</v>
      </c>
      <c r="C141" s="847">
        <v>0.125</v>
      </c>
      <c r="D141" s="847">
        <v>0.125</v>
      </c>
      <c r="E141" s="847">
        <v>0.11700000000000001</v>
      </c>
      <c r="F141" s="852"/>
    </row>
    <row r="142" spans="1:6" ht="14.5" thickBot="1">
      <c r="A142" s="717" t="s">
        <v>70</v>
      </c>
      <c r="B142" s="711" t="s">
        <v>426</v>
      </c>
      <c r="C142" s="847">
        <v>0.125</v>
      </c>
      <c r="D142" s="847">
        <v>0.125</v>
      </c>
      <c r="E142" s="847">
        <v>0.115</v>
      </c>
      <c r="F142" s="852"/>
    </row>
    <row r="143" spans="1:6" ht="14.5" thickBot="1">
      <c r="A143" s="717" t="s">
        <v>70</v>
      </c>
      <c r="B143" s="711" t="s">
        <v>431</v>
      </c>
      <c r="C143" s="847">
        <v>0.121</v>
      </c>
      <c r="D143" s="847">
        <v>0.121</v>
      </c>
      <c r="E143" s="847">
        <v>0.108</v>
      </c>
      <c r="F143" s="852"/>
    </row>
    <row r="144" spans="1:6" ht="14.5" thickBot="1">
      <c r="A144" s="717" t="s">
        <v>70</v>
      </c>
      <c r="B144" s="855" t="s">
        <v>811</v>
      </c>
      <c r="C144" s="856">
        <v>0.126</v>
      </c>
      <c r="D144" s="856">
        <v>0.126</v>
      </c>
      <c r="E144" s="856">
        <v>0.121</v>
      </c>
      <c r="F144" s="852"/>
    </row>
    <row r="145" spans="1:6" ht="14.5" thickBot="1">
      <c r="A145" s="734" t="s">
        <v>70</v>
      </c>
      <c r="B145" s="857" t="s">
        <v>812</v>
      </c>
      <c r="C145" s="858"/>
      <c r="D145" s="858"/>
      <c r="E145" s="858"/>
      <c r="F145" s="859">
        <v>0.05</v>
      </c>
    </row>
    <row r="146" spans="1:6" ht="26.5" thickBot="1">
      <c r="A146" s="860" t="s">
        <v>70</v>
      </c>
      <c r="B146" s="725" t="s">
        <v>813</v>
      </c>
      <c r="C146" s="853"/>
      <c r="D146" s="853"/>
      <c r="E146" s="853"/>
      <c r="F146" s="861">
        <v>0.05</v>
      </c>
    </row>
    <row r="147" spans="1:6" ht="26.5" thickBot="1">
      <c r="A147" s="717" t="s">
        <v>70</v>
      </c>
      <c r="B147" s="711" t="s">
        <v>814</v>
      </c>
      <c r="C147" s="853"/>
      <c r="D147" s="853"/>
      <c r="E147" s="853"/>
      <c r="F147" s="848">
        <v>0.05</v>
      </c>
    </row>
    <row r="148" spans="1:6" ht="26.5" thickBot="1">
      <c r="A148" s="717" t="s">
        <v>70</v>
      </c>
      <c r="B148" s="711" t="s">
        <v>815</v>
      </c>
      <c r="C148" s="853"/>
      <c r="D148" s="853"/>
      <c r="E148" s="853"/>
      <c r="F148" s="848">
        <v>0.05</v>
      </c>
    </row>
    <row r="149" spans="1:6" ht="26.5" thickBot="1">
      <c r="A149" s="717" t="s">
        <v>70</v>
      </c>
      <c r="B149" s="711" t="s">
        <v>816</v>
      </c>
      <c r="C149" s="853"/>
      <c r="D149" s="853"/>
      <c r="E149" s="853"/>
      <c r="F149" s="848">
        <v>0.05</v>
      </c>
    </row>
    <row r="150" spans="1:6" ht="26.5" thickBot="1">
      <c r="A150" s="717" t="s">
        <v>70</v>
      </c>
      <c r="B150" s="711" t="s">
        <v>817</v>
      </c>
      <c r="C150" s="853"/>
      <c r="D150" s="853"/>
      <c r="E150" s="853"/>
      <c r="F150" s="848">
        <v>0.05</v>
      </c>
    </row>
    <row r="151" spans="1:6" ht="26.5" thickBot="1">
      <c r="A151" s="717" t="s">
        <v>70</v>
      </c>
      <c r="B151" s="711" t="s">
        <v>818</v>
      </c>
      <c r="C151" s="853"/>
      <c r="D151" s="853"/>
      <c r="E151" s="853"/>
      <c r="F151" s="848">
        <v>0.05</v>
      </c>
    </row>
    <row r="152" spans="1:6" ht="26.5" thickBot="1">
      <c r="A152" s="717" t="s">
        <v>70</v>
      </c>
      <c r="B152" s="711" t="s">
        <v>464</v>
      </c>
      <c r="C152" s="853"/>
      <c r="D152" s="853"/>
      <c r="E152" s="853"/>
      <c r="F152" s="848">
        <v>0.05</v>
      </c>
    </row>
    <row r="153" spans="1:6" ht="14.5" thickBot="1">
      <c r="A153" s="717" t="s">
        <v>70</v>
      </c>
      <c r="B153" s="711" t="s">
        <v>819</v>
      </c>
      <c r="C153" s="853"/>
      <c r="D153" s="853"/>
      <c r="E153" s="853"/>
      <c r="F153" s="848">
        <v>0.05</v>
      </c>
    </row>
    <row r="154" spans="1:6" ht="14.5" thickBot="1">
      <c r="A154" s="717" t="s">
        <v>70</v>
      </c>
      <c r="B154" s="711" t="s">
        <v>820</v>
      </c>
      <c r="C154" s="853"/>
      <c r="D154" s="853"/>
      <c r="E154" s="853"/>
      <c r="F154" s="848">
        <v>0.05</v>
      </c>
    </row>
    <row r="155" spans="1:6" ht="26.5" thickBot="1">
      <c r="A155" s="717" t="s">
        <v>70</v>
      </c>
      <c r="B155" s="711" t="s">
        <v>821</v>
      </c>
      <c r="C155" s="853"/>
      <c r="D155" s="853"/>
      <c r="E155" s="853"/>
      <c r="F155" s="848">
        <v>0.05</v>
      </c>
    </row>
    <row r="156" spans="1:6" ht="26.5" thickBot="1">
      <c r="A156" s="717" t="s">
        <v>70</v>
      </c>
      <c r="B156" s="711" t="s">
        <v>822</v>
      </c>
      <c r="C156" s="853"/>
      <c r="D156" s="853"/>
      <c r="E156" s="853"/>
      <c r="F156" s="848">
        <v>0.05</v>
      </c>
    </row>
    <row r="157" spans="1:6" ht="14.5" thickBot="1">
      <c r="A157" s="734" t="s">
        <v>70</v>
      </c>
      <c r="B157" s="727" t="s">
        <v>823</v>
      </c>
      <c r="C157" s="850"/>
      <c r="D157" s="850"/>
      <c r="E157" s="850"/>
      <c r="F157" s="854">
        <v>0.05</v>
      </c>
    </row>
    <row r="158" spans="1:6" ht="14.5" thickBot="1">
      <c r="A158" s="717" t="s">
        <v>483</v>
      </c>
      <c r="B158" s="718" t="s">
        <v>824</v>
      </c>
      <c r="C158" s="845">
        <v>0.13</v>
      </c>
      <c r="D158" s="845">
        <v>0.13</v>
      </c>
      <c r="E158" s="845">
        <v>0.13</v>
      </c>
      <c r="F158" s="846">
        <v>0.13</v>
      </c>
    </row>
    <row r="159" spans="1:6" ht="14.5" thickBot="1">
      <c r="A159" s="717" t="s">
        <v>483</v>
      </c>
      <c r="B159" s="711" t="s">
        <v>142</v>
      </c>
      <c r="C159" s="847">
        <v>0.13</v>
      </c>
      <c r="D159" s="847">
        <v>0.13</v>
      </c>
      <c r="E159" s="847">
        <v>0.13</v>
      </c>
      <c r="F159" s="848">
        <v>0.13</v>
      </c>
    </row>
    <row r="160" spans="1:6" ht="14.5" thickBot="1">
      <c r="A160" s="717" t="s">
        <v>483</v>
      </c>
      <c r="B160" s="711" t="s">
        <v>155</v>
      </c>
      <c r="C160" s="847">
        <v>0.13</v>
      </c>
      <c r="D160" s="847">
        <v>0.13</v>
      </c>
      <c r="E160" s="847">
        <v>0.129</v>
      </c>
      <c r="F160" s="848">
        <v>0.13</v>
      </c>
    </row>
    <row r="161" spans="1:6" ht="14.5" thickBot="1">
      <c r="A161" s="717" t="s">
        <v>483</v>
      </c>
      <c r="B161" s="711" t="s">
        <v>168</v>
      </c>
      <c r="C161" s="847">
        <v>0.128</v>
      </c>
      <c r="D161" s="847">
        <v>0.128</v>
      </c>
      <c r="E161" s="847">
        <v>0.125</v>
      </c>
      <c r="F161" s="848">
        <v>0.13</v>
      </c>
    </row>
    <row r="162" spans="1:6" ht="14.5" thickBot="1">
      <c r="A162" s="717" t="s">
        <v>483</v>
      </c>
      <c r="B162" s="711" t="s">
        <v>180</v>
      </c>
      <c r="C162" s="847">
        <v>0.122</v>
      </c>
      <c r="D162" s="847">
        <v>0.122</v>
      </c>
      <c r="E162" s="847">
        <v>0.126</v>
      </c>
      <c r="F162" s="848">
        <v>0.122</v>
      </c>
    </row>
    <row r="163" spans="1:6" ht="14.5" thickBot="1">
      <c r="A163" s="717" t="s">
        <v>483</v>
      </c>
      <c r="B163" s="711" t="s">
        <v>192</v>
      </c>
      <c r="C163" s="847">
        <v>0.13</v>
      </c>
      <c r="D163" s="847">
        <v>0.13</v>
      </c>
      <c r="E163" s="847">
        <v>0.125</v>
      </c>
      <c r="F163" s="848">
        <v>0.13</v>
      </c>
    </row>
    <row r="164" spans="1:6" ht="14.5" thickBot="1">
      <c r="A164" s="717" t="s">
        <v>483</v>
      </c>
      <c r="B164" s="711" t="s">
        <v>204</v>
      </c>
      <c r="C164" s="847">
        <v>0.13</v>
      </c>
      <c r="D164" s="847">
        <v>0.13</v>
      </c>
      <c r="E164" s="847">
        <v>0.13</v>
      </c>
      <c r="F164" s="848">
        <v>0.13</v>
      </c>
    </row>
    <row r="165" spans="1:6" ht="14.5" thickBot="1">
      <c r="A165" s="717" t="s">
        <v>483</v>
      </c>
      <c r="B165" s="711" t="s">
        <v>216</v>
      </c>
      <c r="C165" s="847">
        <v>0.13</v>
      </c>
      <c r="D165" s="847">
        <v>0.13</v>
      </c>
      <c r="E165" s="847">
        <v>0.124</v>
      </c>
      <c r="F165" s="848">
        <v>0.13</v>
      </c>
    </row>
    <row r="166" spans="1:6" ht="14.5" thickBot="1">
      <c r="A166" s="717" t="s">
        <v>483</v>
      </c>
      <c r="B166" s="711" t="s">
        <v>229</v>
      </c>
      <c r="C166" s="847">
        <v>0.13</v>
      </c>
      <c r="D166" s="847">
        <v>0.13</v>
      </c>
      <c r="E166" s="847">
        <v>0.13</v>
      </c>
      <c r="F166" s="848">
        <v>0.13</v>
      </c>
    </row>
    <row r="167" spans="1:6" ht="14.5" thickBot="1">
      <c r="A167" s="717" t="s">
        <v>483</v>
      </c>
      <c r="B167" s="711" t="s">
        <v>240</v>
      </c>
      <c r="C167" s="847">
        <v>0.125</v>
      </c>
      <c r="D167" s="847">
        <v>0.125</v>
      </c>
      <c r="E167" s="847">
        <v>0.121</v>
      </c>
      <c r="F167" s="852"/>
    </row>
    <row r="168" spans="1:6" ht="14.5" thickBot="1">
      <c r="A168" s="717" t="s">
        <v>483</v>
      </c>
      <c r="B168" s="711" t="s">
        <v>251</v>
      </c>
      <c r="C168" s="847">
        <v>0.13</v>
      </c>
      <c r="D168" s="847">
        <v>0.13</v>
      </c>
      <c r="E168" s="847">
        <v>0.126</v>
      </c>
      <c r="F168" s="852"/>
    </row>
    <row r="169" spans="1:6" ht="14.5" thickBot="1">
      <c r="A169" s="717" t="s">
        <v>483</v>
      </c>
      <c r="B169" s="711" t="s">
        <v>262</v>
      </c>
      <c r="C169" s="847">
        <v>0.128</v>
      </c>
      <c r="D169" s="847">
        <v>0.129</v>
      </c>
      <c r="E169" s="847">
        <v>0.13</v>
      </c>
      <c r="F169" s="852"/>
    </row>
    <row r="170" spans="1:6" ht="14.5" thickBot="1">
      <c r="A170" s="717" t="s">
        <v>483</v>
      </c>
      <c r="B170" s="711" t="s">
        <v>273</v>
      </c>
      <c r="C170" s="847">
        <v>0.14099999999999999</v>
      </c>
      <c r="D170" s="847">
        <v>0.13</v>
      </c>
      <c r="E170" s="847">
        <v>0.125</v>
      </c>
      <c r="F170" s="852"/>
    </row>
    <row r="171" spans="1:6" ht="14.5" thickBot="1">
      <c r="A171" s="717" t="s">
        <v>483</v>
      </c>
      <c r="B171" s="711" t="s">
        <v>825</v>
      </c>
      <c r="C171" s="847">
        <v>0.127</v>
      </c>
      <c r="D171" s="847">
        <v>0.126</v>
      </c>
      <c r="E171" s="847">
        <v>0.126</v>
      </c>
      <c r="F171" s="848">
        <v>0.11799999999999999</v>
      </c>
    </row>
    <row r="172" spans="1:6" ht="14.5" thickBot="1">
      <c r="A172" s="717" t="s">
        <v>483</v>
      </c>
      <c r="B172" s="711" t="s">
        <v>826</v>
      </c>
      <c r="C172" s="847">
        <v>0.13</v>
      </c>
      <c r="D172" s="847">
        <v>0.13</v>
      </c>
      <c r="E172" s="847">
        <v>0.13</v>
      </c>
      <c r="F172" s="852"/>
    </row>
    <row r="173" spans="1:6" ht="14.5" thickBot="1">
      <c r="A173" s="717" t="s">
        <v>483</v>
      </c>
      <c r="B173" s="711" t="s">
        <v>305</v>
      </c>
      <c r="C173" s="847">
        <v>0.13</v>
      </c>
      <c r="D173" s="847">
        <v>0.13</v>
      </c>
      <c r="E173" s="847">
        <v>0.13</v>
      </c>
      <c r="F173" s="852"/>
    </row>
    <row r="174" spans="1:6" ht="14.5" thickBot="1">
      <c r="A174" s="717" t="s">
        <v>483</v>
      </c>
      <c r="B174" s="711" t="s">
        <v>827</v>
      </c>
      <c r="C174" s="847">
        <v>0.13</v>
      </c>
      <c r="D174" s="847">
        <v>0.13</v>
      </c>
      <c r="E174" s="847">
        <v>0.13</v>
      </c>
      <c r="F174" s="848">
        <v>0.13</v>
      </c>
    </row>
    <row r="175" spans="1:6" ht="14.5" thickBot="1">
      <c r="A175" s="717" t="s">
        <v>483</v>
      </c>
      <c r="B175" s="711" t="s">
        <v>828</v>
      </c>
      <c r="C175" s="847">
        <v>0.13</v>
      </c>
      <c r="D175" s="847">
        <v>0.13</v>
      </c>
      <c r="E175" s="847">
        <v>0.13</v>
      </c>
      <c r="F175" s="848">
        <v>0.13</v>
      </c>
    </row>
    <row r="176" spans="1:6" ht="14.5" thickBot="1">
      <c r="A176" s="717" t="s">
        <v>483</v>
      </c>
      <c r="B176" s="711" t="s">
        <v>335</v>
      </c>
      <c r="C176" s="847">
        <v>0.13</v>
      </c>
      <c r="D176" s="847">
        <v>0.13</v>
      </c>
      <c r="E176" s="847">
        <v>0.13</v>
      </c>
      <c r="F176" s="848">
        <v>0.13</v>
      </c>
    </row>
    <row r="177" spans="1:6" ht="14.5" thickBot="1">
      <c r="A177" s="717" t="s">
        <v>483</v>
      </c>
      <c r="B177" s="711" t="s">
        <v>829</v>
      </c>
      <c r="C177" s="847">
        <v>0.13</v>
      </c>
      <c r="D177" s="847">
        <v>0.13</v>
      </c>
      <c r="E177" s="847">
        <v>0.13</v>
      </c>
      <c r="F177" s="848">
        <v>0.13</v>
      </c>
    </row>
    <row r="178" spans="1:6" ht="14.5" thickBot="1">
      <c r="A178" s="717" t="s">
        <v>483</v>
      </c>
      <c r="B178" s="711" t="s">
        <v>353</v>
      </c>
      <c r="C178" s="847">
        <v>0.13</v>
      </c>
      <c r="D178" s="847">
        <v>0.13</v>
      </c>
      <c r="E178" s="847">
        <v>0.13</v>
      </c>
      <c r="F178" s="848">
        <v>0.127</v>
      </c>
    </row>
    <row r="179" spans="1:6" ht="14.5" thickBot="1">
      <c r="A179" s="717" t="s">
        <v>483</v>
      </c>
      <c r="B179" s="711" t="s">
        <v>361</v>
      </c>
      <c r="C179" s="847">
        <v>0.13</v>
      </c>
      <c r="D179" s="847">
        <v>0.13</v>
      </c>
      <c r="E179" s="847">
        <v>0.13</v>
      </c>
      <c r="F179" s="852"/>
    </row>
    <row r="180" spans="1:6" ht="14.5" thickBot="1">
      <c r="A180" s="717" t="s">
        <v>483</v>
      </c>
      <c r="B180" s="711" t="s">
        <v>830</v>
      </c>
      <c r="C180" s="847">
        <v>0.13</v>
      </c>
      <c r="D180" s="847">
        <v>0.13</v>
      </c>
      <c r="E180" s="847">
        <v>0.125</v>
      </c>
      <c r="F180" s="848">
        <v>0.13</v>
      </c>
    </row>
    <row r="181" spans="1:6" ht="14.5" thickBot="1">
      <c r="A181" s="717" t="s">
        <v>483</v>
      </c>
      <c r="B181" s="711" t="s">
        <v>375</v>
      </c>
      <c r="C181" s="847">
        <v>0.122</v>
      </c>
      <c r="D181" s="847">
        <v>0.123</v>
      </c>
      <c r="E181" s="847">
        <v>0.126</v>
      </c>
      <c r="F181" s="848">
        <v>0.121</v>
      </c>
    </row>
    <row r="182" spans="1:6" ht="14.5" thickBot="1">
      <c r="A182" s="717" t="s">
        <v>483</v>
      </c>
      <c r="B182" s="711" t="s">
        <v>382</v>
      </c>
      <c r="C182" s="847">
        <v>0.125</v>
      </c>
      <c r="D182" s="847">
        <v>0.125</v>
      </c>
      <c r="E182" s="847">
        <v>0.11700000000000001</v>
      </c>
      <c r="F182" s="848">
        <v>0.13</v>
      </c>
    </row>
    <row r="183" spans="1:6" ht="14.5" thickBot="1">
      <c r="A183" s="717" t="s">
        <v>483</v>
      </c>
      <c r="B183" s="711" t="s">
        <v>389</v>
      </c>
      <c r="C183" s="847">
        <v>0.127</v>
      </c>
      <c r="D183" s="847">
        <v>0.127</v>
      </c>
      <c r="E183" s="847">
        <v>0.128</v>
      </c>
      <c r="F183" s="852"/>
    </row>
    <row r="184" spans="1:6" ht="14.5" thickBot="1">
      <c r="A184" s="717" t="s">
        <v>483</v>
      </c>
      <c r="B184" s="711" t="s">
        <v>396</v>
      </c>
      <c r="C184" s="847">
        <v>0.125</v>
      </c>
      <c r="D184" s="847">
        <v>0.125</v>
      </c>
      <c r="E184" s="847">
        <v>0.127</v>
      </c>
      <c r="F184" s="852"/>
    </row>
    <row r="185" spans="1:6" ht="14.5" thickBot="1">
      <c r="A185" s="717" t="s">
        <v>483</v>
      </c>
      <c r="B185" s="711" t="s">
        <v>831</v>
      </c>
      <c r="C185" s="847">
        <v>0.127</v>
      </c>
      <c r="D185" s="847">
        <v>0.127</v>
      </c>
      <c r="E185" s="847">
        <v>0.128</v>
      </c>
      <c r="F185" s="848">
        <v>0.13</v>
      </c>
    </row>
    <row r="186" spans="1:6" ht="26.5" thickBot="1">
      <c r="A186" s="717" t="s">
        <v>483</v>
      </c>
      <c r="B186" s="711" t="s">
        <v>832</v>
      </c>
      <c r="C186" s="853"/>
      <c r="D186" s="853"/>
      <c r="E186" s="853"/>
      <c r="F186" s="848">
        <v>0.05</v>
      </c>
    </row>
    <row r="187" spans="1:6" ht="14.5" thickBot="1">
      <c r="A187" s="717" t="s">
        <v>483</v>
      </c>
      <c r="B187" s="711" t="s">
        <v>833</v>
      </c>
      <c r="C187" s="853"/>
      <c r="D187" s="853"/>
      <c r="E187" s="853"/>
      <c r="F187" s="848">
        <v>0.05</v>
      </c>
    </row>
    <row r="188" spans="1:6" ht="26.5" thickBot="1">
      <c r="A188" s="717" t="s">
        <v>483</v>
      </c>
      <c r="B188" s="711" t="s">
        <v>834</v>
      </c>
      <c r="C188" s="853"/>
      <c r="D188" s="853"/>
      <c r="E188" s="853"/>
      <c r="F188" s="848">
        <v>0.05</v>
      </c>
    </row>
    <row r="189" spans="1:6" ht="26.5" thickBot="1">
      <c r="A189" s="717" t="s">
        <v>483</v>
      </c>
      <c r="B189" s="711" t="s">
        <v>835</v>
      </c>
      <c r="C189" s="853"/>
      <c r="D189" s="853"/>
      <c r="E189" s="853"/>
      <c r="F189" s="848">
        <v>0.05</v>
      </c>
    </row>
    <row r="190" spans="1:6" ht="26.5" thickBot="1">
      <c r="A190" s="717" t="s">
        <v>483</v>
      </c>
      <c r="B190" s="711" t="s">
        <v>836</v>
      </c>
      <c r="C190" s="853"/>
      <c r="D190" s="853"/>
      <c r="E190" s="853"/>
      <c r="F190" s="848">
        <v>0.05</v>
      </c>
    </row>
    <row r="191" spans="1:6" ht="26.5" thickBot="1">
      <c r="A191" s="717" t="s">
        <v>483</v>
      </c>
      <c r="B191" s="711" t="s">
        <v>837</v>
      </c>
      <c r="C191" s="853"/>
      <c r="D191" s="853"/>
      <c r="E191" s="853"/>
      <c r="F191" s="848">
        <v>0.05</v>
      </c>
    </row>
    <row r="192" spans="1:6" ht="26.5" thickBot="1">
      <c r="A192" s="717" t="s">
        <v>483</v>
      </c>
      <c r="B192" s="711" t="s">
        <v>838</v>
      </c>
      <c r="C192" s="853"/>
      <c r="D192" s="853"/>
      <c r="E192" s="853"/>
      <c r="F192" s="848">
        <v>0.05</v>
      </c>
    </row>
    <row r="193" spans="1:6" ht="26.5" thickBot="1">
      <c r="A193" s="717" t="s">
        <v>483</v>
      </c>
      <c r="B193" s="711" t="s">
        <v>839</v>
      </c>
      <c r="C193" s="853"/>
      <c r="D193" s="853"/>
      <c r="E193" s="853"/>
      <c r="F193" s="848">
        <v>0.05</v>
      </c>
    </row>
    <row r="194" spans="1:6" ht="26.5" thickBot="1">
      <c r="A194" s="717" t="s">
        <v>483</v>
      </c>
      <c r="B194" s="711" t="s">
        <v>840</v>
      </c>
      <c r="C194" s="853"/>
      <c r="D194" s="853"/>
      <c r="E194" s="853"/>
      <c r="F194" s="848">
        <v>0.05</v>
      </c>
    </row>
    <row r="195" spans="1:6" ht="14.5" thickBot="1">
      <c r="A195" s="717" t="s">
        <v>483</v>
      </c>
      <c r="B195" s="711" t="s">
        <v>841</v>
      </c>
      <c r="C195" s="853"/>
      <c r="D195" s="853"/>
      <c r="E195" s="853"/>
      <c r="F195" s="848">
        <v>0.05</v>
      </c>
    </row>
    <row r="196" spans="1:6" ht="26.5" thickBot="1">
      <c r="A196" s="717" t="s">
        <v>483</v>
      </c>
      <c r="B196" s="711" t="s">
        <v>842</v>
      </c>
      <c r="C196" s="853"/>
      <c r="D196" s="853"/>
      <c r="E196" s="853"/>
      <c r="F196" s="848">
        <v>0.05</v>
      </c>
    </row>
    <row r="197" spans="1:6" ht="26.5" thickBot="1">
      <c r="A197" s="717" t="s">
        <v>483</v>
      </c>
      <c r="B197" s="711" t="s">
        <v>843</v>
      </c>
      <c r="C197" s="853"/>
      <c r="D197" s="853"/>
      <c r="E197" s="853"/>
      <c r="F197" s="848">
        <v>0.05</v>
      </c>
    </row>
    <row r="198" spans="1:6" ht="26.5" thickBot="1">
      <c r="A198" s="717" t="s">
        <v>483</v>
      </c>
      <c r="B198" s="711" t="s">
        <v>844</v>
      </c>
      <c r="C198" s="853"/>
      <c r="D198" s="853"/>
      <c r="E198" s="853"/>
      <c r="F198" s="848">
        <v>0.05</v>
      </c>
    </row>
    <row r="199" spans="1:6" ht="26.5" thickBot="1">
      <c r="A199" s="717" t="s">
        <v>483</v>
      </c>
      <c r="B199" s="711" t="s">
        <v>845</v>
      </c>
      <c r="C199" s="853"/>
      <c r="D199" s="853"/>
      <c r="E199" s="853"/>
      <c r="F199" s="848">
        <v>0.05</v>
      </c>
    </row>
    <row r="200" spans="1:6" ht="26.5" thickBot="1">
      <c r="A200" s="717" t="s">
        <v>483</v>
      </c>
      <c r="B200" s="711" t="s">
        <v>846</v>
      </c>
      <c r="C200" s="853"/>
      <c r="D200" s="853"/>
      <c r="E200" s="853"/>
      <c r="F200" s="848">
        <v>0.05</v>
      </c>
    </row>
    <row r="201" spans="1:6" ht="26.5" thickBot="1">
      <c r="A201" s="717" t="s">
        <v>483</v>
      </c>
      <c r="B201" s="711" t="s">
        <v>847</v>
      </c>
      <c r="C201" s="853"/>
      <c r="D201" s="853"/>
      <c r="E201" s="853"/>
      <c r="F201" s="848">
        <v>0.05</v>
      </c>
    </row>
    <row r="202" spans="1:6" ht="26.5" thickBot="1">
      <c r="A202" s="717" t="s">
        <v>483</v>
      </c>
      <c r="B202" s="711" t="s">
        <v>848</v>
      </c>
      <c r="C202" s="853"/>
      <c r="D202" s="853"/>
      <c r="E202" s="853"/>
      <c r="F202" s="848">
        <v>0.05</v>
      </c>
    </row>
    <row r="203" spans="1:6" ht="26.5" thickBot="1">
      <c r="A203" s="717" t="s">
        <v>483</v>
      </c>
      <c r="B203" s="711" t="s">
        <v>849</v>
      </c>
      <c r="C203" s="853"/>
      <c r="D203" s="853"/>
      <c r="E203" s="853"/>
      <c r="F203" s="848">
        <v>0.05</v>
      </c>
    </row>
    <row r="204" spans="1:6" ht="14.5" thickBot="1">
      <c r="A204" s="717" t="s">
        <v>483</v>
      </c>
      <c r="B204" s="711" t="s">
        <v>850</v>
      </c>
      <c r="C204" s="853"/>
      <c r="D204" s="853"/>
      <c r="E204" s="853"/>
      <c r="F204" s="848">
        <v>0.05</v>
      </c>
    </row>
    <row r="205" spans="1:6" ht="14.5" thickBot="1">
      <c r="A205" s="734" t="s">
        <v>483</v>
      </c>
      <c r="B205" s="727" t="s">
        <v>851</v>
      </c>
      <c r="C205" s="850"/>
      <c r="D205" s="850"/>
      <c r="E205" s="850"/>
      <c r="F205" s="854">
        <v>0.05</v>
      </c>
    </row>
    <row r="206" spans="1:6" ht="14.5" thickBot="1">
      <c r="A206" s="717" t="s">
        <v>485</v>
      </c>
      <c r="B206" s="718" t="s">
        <v>852</v>
      </c>
      <c r="C206" s="845">
        <v>0.15</v>
      </c>
      <c r="D206" s="845">
        <v>0.15</v>
      </c>
      <c r="E206" s="845">
        <v>0.15</v>
      </c>
      <c r="F206" s="846">
        <v>0.15</v>
      </c>
    </row>
    <row r="207" spans="1:6" ht="14.5" thickBot="1">
      <c r="A207" s="717" t="s">
        <v>485</v>
      </c>
      <c r="B207" s="711" t="s">
        <v>143</v>
      </c>
      <c r="C207" s="847">
        <v>0.15</v>
      </c>
      <c r="D207" s="847">
        <v>0.15</v>
      </c>
      <c r="E207" s="847">
        <v>0.15</v>
      </c>
      <c r="F207" s="848">
        <v>0.14399999999999999</v>
      </c>
    </row>
    <row r="208" spans="1:6" ht="14.5" thickBot="1">
      <c r="A208" s="717" t="s">
        <v>485</v>
      </c>
      <c r="B208" s="711" t="s">
        <v>156</v>
      </c>
      <c r="C208" s="847">
        <v>0.15</v>
      </c>
      <c r="D208" s="847">
        <v>0.15</v>
      </c>
      <c r="E208" s="847">
        <v>0.15</v>
      </c>
      <c r="F208" s="848">
        <v>0.15</v>
      </c>
    </row>
    <row r="209" spans="1:6" ht="14.5" thickBot="1">
      <c r="A209" s="717" t="s">
        <v>485</v>
      </c>
      <c r="B209" s="711" t="s">
        <v>169</v>
      </c>
      <c r="C209" s="847">
        <v>0.13700000000000001</v>
      </c>
      <c r="D209" s="847">
        <v>0.13700000000000001</v>
      </c>
      <c r="E209" s="847">
        <v>0.14000000000000001</v>
      </c>
      <c r="F209" s="848">
        <v>0.11700000000000001</v>
      </c>
    </row>
    <row r="210" spans="1:6" ht="14.5" thickBot="1">
      <c r="A210" s="717" t="s">
        <v>485</v>
      </c>
      <c r="B210" s="711" t="s">
        <v>853</v>
      </c>
      <c r="C210" s="847">
        <v>0.15</v>
      </c>
      <c r="D210" s="847">
        <v>0.15</v>
      </c>
      <c r="E210" s="847">
        <v>0.15</v>
      </c>
      <c r="F210" s="848">
        <v>0.13800000000000001</v>
      </c>
    </row>
    <row r="211" spans="1:6" ht="14.5" thickBot="1">
      <c r="A211" s="717" t="s">
        <v>485</v>
      </c>
      <c r="B211" s="711" t="s">
        <v>854</v>
      </c>
      <c r="C211" s="847">
        <v>0.13700000000000001</v>
      </c>
      <c r="D211" s="847">
        <v>0.13500000000000001</v>
      </c>
      <c r="E211" s="847">
        <v>0.13600000000000001</v>
      </c>
      <c r="F211" s="848">
        <v>0.1</v>
      </c>
    </row>
    <row r="212" spans="1:6" ht="14.5" thickBot="1">
      <c r="A212" s="717" t="s">
        <v>485</v>
      </c>
      <c r="B212" s="711" t="s">
        <v>855</v>
      </c>
      <c r="C212" s="847">
        <v>0.15</v>
      </c>
      <c r="D212" s="847">
        <v>0.15</v>
      </c>
      <c r="E212" s="847">
        <v>0.14799999999999999</v>
      </c>
      <c r="F212" s="848">
        <v>0.13600000000000001</v>
      </c>
    </row>
    <row r="213" spans="1:6" ht="14.5" thickBot="1">
      <c r="A213" s="717" t="s">
        <v>485</v>
      </c>
      <c r="B213" s="711" t="s">
        <v>217</v>
      </c>
      <c r="C213" s="847">
        <v>0.15</v>
      </c>
      <c r="D213" s="847">
        <v>0.15</v>
      </c>
      <c r="E213" s="847">
        <v>0.15</v>
      </c>
      <c r="F213" s="848">
        <v>0.13800000000000001</v>
      </c>
    </row>
    <row r="214" spans="1:6" ht="14.5" thickBot="1">
      <c r="A214" s="717" t="s">
        <v>485</v>
      </c>
      <c r="B214" s="711" t="s">
        <v>230</v>
      </c>
      <c r="C214" s="847">
        <v>9.0999999999999998E-2</v>
      </c>
      <c r="D214" s="847">
        <v>0.09</v>
      </c>
      <c r="E214" s="847">
        <v>9.1999999999999998E-2</v>
      </c>
      <c r="F214" s="852"/>
    </row>
    <row r="215" spans="1:6" ht="14.5" thickBot="1">
      <c r="A215" s="717" t="s">
        <v>485</v>
      </c>
      <c r="B215" s="711" t="s">
        <v>856</v>
      </c>
      <c r="C215" s="847">
        <v>0.15</v>
      </c>
      <c r="D215" s="847">
        <v>0.15</v>
      </c>
      <c r="E215" s="847">
        <v>0.15</v>
      </c>
      <c r="F215" s="848">
        <v>0.15</v>
      </c>
    </row>
    <row r="216" spans="1:6" ht="14.5" thickBot="1">
      <c r="A216" s="717" t="s">
        <v>485</v>
      </c>
      <c r="B216" s="711" t="s">
        <v>252</v>
      </c>
      <c r="C216" s="847">
        <v>0.14699999999999999</v>
      </c>
      <c r="D216" s="847">
        <v>0.14699999999999999</v>
      </c>
      <c r="E216" s="847">
        <v>0.15</v>
      </c>
      <c r="F216" s="848">
        <v>0.14000000000000001</v>
      </c>
    </row>
    <row r="217" spans="1:6" ht="14.5" thickBot="1">
      <c r="A217" s="717" t="s">
        <v>485</v>
      </c>
      <c r="B217" s="711" t="s">
        <v>263</v>
      </c>
      <c r="C217" s="847">
        <v>0.15</v>
      </c>
      <c r="D217" s="847">
        <v>0.15</v>
      </c>
      <c r="E217" s="847">
        <v>0.15</v>
      </c>
      <c r="F217" s="848">
        <v>0.15</v>
      </c>
    </row>
    <row r="218" spans="1:6" ht="14.5" thickBot="1">
      <c r="A218" s="717" t="s">
        <v>485</v>
      </c>
      <c r="B218" s="711" t="s">
        <v>857</v>
      </c>
      <c r="C218" s="847">
        <v>0.15</v>
      </c>
      <c r="D218" s="847">
        <v>0.15</v>
      </c>
      <c r="E218" s="847">
        <v>0.15</v>
      </c>
      <c r="F218" s="848">
        <v>0.15</v>
      </c>
    </row>
    <row r="219" spans="1:6" ht="14.5" thickBot="1">
      <c r="A219" s="717" t="s">
        <v>485</v>
      </c>
      <c r="B219" s="711" t="s">
        <v>285</v>
      </c>
      <c r="C219" s="847">
        <v>0.15</v>
      </c>
      <c r="D219" s="847">
        <v>0.15</v>
      </c>
      <c r="E219" s="847">
        <v>0.15</v>
      </c>
      <c r="F219" s="848">
        <v>0.14799999999999999</v>
      </c>
    </row>
    <row r="220" spans="1:6" ht="14.5" thickBot="1">
      <c r="A220" s="717" t="s">
        <v>485</v>
      </c>
      <c r="B220" s="711" t="s">
        <v>858</v>
      </c>
      <c r="C220" s="847">
        <v>0.15</v>
      </c>
      <c r="D220" s="847">
        <v>0.15</v>
      </c>
      <c r="E220" s="847">
        <v>0.15</v>
      </c>
      <c r="F220" s="848">
        <v>0.15</v>
      </c>
    </row>
    <row r="221" spans="1:6" ht="14.5" thickBot="1">
      <c r="A221" s="717" t="s">
        <v>485</v>
      </c>
      <c r="B221" s="711" t="s">
        <v>306</v>
      </c>
      <c r="C221" s="847"/>
      <c r="D221" s="853"/>
      <c r="E221" s="853"/>
      <c r="F221" s="848">
        <v>0.14799999999999999</v>
      </c>
    </row>
    <row r="222" spans="1:6" ht="14.5" thickBot="1">
      <c r="A222" s="717" t="s">
        <v>485</v>
      </c>
      <c r="B222" s="711" t="s">
        <v>316</v>
      </c>
      <c r="C222" s="847"/>
      <c r="D222" s="853"/>
      <c r="E222" s="853"/>
      <c r="F222" s="848">
        <v>0.1</v>
      </c>
    </row>
    <row r="223" spans="1:6" ht="14.5" thickBot="1">
      <c r="A223" s="717" t="s">
        <v>485</v>
      </c>
      <c r="B223" s="711" t="s">
        <v>326</v>
      </c>
      <c r="C223" s="847"/>
      <c r="D223" s="853"/>
      <c r="E223" s="853"/>
      <c r="F223" s="848">
        <v>0.15</v>
      </c>
    </row>
    <row r="224" spans="1:6" ht="14.5" thickBot="1">
      <c r="A224" s="717" t="s">
        <v>485</v>
      </c>
      <c r="B224" s="711" t="s">
        <v>336</v>
      </c>
      <c r="C224" s="847"/>
      <c r="D224" s="853"/>
      <c r="E224" s="853"/>
      <c r="F224" s="848">
        <v>0.15</v>
      </c>
    </row>
    <row r="225" spans="1:6" ht="14.5" thickBot="1">
      <c r="A225" s="717" t="s">
        <v>485</v>
      </c>
      <c r="B225" s="711" t="s">
        <v>859</v>
      </c>
      <c r="C225" s="847">
        <v>0.15</v>
      </c>
      <c r="D225" s="847">
        <v>0.15</v>
      </c>
      <c r="E225" s="847">
        <v>0.15</v>
      </c>
      <c r="F225" s="848">
        <v>0.15</v>
      </c>
    </row>
    <row r="226" spans="1:6" ht="14.5" thickBot="1">
      <c r="A226" s="717" t="s">
        <v>485</v>
      </c>
      <c r="B226" s="711" t="s">
        <v>354</v>
      </c>
      <c r="C226" s="847">
        <v>0.15</v>
      </c>
      <c r="D226" s="847">
        <v>0.15</v>
      </c>
      <c r="E226" s="847">
        <v>0.15</v>
      </c>
      <c r="F226" s="848">
        <v>0.14799999999999999</v>
      </c>
    </row>
    <row r="227" spans="1:6" ht="14.5" thickBot="1">
      <c r="A227" s="717" t="s">
        <v>485</v>
      </c>
      <c r="B227" s="711" t="s">
        <v>860</v>
      </c>
      <c r="C227" s="847">
        <v>0.15</v>
      </c>
      <c r="D227" s="847">
        <v>0.15</v>
      </c>
      <c r="E227" s="847">
        <v>0.15</v>
      </c>
      <c r="F227" s="848">
        <v>0.15</v>
      </c>
    </row>
    <row r="228" spans="1:6" ht="14.5" thickBot="1">
      <c r="A228" s="717" t="s">
        <v>485</v>
      </c>
      <c r="B228" s="711" t="s">
        <v>369</v>
      </c>
      <c r="C228" s="847">
        <v>0.15</v>
      </c>
      <c r="D228" s="847">
        <v>0.15</v>
      </c>
      <c r="E228" s="847">
        <v>0.15</v>
      </c>
      <c r="F228" s="848">
        <v>0.15</v>
      </c>
    </row>
    <row r="229" spans="1:6" ht="14.5" thickBot="1">
      <c r="A229" s="717" t="s">
        <v>485</v>
      </c>
      <c r="B229" s="711" t="s">
        <v>376</v>
      </c>
      <c r="C229" s="847">
        <v>0.15</v>
      </c>
      <c r="D229" s="847">
        <v>0.15</v>
      </c>
      <c r="E229" s="847">
        <v>0.15</v>
      </c>
      <c r="F229" s="852"/>
    </row>
    <row r="230" spans="1:6" ht="14.5" thickBot="1">
      <c r="A230" s="717" t="s">
        <v>485</v>
      </c>
      <c r="B230" s="711" t="s">
        <v>383</v>
      </c>
      <c r="C230" s="847">
        <v>0.14499999999999999</v>
      </c>
      <c r="D230" s="847">
        <v>0.14499999999999999</v>
      </c>
      <c r="E230" s="847">
        <v>0.14399999999999999</v>
      </c>
      <c r="F230" s="852"/>
    </row>
    <row r="231" spans="1:6" ht="14.5" thickBot="1">
      <c r="A231" s="717" t="s">
        <v>485</v>
      </c>
      <c r="B231" s="711" t="s">
        <v>861</v>
      </c>
      <c r="C231" s="847">
        <v>0.128</v>
      </c>
      <c r="D231" s="847">
        <v>0.125</v>
      </c>
      <c r="E231" s="847">
        <v>0.13200000000000001</v>
      </c>
      <c r="F231" s="852"/>
    </row>
    <row r="232" spans="1:6" ht="14.5" thickBot="1">
      <c r="A232" s="717" t="s">
        <v>485</v>
      </c>
      <c r="B232" s="711" t="s">
        <v>862</v>
      </c>
      <c r="C232" s="847">
        <v>0.14499999999999999</v>
      </c>
      <c r="D232" s="847">
        <v>0.14399999999999999</v>
      </c>
      <c r="E232" s="847">
        <v>0.14599999999999999</v>
      </c>
      <c r="F232" s="848">
        <v>0.13800000000000001</v>
      </c>
    </row>
    <row r="233" spans="1:6" ht="14.5" thickBot="1">
      <c r="A233" s="717" t="s">
        <v>485</v>
      </c>
      <c r="B233" s="711" t="s">
        <v>863</v>
      </c>
      <c r="C233" s="847">
        <v>0.14499999999999999</v>
      </c>
      <c r="D233" s="847">
        <v>0.14299999999999999</v>
      </c>
      <c r="E233" s="847">
        <v>0.14199999999999999</v>
      </c>
      <c r="F233" s="852"/>
    </row>
    <row r="234" spans="1:6" ht="14.5" thickBot="1">
      <c r="A234" s="717" t="s">
        <v>485</v>
      </c>
      <c r="B234" s="711" t="s">
        <v>864</v>
      </c>
      <c r="C234" s="847">
        <v>0.14000000000000001</v>
      </c>
      <c r="D234" s="847">
        <v>0.14000000000000001</v>
      </c>
      <c r="E234" s="847">
        <v>0.14399999999999999</v>
      </c>
      <c r="F234" s="852"/>
    </row>
    <row r="235" spans="1:6" ht="14.5" thickBot="1">
      <c r="A235" s="717" t="s">
        <v>485</v>
      </c>
      <c r="B235" s="711" t="s">
        <v>865</v>
      </c>
      <c r="C235" s="847">
        <v>0.14099999999999999</v>
      </c>
      <c r="D235" s="847">
        <v>0.14199999999999999</v>
      </c>
      <c r="E235" s="847">
        <v>0.14499999999999999</v>
      </c>
      <c r="F235" s="848">
        <v>0.15</v>
      </c>
    </row>
    <row r="236" spans="1:6" ht="14.5" thickBot="1">
      <c r="A236" s="717" t="s">
        <v>485</v>
      </c>
      <c r="B236" s="711" t="s">
        <v>418</v>
      </c>
      <c r="C236" s="853"/>
      <c r="D236" s="853"/>
      <c r="E236" s="853"/>
      <c r="F236" s="848">
        <v>0.14299999999999999</v>
      </c>
    </row>
    <row r="237" spans="1:6" ht="26.5" thickBot="1">
      <c r="A237" s="717" t="s">
        <v>485</v>
      </c>
      <c r="B237" s="711" t="s">
        <v>866</v>
      </c>
      <c r="C237" s="853"/>
      <c r="D237" s="853"/>
      <c r="E237" s="853"/>
      <c r="F237" s="848">
        <v>0.05</v>
      </c>
    </row>
    <row r="238" spans="1:6" ht="26.5" thickBot="1">
      <c r="A238" s="717" t="s">
        <v>485</v>
      </c>
      <c r="B238" s="711" t="s">
        <v>867</v>
      </c>
      <c r="C238" s="853"/>
      <c r="D238" s="853"/>
      <c r="E238" s="853"/>
      <c r="F238" s="848">
        <v>0.05</v>
      </c>
    </row>
    <row r="239" spans="1:6" ht="26.5" thickBot="1">
      <c r="A239" s="717" t="s">
        <v>485</v>
      </c>
      <c r="B239" s="711" t="s">
        <v>868</v>
      </c>
      <c r="C239" s="853"/>
      <c r="D239" s="853"/>
      <c r="E239" s="853"/>
      <c r="F239" s="848">
        <v>0.05</v>
      </c>
    </row>
    <row r="240" spans="1:6" ht="26.5" thickBot="1">
      <c r="A240" s="717" t="s">
        <v>485</v>
      </c>
      <c r="B240" s="711" t="s">
        <v>869</v>
      </c>
      <c r="C240" s="853"/>
      <c r="D240" s="853"/>
      <c r="E240" s="853"/>
      <c r="F240" s="848">
        <v>0.05</v>
      </c>
    </row>
    <row r="241" spans="1:6" ht="26.5" thickBot="1">
      <c r="A241" s="717" t="s">
        <v>485</v>
      </c>
      <c r="B241" s="711" t="s">
        <v>870</v>
      </c>
      <c r="C241" s="853"/>
      <c r="D241" s="853"/>
      <c r="E241" s="853"/>
      <c r="F241" s="848">
        <v>0.05</v>
      </c>
    </row>
    <row r="242" spans="1:6" ht="26.5" thickBot="1">
      <c r="A242" s="717" t="s">
        <v>485</v>
      </c>
      <c r="B242" s="711" t="s">
        <v>871</v>
      </c>
      <c r="C242" s="853"/>
      <c r="D242" s="853"/>
      <c r="E242" s="853"/>
      <c r="F242" s="848">
        <v>0.05</v>
      </c>
    </row>
    <row r="243" spans="1:6" ht="26.5" thickBot="1">
      <c r="A243" s="717" t="s">
        <v>485</v>
      </c>
      <c r="B243" s="711" t="s">
        <v>872</v>
      </c>
      <c r="C243" s="853"/>
      <c r="D243" s="853"/>
      <c r="E243" s="853"/>
      <c r="F243" s="848">
        <v>0.05</v>
      </c>
    </row>
    <row r="244" spans="1:6" ht="26.5" thickBot="1">
      <c r="A244" s="734" t="s">
        <v>485</v>
      </c>
      <c r="B244" s="727" t="s">
        <v>873</v>
      </c>
      <c r="C244" s="850"/>
      <c r="D244" s="850"/>
      <c r="E244" s="850"/>
      <c r="F244" s="854">
        <v>0.05</v>
      </c>
    </row>
    <row r="245" spans="1:6" ht="14.5" thickBot="1">
      <c r="A245" s="717" t="s">
        <v>487</v>
      </c>
      <c r="B245" s="718" t="s">
        <v>874</v>
      </c>
      <c r="C245" s="845">
        <v>0.15</v>
      </c>
      <c r="D245" s="845">
        <v>0.15</v>
      </c>
      <c r="E245" s="845">
        <v>0.15</v>
      </c>
      <c r="F245" s="846">
        <v>0.14299999999999999</v>
      </c>
    </row>
    <row r="246" spans="1:6" ht="14.5" thickBot="1">
      <c r="A246" s="717" t="s">
        <v>487</v>
      </c>
      <c r="B246" s="711" t="s">
        <v>144</v>
      </c>
      <c r="C246" s="847">
        <v>0.15</v>
      </c>
      <c r="D246" s="847">
        <v>0.15</v>
      </c>
      <c r="E246" s="847">
        <v>0.15</v>
      </c>
      <c r="F246" s="848">
        <v>0.114</v>
      </c>
    </row>
    <row r="247" spans="1:6" ht="14.5" thickBot="1">
      <c r="A247" s="717" t="s">
        <v>487</v>
      </c>
      <c r="B247" s="711" t="s">
        <v>875</v>
      </c>
      <c r="C247" s="847">
        <v>0.15</v>
      </c>
      <c r="D247" s="847">
        <v>0.15</v>
      </c>
      <c r="E247" s="847">
        <v>0.15</v>
      </c>
      <c r="F247" s="848">
        <v>0.15</v>
      </c>
    </row>
    <row r="248" spans="1:6" ht="14.5" thickBot="1">
      <c r="A248" s="717" t="s">
        <v>487</v>
      </c>
      <c r="B248" s="711" t="s">
        <v>876</v>
      </c>
      <c r="C248" s="847">
        <v>0.15</v>
      </c>
      <c r="D248" s="847">
        <v>0.15</v>
      </c>
      <c r="E248" s="847">
        <v>0.15</v>
      </c>
      <c r="F248" s="848">
        <v>0.14000000000000001</v>
      </c>
    </row>
    <row r="249" spans="1:6" ht="14.5" thickBot="1">
      <c r="A249" s="717" t="s">
        <v>487</v>
      </c>
      <c r="B249" s="711" t="s">
        <v>877</v>
      </c>
      <c r="C249" s="847">
        <v>0.15</v>
      </c>
      <c r="D249" s="847">
        <v>0.14899999999999999</v>
      </c>
      <c r="E249" s="847">
        <v>0.15</v>
      </c>
      <c r="F249" s="848">
        <v>0.1</v>
      </c>
    </row>
    <row r="250" spans="1:6" ht="14.5" thickBot="1">
      <c r="A250" s="717" t="s">
        <v>487</v>
      </c>
      <c r="B250" s="711" t="s">
        <v>878</v>
      </c>
      <c r="C250" s="847">
        <v>0.15</v>
      </c>
      <c r="D250" s="847">
        <v>0.15</v>
      </c>
      <c r="E250" s="847">
        <v>0.15</v>
      </c>
      <c r="F250" s="848">
        <v>0.14399999999999999</v>
      </c>
    </row>
    <row r="251" spans="1:6" ht="14.5" thickBot="1">
      <c r="A251" s="717" t="s">
        <v>487</v>
      </c>
      <c r="B251" s="711" t="s">
        <v>206</v>
      </c>
      <c r="C251" s="847">
        <v>0.15</v>
      </c>
      <c r="D251" s="847">
        <v>0.15</v>
      </c>
      <c r="E251" s="847">
        <v>0.15</v>
      </c>
      <c r="F251" s="848">
        <v>0.14299999999999999</v>
      </c>
    </row>
    <row r="252" spans="1:6" ht="14.5" thickBot="1">
      <c r="A252" s="717" t="s">
        <v>487</v>
      </c>
      <c r="B252" s="711" t="s">
        <v>218</v>
      </c>
      <c r="C252" s="847">
        <v>0.15</v>
      </c>
      <c r="D252" s="847">
        <v>0.15</v>
      </c>
      <c r="E252" s="847">
        <v>0.15</v>
      </c>
      <c r="F252" s="848">
        <v>0.1</v>
      </c>
    </row>
    <row r="253" spans="1:6" ht="14.5" thickBot="1">
      <c r="A253" s="717" t="s">
        <v>487</v>
      </c>
      <c r="B253" s="711" t="s">
        <v>231</v>
      </c>
      <c r="C253" s="847">
        <v>0.15</v>
      </c>
      <c r="D253" s="847">
        <v>0.15</v>
      </c>
      <c r="E253" s="847">
        <v>0.15</v>
      </c>
      <c r="F253" s="848">
        <v>0.1</v>
      </c>
    </row>
    <row r="254" spans="1:6" ht="14.5" thickBot="1">
      <c r="A254" s="717" t="s">
        <v>487</v>
      </c>
      <c r="B254" s="711" t="s">
        <v>242</v>
      </c>
      <c r="C254" s="853"/>
      <c r="D254" s="853"/>
      <c r="E254" s="853"/>
      <c r="F254" s="848">
        <v>0.15</v>
      </c>
    </row>
    <row r="255" spans="1:6" ht="14.5" thickBot="1">
      <c r="A255" s="717" t="s">
        <v>487</v>
      </c>
      <c r="B255" s="711" t="s">
        <v>253</v>
      </c>
      <c r="C255" s="853"/>
      <c r="D255" s="853"/>
      <c r="E255" s="853"/>
      <c r="F255" s="848">
        <v>0.14299999999999999</v>
      </c>
    </row>
    <row r="256" spans="1:6" ht="14.5" thickBot="1">
      <c r="A256" s="717" t="s">
        <v>487</v>
      </c>
      <c r="B256" s="711" t="s">
        <v>879</v>
      </c>
      <c r="C256" s="847">
        <v>0.14599999999999999</v>
      </c>
      <c r="D256" s="847">
        <v>0.14699999999999999</v>
      </c>
      <c r="E256" s="847">
        <v>0.15</v>
      </c>
      <c r="F256" s="848">
        <v>0.13200000000000001</v>
      </c>
    </row>
    <row r="257" spans="1:6" ht="14.5" thickBot="1">
      <c r="A257" s="717" t="s">
        <v>487</v>
      </c>
      <c r="B257" s="711" t="s">
        <v>275</v>
      </c>
      <c r="C257" s="847">
        <v>0.15</v>
      </c>
      <c r="D257" s="847">
        <v>0.15</v>
      </c>
      <c r="E257" s="847">
        <v>0.15</v>
      </c>
      <c r="F257" s="848">
        <v>0.13900000000000001</v>
      </c>
    </row>
    <row r="258" spans="1:6" ht="14.5" thickBot="1">
      <c r="A258" s="717" t="s">
        <v>487</v>
      </c>
      <c r="B258" s="711" t="s">
        <v>286</v>
      </c>
      <c r="C258" s="847">
        <v>0.15</v>
      </c>
      <c r="D258" s="847">
        <v>0.15</v>
      </c>
      <c r="E258" s="847">
        <v>0.15</v>
      </c>
      <c r="F258" s="848">
        <v>0.13</v>
      </c>
    </row>
    <row r="259" spans="1:6" ht="14.5" thickBot="1">
      <c r="A259" s="717" t="s">
        <v>487</v>
      </c>
      <c r="B259" s="711" t="s">
        <v>880</v>
      </c>
      <c r="C259" s="847">
        <v>0.14799999999999999</v>
      </c>
      <c r="D259" s="847">
        <v>0.14899999999999999</v>
      </c>
      <c r="E259" s="847">
        <v>0.15</v>
      </c>
      <c r="F259" s="848">
        <v>0.13700000000000001</v>
      </c>
    </row>
    <row r="260" spans="1:6" ht="14.5" thickBot="1">
      <c r="A260" s="717" t="s">
        <v>487</v>
      </c>
      <c r="B260" s="711" t="s">
        <v>307</v>
      </c>
      <c r="C260" s="847">
        <v>0.15</v>
      </c>
      <c r="D260" s="847">
        <v>0.15</v>
      </c>
      <c r="E260" s="847">
        <v>0.15</v>
      </c>
      <c r="F260" s="848">
        <v>0.14199999999999999</v>
      </c>
    </row>
    <row r="261" spans="1:6" ht="14.5" thickBot="1">
      <c r="A261" s="717" t="s">
        <v>487</v>
      </c>
      <c r="B261" s="711" t="s">
        <v>317</v>
      </c>
      <c r="C261" s="847">
        <v>0.15</v>
      </c>
      <c r="D261" s="847">
        <v>0.15</v>
      </c>
      <c r="E261" s="847">
        <v>0.14899999999999999</v>
      </c>
      <c r="F261" s="848">
        <v>0.14799999999999999</v>
      </c>
    </row>
    <row r="262" spans="1:6" ht="14.5" thickBot="1">
      <c r="A262" s="717" t="s">
        <v>487</v>
      </c>
      <c r="B262" s="711" t="s">
        <v>327</v>
      </c>
      <c r="C262" s="847">
        <v>0.15</v>
      </c>
      <c r="D262" s="847">
        <v>0.15</v>
      </c>
      <c r="E262" s="847">
        <v>0.15</v>
      </c>
      <c r="F262" s="852"/>
    </row>
    <row r="263" spans="1:6" ht="14.5" thickBot="1">
      <c r="A263" s="717" t="s">
        <v>487</v>
      </c>
      <c r="B263" s="711" t="s">
        <v>881</v>
      </c>
      <c r="C263" s="847">
        <v>0.14899999999999999</v>
      </c>
      <c r="D263" s="847">
        <v>0.14899999999999999</v>
      </c>
      <c r="E263" s="847">
        <v>0.15</v>
      </c>
      <c r="F263" s="848">
        <v>0.13</v>
      </c>
    </row>
    <row r="264" spans="1:6" ht="14.5" thickBot="1">
      <c r="A264" s="717" t="s">
        <v>487</v>
      </c>
      <c r="B264" s="711" t="s">
        <v>346</v>
      </c>
      <c r="C264" s="847">
        <v>0.14799999999999999</v>
      </c>
      <c r="D264" s="847">
        <v>0.14699999999999999</v>
      </c>
      <c r="E264" s="847">
        <v>0.15</v>
      </c>
      <c r="F264" s="848">
        <v>7.8E-2</v>
      </c>
    </row>
    <row r="265" spans="1:6" ht="14.5" thickBot="1">
      <c r="A265" s="717" t="s">
        <v>487</v>
      </c>
      <c r="B265" s="711" t="s">
        <v>355</v>
      </c>
      <c r="C265" s="847">
        <v>0.15</v>
      </c>
      <c r="D265" s="847">
        <v>0.15</v>
      </c>
      <c r="E265" s="847">
        <v>0.15</v>
      </c>
      <c r="F265" s="848">
        <v>7.3999999999999996E-2</v>
      </c>
    </row>
    <row r="266" spans="1:6" ht="14.5" thickBot="1">
      <c r="A266" s="717" t="s">
        <v>487</v>
      </c>
      <c r="B266" s="711" t="s">
        <v>363</v>
      </c>
      <c r="C266" s="847">
        <v>0.14699999999999999</v>
      </c>
      <c r="D266" s="847">
        <v>0.14699999999999999</v>
      </c>
      <c r="E266" s="847">
        <v>0.15</v>
      </c>
      <c r="F266" s="848">
        <v>0.14299999999999999</v>
      </c>
    </row>
    <row r="267" spans="1:6" ht="14.5" thickBot="1">
      <c r="A267" s="717" t="s">
        <v>487</v>
      </c>
      <c r="B267" s="711" t="s">
        <v>370</v>
      </c>
      <c r="C267" s="847">
        <v>0.14199999999999999</v>
      </c>
      <c r="D267" s="847">
        <v>0.14299999999999999</v>
      </c>
      <c r="E267" s="847">
        <v>0.15</v>
      </c>
      <c r="F267" s="852"/>
    </row>
    <row r="268" spans="1:6" ht="14.5" thickBot="1">
      <c r="A268" s="717" t="s">
        <v>487</v>
      </c>
      <c r="B268" s="711" t="s">
        <v>882</v>
      </c>
      <c r="C268" s="847">
        <v>0.15</v>
      </c>
      <c r="D268" s="847">
        <v>0.15</v>
      </c>
      <c r="E268" s="847">
        <v>0.15</v>
      </c>
      <c r="F268" s="848">
        <v>0.13</v>
      </c>
    </row>
    <row r="269" spans="1:6" ht="14.5" thickBot="1">
      <c r="A269" s="717" t="s">
        <v>487</v>
      </c>
      <c r="B269" s="711" t="s">
        <v>384</v>
      </c>
      <c r="C269" s="847">
        <v>0.15</v>
      </c>
      <c r="D269" s="847">
        <v>0.15</v>
      </c>
      <c r="E269" s="847">
        <v>0.15</v>
      </c>
      <c r="F269" s="848">
        <v>0.14299999999999999</v>
      </c>
    </row>
    <row r="270" spans="1:6" ht="14.5" thickBot="1">
      <c r="A270" s="717" t="s">
        <v>487</v>
      </c>
      <c r="B270" s="711" t="s">
        <v>391</v>
      </c>
      <c r="C270" s="847">
        <v>0.14499999999999999</v>
      </c>
      <c r="D270" s="847">
        <v>0.14499999999999999</v>
      </c>
      <c r="E270" s="847">
        <v>0.15</v>
      </c>
      <c r="F270" s="848">
        <v>0.14699999999999999</v>
      </c>
    </row>
    <row r="271" spans="1:6" ht="14.5" thickBot="1">
      <c r="A271" s="717" t="s">
        <v>487</v>
      </c>
      <c r="B271" s="711" t="s">
        <v>398</v>
      </c>
      <c r="C271" s="847">
        <v>0.15</v>
      </c>
      <c r="D271" s="847">
        <v>0.15</v>
      </c>
      <c r="E271" s="847">
        <v>0.15</v>
      </c>
      <c r="F271" s="848">
        <v>0.13800000000000001</v>
      </c>
    </row>
    <row r="272" spans="1:6" ht="14.5" thickBot="1">
      <c r="A272" s="717" t="s">
        <v>487</v>
      </c>
      <c r="B272" s="711" t="s">
        <v>405</v>
      </c>
      <c r="C272" s="853"/>
      <c r="D272" s="853"/>
      <c r="E272" s="853"/>
      <c r="F272" s="848">
        <v>0.14000000000000001</v>
      </c>
    </row>
    <row r="273" spans="1:6" ht="14.5" thickBot="1">
      <c r="A273" s="717" t="s">
        <v>487</v>
      </c>
      <c r="B273" s="711" t="s">
        <v>883</v>
      </c>
      <c r="C273" s="847">
        <v>0.14199999999999999</v>
      </c>
      <c r="D273" s="847">
        <v>0.14299999999999999</v>
      </c>
      <c r="E273" s="847">
        <v>0.15</v>
      </c>
      <c r="F273" s="848">
        <v>0.1</v>
      </c>
    </row>
    <row r="274" spans="1:6" ht="14.5" thickBot="1">
      <c r="A274" s="717" t="s">
        <v>487</v>
      </c>
      <c r="B274" s="711" t="s">
        <v>884</v>
      </c>
      <c r="C274" s="847">
        <v>0.14799999999999999</v>
      </c>
      <c r="D274" s="847">
        <v>0.14799999999999999</v>
      </c>
      <c r="E274" s="847">
        <v>0.15</v>
      </c>
      <c r="F274" s="848">
        <v>6.7000000000000004E-2</v>
      </c>
    </row>
    <row r="275" spans="1:6" ht="14.5" thickBot="1">
      <c r="A275" s="717" t="s">
        <v>487</v>
      </c>
      <c r="B275" s="711" t="s">
        <v>885</v>
      </c>
      <c r="C275" s="847">
        <v>0.15</v>
      </c>
      <c r="D275" s="847">
        <v>0.15</v>
      </c>
      <c r="E275" s="847">
        <v>0.15</v>
      </c>
      <c r="F275" s="848">
        <v>0.15</v>
      </c>
    </row>
    <row r="276" spans="1:6" ht="14.5" thickBot="1">
      <c r="A276" s="717" t="s">
        <v>487</v>
      </c>
      <c r="B276" s="711" t="s">
        <v>886</v>
      </c>
      <c r="C276" s="847">
        <v>0.14499999999999999</v>
      </c>
      <c r="D276" s="847">
        <v>0.14299999999999999</v>
      </c>
      <c r="E276" s="847">
        <v>0.15</v>
      </c>
      <c r="F276" s="848">
        <v>5.8999999999999997E-2</v>
      </c>
    </row>
    <row r="277" spans="1:6" ht="14.5" thickBot="1">
      <c r="A277" s="717" t="s">
        <v>487</v>
      </c>
      <c r="B277" s="711" t="s">
        <v>887</v>
      </c>
      <c r="C277" s="847">
        <v>0.15</v>
      </c>
      <c r="D277" s="847">
        <v>0.15</v>
      </c>
      <c r="E277" s="847">
        <v>0.15</v>
      </c>
      <c r="F277" s="848">
        <v>0.121</v>
      </c>
    </row>
    <row r="278" spans="1:6" ht="14.5" thickBot="1">
      <c r="A278" s="717" t="s">
        <v>487</v>
      </c>
      <c r="B278" s="711" t="s">
        <v>888</v>
      </c>
      <c r="C278" s="847">
        <v>0.15</v>
      </c>
      <c r="D278" s="847">
        <v>0.15</v>
      </c>
      <c r="E278" s="847">
        <v>0.15</v>
      </c>
      <c r="F278" s="848">
        <v>0.13800000000000001</v>
      </c>
    </row>
    <row r="279" spans="1:6" ht="26.5" thickBot="1">
      <c r="A279" s="717" t="s">
        <v>487</v>
      </c>
      <c r="B279" s="711" t="s">
        <v>889</v>
      </c>
      <c r="C279" s="853"/>
      <c r="D279" s="853"/>
      <c r="E279" s="853"/>
      <c r="F279" s="848">
        <v>0.05</v>
      </c>
    </row>
    <row r="280" spans="1:6" ht="26.5" thickBot="1">
      <c r="A280" s="717" t="s">
        <v>487</v>
      </c>
      <c r="B280" s="711" t="s">
        <v>890</v>
      </c>
      <c r="C280" s="853"/>
      <c r="D280" s="853"/>
      <c r="E280" s="853"/>
      <c r="F280" s="848">
        <v>0.05</v>
      </c>
    </row>
    <row r="281" spans="1:6" ht="26.5" thickBot="1">
      <c r="A281" s="717" t="s">
        <v>487</v>
      </c>
      <c r="B281" s="711" t="s">
        <v>891</v>
      </c>
      <c r="C281" s="853"/>
      <c r="D281" s="853"/>
      <c r="E281" s="853"/>
      <c r="F281" s="848">
        <v>0.05</v>
      </c>
    </row>
    <row r="282" spans="1:6" ht="26.5" thickBot="1">
      <c r="A282" s="717" t="s">
        <v>487</v>
      </c>
      <c r="B282" s="711" t="s">
        <v>892</v>
      </c>
      <c r="C282" s="853"/>
      <c r="D282" s="853"/>
      <c r="E282" s="853"/>
      <c r="F282" s="848">
        <v>0.05</v>
      </c>
    </row>
    <row r="283" spans="1:6" ht="26.5" thickBot="1">
      <c r="A283" s="717" t="s">
        <v>487</v>
      </c>
      <c r="B283" s="711" t="s">
        <v>893</v>
      </c>
      <c r="C283" s="853"/>
      <c r="D283" s="853"/>
      <c r="E283" s="853"/>
      <c r="F283" s="848">
        <v>0.05</v>
      </c>
    </row>
    <row r="284" spans="1:6" ht="26.5" thickBot="1">
      <c r="A284" s="717" t="s">
        <v>487</v>
      </c>
      <c r="B284" s="711" t="s">
        <v>894</v>
      </c>
      <c r="C284" s="853"/>
      <c r="D284" s="853"/>
      <c r="E284" s="853"/>
      <c r="F284" s="848">
        <v>0.05</v>
      </c>
    </row>
    <row r="285" spans="1:6" ht="26.5" thickBot="1">
      <c r="A285" s="717" t="s">
        <v>487</v>
      </c>
      <c r="B285" s="711" t="s">
        <v>895</v>
      </c>
      <c r="C285" s="853"/>
      <c r="D285" s="853"/>
      <c r="E285" s="853"/>
      <c r="F285" s="848">
        <v>0.05</v>
      </c>
    </row>
    <row r="286" spans="1:6" ht="26.5" thickBot="1">
      <c r="A286" s="717" t="s">
        <v>487</v>
      </c>
      <c r="B286" s="711" t="s">
        <v>896</v>
      </c>
      <c r="C286" s="853"/>
      <c r="D286" s="853"/>
      <c r="E286" s="853"/>
      <c r="F286" s="848">
        <v>0.05</v>
      </c>
    </row>
    <row r="287" spans="1:6" ht="26.5" thickBot="1">
      <c r="A287" s="717" t="s">
        <v>487</v>
      </c>
      <c r="B287" s="711" t="s">
        <v>897</v>
      </c>
      <c r="C287" s="853"/>
      <c r="D287" s="853"/>
      <c r="E287" s="853"/>
      <c r="F287" s="848">
        <v>0.05</v>
      </c>
    </row>
    <row r="288" spans="1:6" ht="26.5" thickBot="1">
      <c r="A288" s="717" t="s">
        <v>487</v>
      </c>
      <c r="B288" s="711" t="s">
        <v>898</v>
      </c>
      <c r="C288" s="853"/>
      <c r="D288" s="853"/>
      <c r="E288" s="853"/>
      <c r="F288" s="848">
        <v>0.05</v>
      </c>
    </row>
    <row r="289" spans="1:6" ht="26.5" thickBot="1">
      <c r="A289" s="734" t="s">
        <v>487</v>
      </c>
      <c r="B289" s="727" t="s">
        <v>899</v>
      </c>
      <c r="C289" s="850"/>
      <c r="D289" s="850"/>
      <c r="E289" s="850"/>
      <c r="F289" s="854">
        <v>0.05</v>
      </c>
    </row>
    <row r="290" spans="1:6" ht="14.5" thickBot="1">
      <c r="A290" s="717" t="s">
        <v>491</v>
      </c>
      <c r="B290" s="718" t="s">
        <v>900</v>
      </c>
      <c r="C290" s="845">
        <v>0.15</v>
      </c>
      <c r="D290" s="845">
        <v>0.15</v>
      </c>
      <c r="E290" s="845">
        <v>0.15</v>
      </c>
      <c r="F290" s="862"/>
    </row>
    <row r="291" spans="1:6" ht="14.5" thickBot="1">
      <c r="A291" s="717" t="s">
        <v>491</v>
      </c>
      <c r="B291" s="711" t="s">
        <v>145</v>
      </c>
      <c r="C291" s="847">
        <v>0.15</v>
      </c>
      <c r="D291" s="847">
        <v>0.15</v>
      </c>
      <c r="E291" s="847">
        <v>0.15</v>
      </c>
      <c r="F291" s="852"/>
    </row>
    <row r="292" spans="1:6" ht="14.5" thickBot="1">
      <c r="A292" s="717" t="s">
        <v>491</v>
      </c>
      <c r="B292" s="711" t="s">
        <v>901</v>
      </c>
      <c r="C292" s="847">
        <v>0.15</v>
      </c>
      <c r="D292" s="847">
        <v>0.15</v>
      </c>
      <c r="E292" s="847">
        <v>0.15</v>
      </c>
      <c r="F292" s="848">
        <v>0.14699999999999999</v>
      </c>
    </row>
    <row r="293" spans="1:6" ht="14.5" thickBot="1">
      <c r="A293" s="717" t="s">
        <v>491</v>
      </c>
      <c r="B293" s="711" t="s">
        <v>902</v>
      </c>
      <c r="C293" s="853"/>
      <c r="D293" s="853"/>
      <c r="E293" s="853"/>
      <c r="F293" s="848">
        <v>0.1</v>
      </c>
    </row>
    <row r="294" spans="1:6" ht="14.5" thickBot="1">
      <c r="A294" s="717" t="s">
        <v>491</v>
      </c>
      <c r="B294" s="711" t="s">
        <v>903</v>
      </c>
      <c r="C294" s="847">
        <v>0.15</v>
      </c>
      <c r="D294" s="847">
        <v>0.15</v>
      </c>
      <c r="E294" s="847">
        <v>0.15</v>
      </c>
      <c r="F294" s="848">
        <v>0.15</v>
      </c>
    </row>
    <row r="295" spans="1:6" ht="14.5" thickBot="1">
      <c r="A295" s="717" t="s">
        <v>491</v>
      </c>
      <c r="B295" s="711" t="s">
        <v>183</v>
      </c>
      <c r="C295" s="847">
        <v>0.15</v>
      </c>
      <c r="D295" s="847">
        <v>0.15</v>
      </c>
      <c r="E295" s="847">
        <v>0.15</v>
      </c>
      <c r="F295" s="848">
        <v>0.15</v>
      </c>
    </row>
    <row r="296" spans="1:6" ht="14.5" thickBot="1">
      <c r="A296" s="717" t="s">
        <v>491</v>
      </c>
      <c r="B296" s="711" t="s">
        <v>904</v>
      </c>
      <c r="C296" s="847">
        <v>0.15</v>
      </c>
      <c r="D296" s="847">
        <v>0.15</v>
      </c>
      <c r="E296" s="847">
        <v>0.15</v>
      </c>
      <c r="F296" s="848">
        <v>0.15</v>
      </c>
    </row>
    <row r="297" spans="1:6" ht="14.5" thickBot="1">
      <c r="A297" s="717" t="s">
        <v>491</v>
      </c>
      <c r="B297" s="711" t="s">
        <v>905</v>
      </c>
      <c r="C297" s="847">
        <v>0.14799999999999999</v>
      </c>
      <c r="D297" s="847">
        <v>0.14899999999999999</v>
      </c>
      <c r="E297" s="847">
        <v>0.15</v>
      </c>
      <c r="F297" s="848">
        <v>0.13700000000000001</v>
      </c>
    </row>
    <row r="298" spans="1:6" ht="14.5" thickBot="1">
      <c r="A298" s="717" t="s">
        <v>491</v>
      </c>
      <c r="B298" s="711" t="s">
        <v>219</v>
      </c>
      <c r="C298" s="847">
        <v>0.13400000000000001</v>
      </c>
      <c r="D298" s="847">
        <v>0.13400000000000001</v>
      </c>
      <c r="E298" s="847">
        <v>0.14499999999999999</v>
      </c>
      <c r="F298" s="848">
        <v>0.14799999999999999</v>
      </c>
    </row>
    <row r="299" spans="1:6" ht="14.5" thickBot="1">
      <c r="A299" s="717" t="s">
        <v>491</v>
      </c>
      <c r="B299" s="711" t="s">
        <v>232</v>
      </c>
      <c r="C299" s="847">
        <v>0.15</v>
      </c>
      <c r="D299" s="847">
        <v>0.15</v>
      </c>
      <c r="E299" s="847">
        <v>0.15</v>
      </c>
      <c r="F299" s="852"/>
    </row>
    <row r="300" spans="1:6" ht="14.5" thickBot="1">
      <c r="A300" s="717" t="s">
        <v>491</v>
      </c>
      <c r="B300" s="711" t="s">
        <v>906</v>
      </c>
      <c r="C300" s="847">
        <v>0.15</v>
      </c>
      <c r="D300" s="847">
        <v>0.15</v>
      </c>
      <c r="E300" s="847">
        <v>0.15</v>
      </c>
      <c r="F300" s="848">
        <v>0.15</v>
      </c>
    </row>
    <row r="301" spans="1:6" ht="14.5" thickBot="1">
      <c r="A301" s="717" t="s">
        <v>491</v>
      </c>
      <c r="B301" s="711" t="s">
        <v>254</v>
      </c>
      <c r="C301" s="847">
        <v>0.15</v>
      </c>
      <c r="D301" s="847">
        <v>0.15</v>
      </c>
      <c r="E301" s="847">
        <v>0.15</v>
      </c>
      <c r="F301" s="852"/>
    </row>
    <row r="302" spans="1:6" ht="14.5" thickBot="1">
      <c r="A302" s="717" t="s">
        <v>491</v>
      </c>
      <c r="B302" s="711" t="s">
        <v>907</v>
      </c>
      <c r="C302" s="847">
        <v>0.15</v>
      </c>
      <c r="D302" s="847">
        <v>0.15</v>
      </c>
      <c r="E302" s="847">
        <v>0.15</v>
      </c>
      <c r="F302" s="848">
        <v>0.15</v>
      </c>
    </row>
    <row r="303" spans="1:6" ht="14.5" thickBot="1">
      <c r="A303" s="717" t="s">
        <v>491</v>
      </c>
      <c r="B303" s="711" t="s">
        <v>276</v>
      </c>
      <c r="C303" s="847">
        <v>0.15</v>
      </c>
      <c r="D303" s="847">
        <v>0.15</v>
      </c>
      <c r="E303" s="847">
        <v>0.15</v>
      </c>
      <c r="F303" s="848">
        <v>0.15</v>
      </c>
    </row>
    <row r="304" spans="1:6" ht="14.5" thickBot="1">
      <c r="A304" s="717" t="s">
        <v>491</v>
      </c>
      <c r="B304" s="711" t="s">
        <v>287</v>
      </c>
      <c r="C304" s="847">
        <v>0.15</v>
      </c>
      <c r="D304" s="847">
        <v>0.15</v>
      </c>
      <c r="E304" s="847">
        <v>0.15</v>
      </c>
      <c r="F304" s="852"/>
    </row>
    <row r="305" spans="1:6" ht="14.5" thickBot="1">
      <c r="A305" s="717" t="s">
        <v>491</v>
      </c>
      <c r="B305" s="711" t="s">
        <v>908</v>
      </c>
      <c r="C305" s="847">
        <v>0.15</v>
      </c>
      <c r="D305" s="847">
        <v>0.15</v>
      </c>
      <c r="E305" s="847">
        <v>0.15</v>
      </c>
      <c r="F305" s="848">
        <v>0.14000000000000001</v>
      </c>
    </row>
    <row r="306" spans="1:6" ht="14.5" thickBot="1">
      <c r="A306" s="717" t="s">
        <v>491</v>
      </c>
      <c r="B306" s="711" t="s">
        <v>308</v>
      </c>
      <c r="C306" s="847">
        <v>0.15</v>
      </c>
      <c r="D306" s="847">
        <v>0.15</v>
      </c>
      <c r="E306" s="847">
        <v>0.15</v>
      </c>
      <c r="F306" s="852"/>
    </row>
    <row r="307" spans="1:6" ht="14.5" thickBot="1">
      <c r="A307" s="717" t="s">
        <v>491</v>
      </c>
      <c r="B307" s="711" t="s">
        <v>909</v>
      </c>
      <c r="C307" s="847">
        <v>0.15</v>
      </c>
      <c r="D307" s="847">
        <v>0.15</v>
      </c>
      <c r="E307" s="847">
        <v>0.15</v>
      </c>
      <c r="F307" s="848">
        <v>0.14299999999999999</v>
      </c>
    </row>
    <row r="308" spans="1:6" ht="14.5" thickBot="1">
      <c r="A308" s="717" t="s">
        <v>491</v>
      </c>
      <c r="B308" s="711" t="s">
        <v>328</v>
      </c>
      <c r="C308" s="847">
        <v>0.15</v>
      </c>
      <c r="D308" s="847">
        <v>0.15</v>
      </c>
      <c r="E308" s="847">
        <v>0.15</v>
      </c>
      <c r="F308" s="848">
        <v>0.15</v>
      </c>
    </row>
    <row r="309" spans="1:6" ht="14.5" thickBot="1">
      <c r="A309" s="717" t="s">
        <v>491</v>
      </c>
      <c r="B309" s="711" t="s">
        <v>338</v>
      </c>
      <c r="C309" s="847">
        <v>0.15</v>
      </c>
      <c r="D309" s="847">
        <v>0.15</v>
      </c>
      <c r="E309" s="847">
        <v>0.15</v>
      </c>
      <c r="F309" s="852"/>
    </row>
    <row r="310" spans="1:6" ht="14.5" thickBot="1">
      <c r="A310" s="717" t="s">
        <v>491</v>
      </c>
      <c r="B310" s="711" t="s">
        <v>910</v>
      </c>
      <c r="C310" s="847">
        <v>0.15</v>
      </c>
      <c r="D310" s="847">
        <v>0.15</v>
      </c>
      <c r="E310" s="847">
        <v>0.15</v>
      </c>
      <c r="F310" s="848">
        <v>0.13700000000000001</v>
      </c>
    </row>
    <row r="311" spans="1:6" ht="14.5" thickBot="1">
      <c r="A311" s="717" t="s">
        <v>491</v>
      </c>
      <c r="B311" s="711" t="s">
        <v>911</v>
      </c>
      <c r="C311" s="847">
        <v>0.15</v>
      </c>
      <c r="D311" s="847">
        <v>0.15</v>
      </c>
      <c r="E311" s="847">
        <v>0.15</v>
      </c>
      <c r="F311" s="848">
        <v>0.15</v>
      </c>
    </row>
    <row r="312" spans="1:6" ht="14.5" thickBot="1">
      <c r="A312" s="717" t="s">
        <v>491</v>
      </c>
      <c r="B312" s="711" t="s">
        <v>364</v>
      </c>
      <c r="C312" s="847">
        <v>0.15</v>
      </c>
      <c r="D312" s="847">
        <v>0.15</v>
      </c>
      <c r="E312" s="847">
        <v>0.15</v>
      </c>
      <c r="F312" s="848">
        <v>0.1</v>
      </c>
    </row>
    <row r="313" spans="1:6" ht="14.5" thickBot="1">
      <c r="A313" s="717" t="s">
        <v>491</v>
      </c>
      <c r="B313" s="711" t="s">
        <v>912</v>
      </c>
      <c r="C313" s="847">
        <v>0.15</v>
      </c>
      <c r="D313" s="847">
        <v>0.15</v>
      </c>
      <c r="E313" s="847">
        <v>0.15</v>
      </c>
      <c r="F313" s="848">
        <v>0.15</v>
      </c>
    </row>
    <row r="314" spans="1:6" ht="26.5" thickBot="1">
      <c r="A314" s="717" t="s">
        <v>491</v>
      </c>
      <c r="B314" s="711" t="s">
        <v>913</v>
      </c>
      <c r="C314" s="853"/>
      <c r="D314" s="853"/>
      <c r="E314" s="853"/>
      <c r="F314" s="848">
        <v>0.05</v>
      </c>
    </row>
    <row r="315" spans="1:6" ht="26.5" thickBot="1">
      <c r="A315" s="717" t="s">
        <v>491</v>
      </c>
      <c r="B315" s="711" t="s">
        <v>914</v>
      </c>
      <c r="C315" s="853"/>
      <c r="D315" s="853"/>
      <c r="E315" s="853"/>
      <c r="F315" s="848">
        <v>0.05</v>
      </c>
    </row>
    <row r="316" spans="1:6" ht="26.5" thickBot="1">
      <c r="A316" s="734" t="s">
        <v>491</v>
      </c>
      <c r="B316" s="727" t="s">
        <v>915</v>
      </c>
      <c r="C316" s="850"/>
      <c r="D316" s="850"/>
      <c r="E316" s="850"/>
      <c r="F316" s="854">
        <v>0.05</v>
      </c>
    </row>
    <row r="317" spans="1:6" ht="14.5" thickBot="1">
      <c r="A317" s="717" t="s">
        <v>916</v>
      </c>
      <c r="B317" s="718" t="s">
        <v>917</v>
      </c>
      <c r="C317" s="845">
        <v>0.15</v>
      </c>
      <c r="D317" s="845">
        <v>0.15</v>
      </c>
      <c r="E317" s="845">
        <v>0.15</v>
      </c>
      <c r="F317" s="846">
        <v>0.15</v>
      </c>
    </row>
    <row r="318" spans="1:6" ht="14.5" thickBot="1">
      <c r="A318" s="717" t="s">
        <v>916</v>
      </c>
      <c r="B318" s="711" t="s">
        <v>918</v>
      </c>
      <c r="C318" s="847">
        <v>0.107</v>
      </c>
      <c r="D318" s="847">
        <v>0.11</v>
      </c>
      <c r="E318" s="847">
        <v>0.112</v>
      </c>
      <c r="F318" s="852"/>
    </row>
    <row r="319" spans="1:6" ht="14.5" thickBot="1">
      <c r="A319" s="717" t="s">
        <v>916</v>
      </c>
      <c r="B319" s="711" t="s">
        <v>919</v>
      </c>
      <c r="C319" s="847">
        <v>0.15</v>
      </c>
      <c r="D319" s="847">
        <v>0.15</v>
      </c>
      <c r="E319" s="847">
        <v>0.15</v>
      </c>
      <c r="F319" s="848">
        <v>0.15</v>
      </c>
    </row>
    <row r="320" spans="1:6" ht="14.5" thickBot="1">
      <c r="A320" s="717" t="s">
        <v>916</v>
      </c>
      <c r="B320" s="711" t="s">
        <v>172</v>
      </c>
      <c r="C320" s="847">
        <v>0.15</v>
      </c>
      <c r="D320" s="847">
        <v>0.15</v>
      </c>
      <c r="E320" s="847">
        <v>0.15</v>
      </c>
      <c r="F320" s="852"/>
    </row>
    <row r="321" spans="1:6" ht="14.5" thickBot="1">
      <c r="A321" s="717" t="s">
        <v>916</v>
      </c>
      <c r="B321" s="711" t="s">
        <v>920</v>
      </c>
      <c r="C321" s="847">
        <v>0.15</v>
      </c>
      <c r="D321" s="847">
        <v>0.15</v>
      </c>
      <c r="E321" s="847">
        <v>0.15</v>
      </c>
      <c r="F321" s="852"/>
    </row>
    <row r="322" spans="1:6" ht="14.5" thickBot="1">
      <c r="A322" s="717" t="s">
        <v>916</v>
      </c>
      <c r="B322" s="711" t="s">
        <v>921</v>
      </c>
      <c r="C322" s="847">
        <v>0.15</v>
      </c>
      <c r="D322" s="847">
        <v>0.15</v>
      </c>
      <c r="E322" s="847">
        <v>0.15</v>
      </c>
      <c r="F322" s="848">
        <v>0.15</v>
      </c>
    </row>
    <row r="323" spans="1:6" ht="14.5" thickBot="1">
      <c r="A323" s="717" t="s">
        <v>916</v>
      </c>
      <c r="B323" s="711" t="s">
        <v>922</v>
      </c>
      <c r="C323" s="847">
        <v>0.15</v>
      </c>
      <c r="D323" s="847">
        <v>0.15</v>
      </c>
      <c r="E323" s="847">
        <v>0.15</v>
      </c>
      <c r="F323" s="852"/>
    </row>
    <row r="324" spans="1:6" ht="14.5" thickBot="1">
      <c r="A324" s="717" t="s">
        <v>916</v>
      </c>
      <c r="B324" s="711" t="s">
        <v>923</v>
      </c>
      <c r="C324" s="847">
        <v>0.15</v>
      </c>
      <c r="D324" s="847">
        <v>0.15</v>
      </c>
      <c r="E324" s="847">
        <v>0.15</v>
      </c>
      <c r="F324" s="852"/>
    </row>
    <row r="325" spans="1:6" ht="14.5" thickBot="1">
      <c r="A325" s="717" t="s">
        <v>916</v>
      </c>
      <c r="B325" s="711" t="s">
        <v>924</v>
      </c>
      <c r="C325" s="847">
        <v>0.15</v>
      </c>
      <c r="D325" s="847">
        <v>0.15</v>
      </c>
      <c r="E325" s="847">
        <v>0.15</v>
      </c>
      <c r="F325" s="848">
        <v>0.14699999999999999</v>
      </c>
    </row>
    <row r="326" spans="1:6" ht="14.5" thickBot="1">
      <c r="A326" s="717" t="s">
        <v>916</v>
      </c>
      <c r="B326" s="711" t="s">
        <v>244</v>
      </c>
      <c r="C326" s="847">
        <v>0.15</v>
      </c>
      <c r="D326" s="847">
        <v>0.15</v>
      </c>
      <c r="E326" s="847">
        <v>0.15</v>
      </c>
      <c r="F326" s="852"/>
    </row>
    <row r="327" spans="1:6" ht="14.5" thickBot="1">
      <c r="A327" s="717" t="s">
        <v>916</v>
      </c>
      <c r="B327" s="711" t="s">
        <v>925</v>
      </c>
      <c r="C327" s="847">
        <v>0.15</v>
      </c>
      <c r="D327" s="847">
        <v>0.15</v>
      </c>
      <c r="E327" s="847">
        <v>0.15</v>
      </c>
      <c r="F327" s="848">
        <v>0.15</v>
      </c>
    </row>
    <row r="328" spans="1:6" ht="14.5" thickBot="1">
      <c r="A328" s="717" t="s">
        <v>916</v>
      </c>
      <c r="B328" s="711" t="s">
        <v>266</v>
      </c>
      <c r="C328" s="847">
        <v>0.15</v>
      </c>
      <c r="D328" s="847">
        <v>0.15</v>
      </c>
      <c r="E328" s="847">
        <v>0.15</v>
      </c>
      <c r="F328" s="848">
        <v>0.14099999999999999</v>
      </c>
    </row>
    <row r="329" spans="1:6" ht="14.5" thickBot="1">
      <c r="A329" s="717" t="s">
        <v>916</v>
      </c>
      <c r="B329" s="711" t="s">
        <v>277</v>
      </c>
      <c r="C329" s="847">
        <v>0.15</v>
      </c>
      <c r="D329" s="847">
        <v>0.15</v>
      </c>
      <c r="E329" s="847">
        <v>0.15</v>
      </c>
      <c r="F329" s="848">
        <v>0.15</v>
      </c>
    </row>
    <row r="330" spans="1:6" ht="14.5" thickBot="1">
      <c r="A330" s="717" t="s">
        <v>916</v>
      </c>
      <c r="B330" s="711" t="s">
        <v>288</v>
      </c>
      <c r="C330" s="847">
        <v>0.15</v>
      </c>
      <c r="D330" s="847">
        <v>0.15</v>
      </c>
      <c r="E330" s="847">
        <v>0.15</v>
      </c>
      <c r="F330" s="852"/>
    </row>
    <row r="331" spans="1:6" ht="14.5" thickBot="1">
      <c r="A331" s="717" t="s">
        <v>916</v>
      </c>
      <c r="B331" s="711" t="s">
        <v>926</v>
      </c>
      <c r="C331" s="847">
        <v>0.15</v>
      </c>
      <c r="D331" s="847">
        <v>0.15</v>
      </c>
      <c r="E331" s="847">
        <v>0.15</v>
      </c>
      <c r="F331" s="848">
        <v>0.15</v>
      </c>
    </row>
    <row r="332" spans="1:6" ht="14.5" thickBot="1">
      <c r="A332" s="717" t="s">
        <v>916</v>
      </c>
      <c r="B332" s="711" t="s">
        <v>309</v>
      </c>
      <c r="C332" s="847">
        <v>0.15</v>
      </c>
      <c r="D332" s="847">
        <v>0.15</v>
      </c>
      <c r="E332" s="847">
        <v>0.15</v>
      </c>
      <c r="F332" s="848">
        <v>0.15</v>
      </c>
    </row>
    <row r="333" spans="1:6" ht="14.5" thickBot="1">
      <c r="A333" s="717" t="s">
        <v>916</v>
      </c>
      <c r="B333" s="711" t="s">
        <v>927</v>
      </c>
      <c r="C333" s="847">
        <v>0.15</v>
      </c>
      <c r="D333" s="847">
        <v>0.15</v>
      </c>
      <c r="E333" s="847">
        <v>0.15</v>
      </c>
      <c r="F333" s="848">
        <v>0.14099999999999999</v>
      </c>
    </row>
    <row r="334" spans="1:6" ht="14.5" thickBot="1">
      <c r="A334" s="717" t="s">
        <v>916</v>
      </c>
      <c r="B334" s="711" t="s">
        <v>329</v>
      </c>
      <c r="C334" s="847">
        <v>0.15</v>
      </c>
      <c r="D334" s="847">
        <v>0.15</v>
      </c>
      <c r="E334" s="847">
        <v>0.15</v>
      </c>
      <c r="F334" s="848">
        <v>0.15</v>
      </c>
    </row>
    <row r="335" spans="1:6" ht="14.5" thickBot="1">
      <c r="A335" s="717" t="s">
        <v>916</v>
      </c>
      <c r="B335" s="711" t="s">
        <v>339</v>
      </c>
      <c r="C335" s="847">
        <v>0.15</v>
      </c>
      <c r="D335" s="847">
        <v>0.15</v>
      </c>
      <c r="E335" s="847">
        <v>0.15</v>
      </c>
      <c r="F335" s="852"/>
    </row>
    <row r="336" spans="1:6" ht="14.5" thickBot="1">
      <c r="A336" s="717" t="s">
        <v>916</v>
      </c>
      <c r="B336" s="711" t="s">
        <v>928</v>
      </c>
      <c r="C336" s="847">
        <v>0.15</v>
      </c>
      <c r="D336" s="847">
        <v>0.15</v>
      </c>
      <c r="E336" s="847">
        <v>0.15</v>
      </c>
      <c r="F336" s="848">
        <v>0.11799999999999999</v>
      </c>
    </row>
    <row r="337" spans="1:6" ht="14.5" thickBot="1">
      <c r="A337" s="734" t="s">
        <v>916</v>
      </c>
      <c r="B337" s="727" t="s">
        <v>357</v>
      </c>
      <c r="C337" s="850"/>
      <c r="D337" s="850"/>
      <c r="E337" s="850"/>
      <c r="F337" s="854">
        <v>0.14299999999999999</v>
      </c>
    </row>
    <row r="338" spans="1:6" ht="14.5" thickBot="1">
      <c r="A338" s="717" t="s">
        <v>929</v>
      </c>
      <c r="B338" s="718" t="s">
        <v>930</v>
      </c>
      <c r="C338" s="845">
        <v>0.15</v>
      </c>
      <c r="D338" s="845">
        <v>0.15</v>
      </c>
      <c r="E338" s="845">
        <v>0.15</v>
      </c>
      <c r="F338" s="862"/>
    </row>
    <row r="339" spans="1:6" ht="14.5" thickBot="1">
      <c r="A339" s="717" t="s">
        <v>929</v>
      </c>
      <c r="B339" s="711" t="s">
        <v>931</v>
      </c>
      <c r="C339" s="847">
        <v>0.15</v>
      </c>
      <c r="D339" s="847">
        <v>0.15</v>
      </c>
      <c r="E339" s="847">
        <v>0.15</v>
      </c>
      <c r="F339" s="852"/>
    </row>
    <row r="340" spans="1:6" ht="14.5" thickBot="1">
      <c r="A340" s="717" t="s">
        <v>929</v>
      </c>
      <c r="B340" s="711" t="s">
        <v>932</v>
      </c>
      <c r="C340" s="847">
        <v>0.15</v>
      </c>
      <c r="D340" s="847">
        <v>0.15</v>
      </c>
      <c r="E340" s="847">
        <v>0.15</v>
      </c>
      <c r="F340" s="852"/>
    </row>
    <row r="341" spans="1:6" ht="14.5" thickBot="1">
      <c r="A341" s="717" t="s">
        <v>929</v>
      </c>
      <c r="B341" s="711" t="s">
        <v>933</v>
      </c>
      <c r="C341" s="847">
        <v>0.15</v>
      </c>
      <c r="D341" s="847">
        <v>0.15</v>
      </c>
      <c r="E341" s="847">
        <v>0.15</v>
      </c>
      <c r="F341" s="848">
        <v>0.15</v>
      </c>
    </row>
    <row r="342" spans="1:6" ht="14.5" thickBot="1">
      <c r="A342" s="717" t="s">
        <v>929</v>
      </c>
      <c r="B342" s="711" t="s">
        <v>934</v>
      </c>
      <c r="C342" s="847">
        <v>0.15</v>
      </c>
      <c r="D342" s="847">
        <v>0.15</v>
      </c>
      <c r="E342" s="847">
        <v>0.15</v>
      </c>
      <c r="F342" s="848">
        <v>0.15</v>
      </c>
    </row>
    <row r="343" spans="1:6" ht="14.5" thickBot="1">
      <c r="A343" s="717" t="s">
        <v>929</v>
      </c>
      <c r="B343" s="711" t="s">
        <v>935</v>
      </c>
      <c r="C343" s="847">
        <v>0.15</v>
      </c>
      <c r="D343" s="847">
        <v>0.15</v>
      </c>
      <c r="E343" s="847">
        <v>0.15</v>
      </c>
      <c r="F343" s="848">
        <v>0.15</v>
      </c>
    </row>
    <row r="344" spans="1:6" ht="14.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6328125" style="835" customWidth="1"/>
    <col min="2" max="2" width="40.6328125" style="978" customWidth="1"/>
    <col min="3" max="3" width="9" style="979"/>
    <col min="4" max="5" width="9" style="980"/>
    <col min="6" max="6" width="9" style="981"/>
    <col min="7" max="7" width="11.9062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6">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52">
      <c r="A5" s="681" t="s">
        <v>714</v>
      </c>
      <c r="B5" s="692" t="str">
        <f>估价对象房地状况!C6</f>
        <v>估价对象周边有昌11路、昌21路、昌52路、昌59路等多条公交线路。以估价对象为圆心，半径1000米范围内有地铁昌平线昌平地铁站，交通便捷程度好。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6">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
      <c r="A8" s="681" t="s">
        <v>717</v>
      </c>
      <c r="B8" s="682" t="str">
        <f>估价对象房地状况!C10</f>
        <v>城市支路—通福桥胡同</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6">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65.5" thickBot="1">
      <c r="A12" s="696" t="s">
        <v>721</v>
      </c>
      <c r="B12" s="697" t="str">
        <f>估价对象房地状况!C9</f>
        <v xml:space="preserve">自然环境：昌平公园、北山公园等自然景观；
人文环境：中国石油大学、中国政法大学昌平校区等人文场所；
综合评价环境状况好。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6">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52">
      <c r="A16" s="681" t="s">
        <v>714</v>
      </c>
      <c r="B16" s="682" t="str">
        <f>估价对象房地状况!C6</f>
        <v>估价对象周边有昌11路、昌21路、昌52路、昌59路等多条公交线路。以估价对象为圆心，半径1000米范围内有地铁昌平线昌平地铁站，交通便捷程度好。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6">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
      <c r="A19" s="681" t="s">
        <v>717</v>
      </c>
      <c r="B19" s="682" t="str">
        <f>估价对象房地状况!C10</f>
        <v>城市支路—通福桥胡同</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6">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65.5" thickBot="1">
      <c r="A23" s="696" t="s">
        <v>721</v>
      </c>
      <c r="B23" s="700" t="str">
        <f>估价对象房地状况!C9</f>
        <v xml:space="preserve">自然环境：昌平公园、北山公园等自然景观；
人文环境：中国石油大学、中国政法大学昌平校区等人文场所；
综合评价环境状况好。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6">
      <c r="A26" s="681" t="s">
        <v>723</v>
      </c>
      <c r="B26" s="687" t="str">
        <f>估价对象房地状况!C3</f>
        <v>估价对象周边有西环里、安福苑、燕平家园、和平家园小区等住宅项目，居住社区成熟度好。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0.125</v>
      </c>
      <c r="H26" s="794">
        <v>0.08</v>
      </c>
      <c r="I26" s="667">
        <f>J26+$H26</f>
        <v>0.16</v>
      </c>
      <c r="J26" s="667">
        <f>$K26+$H26</f>
        <v>0.08</v>
      </c>
      <c r="K26" s="666">
        <v>0</v>
      </c>
      <c r="L26" s="667">
        <f t="shared" ref="L26:M34" si="9">K26-$H26</f>
        <v>-0.08</v>
      </c>
      <c r="M26" s="667">
        <f t="shared" si="9"/>
        <v>-0.16</v>
      </c>
    </row>
    <row r="27" spans="1:20" ht="52">
      <c r="A27" s="681" t="s">
        <v>714</v>
      </c>
      <c r="B27" s="682" t="str">
        <f>估价对象房地状况!C6</f>
        <v>估价对象周边有昌11路、昌21路、昌52路、昌59路等多条公交线路。以估价对象为圆心，半径1000米范围内有地铁昌平线昌平地铁站，交通便捷程度好。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
      <c r="A29" s="681" t="s">
        <v>724</v>
      </c>
      <c r="B29" s="682" t="str">
        <f>估价对象房地状况!C10</f>
        <v>城市支路—通福桥胡同</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6">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65">
      <c r="A33" s="681" t="s">
        <v>721</v>
      </c>
      <c r="B33" s="687" t="str">
        <f>估价对象房地状况!C9</f>
        <v xml:space="preserve">自然环境：昌平公园、北山公园等自然景观；
人文环境：中国石油大学、中国政法大学昌平校区等人文场所；
综合评价环境状况好。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6.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
      <c r="A35" s="675" t="s">
        <v>135</v>
      </c>
      <c r="B35" s="676">
        <f>1+F37</f>
        <v>1.0127999999999999</v>
      </c>
      <c r="C35" s="973"/>
      <c r="D35" s="678"/>
      <c r="E35" s="678"/>
      <c r="F35" s="679"/>
      <c r="G35" s="971"/>
      <c r="H35" s="967"/>
      <c r="I35" s="674"/>
      <c r="J35" s="674"/>
      <c r="K35" s="674"/>
      <c r="L35" s="674"/>
      <c r="M35" s="674"/>
    </row>
    <row r="36" spans="1:13" ht="1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6">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6">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6">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6.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
  <cols>
    <col min="1" max="1" width="12.6328125" style="741" customWidth="1"/>
    <col min="2" max="5" width="10.26953125" style="674" customWidth="1"/>
    <col min="6" max="6" width="9" style="674"/>
    <col min="7" max="7" width="9" style="705"/>
    <col min="8" max="8" width="9" style="674"/>
    <col min="9" max="9" width="9" style="705"/>
    <col min="10" max="16384" width="9" style="674"/>
  </cols>
  <sheetData>
    <row r="1" spans="1:20">
      <c r="A1" s="3549" t="s">
        <v>105</v>
      </c>
      <c r="B1" s="3549"/>
      <c r="C1" s="3549"/>
      <c r="D1" s="3549"/>
      <c r="E1" s="3549"/>
      <c r="F1" s="354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5" thickBot="1">
      <c r="A2" s="3550" t="s">
        <v>118</v>
      </c>
      <c r="B2" s="3550"/>
      <c r="C2" s="3550"/>
      <c r="D2" s="3550"/>
      <c r="E2" s="3550"/>
      <c r="F2" s="355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7780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6953125" defaultRowHeight="19.5" customHeight="1"/>
  <cols>
    <col min="1" max="1" width="13.6328125" style="680" customWidth="1"/>
    <col min="2" max="9" width="8.26953125" style="764" customWidth="1"/>
    <col min="10" max="13" width="8.26953125" style="680"/>
    <col min="14" max="14" width="10" style="680" customWidth="1"/>
    <col min="15" max="16" width="8.26953125" style="680"/>
    <col min="17" max="17" width="34.08984375" style="680" customWidth="1"/>
    <col min="18" max="18" width="8.26953125" style="680" customWidth="1"/>
    <col min="19" max="19" width="8.26953125" style="680"/>
    <col min="20" max="20" width="11.6328125" style="680" customWidth="1"/>
    <col min="21" max="16384" width="8.26953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3" t="s">
        <v>132</v>
      </c>
      <c r="B18" s="768" t="s">
        <v>517</v>
      </c>
      <c r="C18" s="769" t="s">
        <v>518</v>
      </c>
      <c r="D18" s="770"/>
      <c r="E18" s="768">
        <v>1</v>
      </c>
      <c r="F18" s="771" t="s">
        <v>519</v>
      </c>
      <c r="G18" s="772"/>
      <c r="H18" s="764"/>
      <c r="I18" s="764"/>
    </row>
    <row r="19" spans="1:9" s="773" customFormat="1" ht="19.5" customHeight="1">
      <c r="A19" s="3553"/>
      <c r="B19" s="3553" t="s">
        <v>520</v>
      </c>
      <c r="C19" s="769" t="s">
        <v>521</v>
      </c>
      <c r="D19" s="770"/>
      <c r="E19" s="768">
        <v>0.9</v>
      </c>
      <c r="F19" s="771" t="s">
        <v>522</v>
      </c>
      <c r="G19" s="772"/>
      <c r="H19" s="764"/>
      <c r="I19" s="764"/>
    </row>
    <row r="20" spans="1:9" s="773" customFormat="1" ht="19.5" customHeight="1">
      <c r="A20" s="3553"/>
      <c r="B20" s="3553"/>
      <c r="C20" s="769" t="s">
        <v>523</v>
      </c>
      <c r="D20" s="770"/>
      <c r="E20" s="768">
        <v>1.1000000000000001</v>
      </c>
      <c r="F20" s="771" t="s">
        <v>524</v>
      </c>
      <c r="G20" s="772"/>
      <c r="H20" s="764"/>
      <c r="I20" s="764"/>
    </row>
    <row r="21" spans="1:9" s="773" customFormat="1" ht="19.5" customHeight="1">
      <c r="A21" s="3553"/>
      <c r="B21" s="3553"/>
      <c r="C21" s="769" t="s">
        <v>525</v>
      </c>
      <c r="D21" s="770"/>
      <c r="E21" s="768">
        <v>0.8</v>
      </c>
      <c r="F21" s="771" t="s">
        <v>526</v>
      </c>
      <c r="G21" s="772"/>
      <c r="H21" s="764"/>
      <c r="I21" s="764"/>
    </row>
    <row r="22" spans="1:9" s="773" customFormat="1" ht="19.5" customHeight="1">
      <c r="A22" s="3553"/>
      <c r="B22" s="3553"/>
      <c r="C22" s="769" t="s">
        <v>527</v>
      </c>
      <c r="D22" s="770"/>
      <c r="E22" s="768">
        <v>0.5</v>
      </c>
      <c r="F22" s="771"/>
      <c r="G22" s="772"/>
      <c r="H22" s="764"/>
      <c r="I22" s="764"/>
    </row>
    <row r="23" spans="1:9" s="773" customFormat="1" ht="19.5" customHeight="1">
      <c r="A23" s="3553" t="s">
        <v>133</v>
      </c>
      <c r="B23" s="768" t="s">
        <v>517</v>
      </c>
      <c r="C23" s="769" t="s">
        <v>528</v>
      </c>
      <c r="D23" s="770"/>
      <c r="E23" s="768">
        <v>1</v>
      </c>
      <c r="F23" s="771" t="s">
        <v>529</v>
      </c>
      <c r="G23" s="772"/>
      <c r="H23" s="764"/>
      <c r="I23" s="764"/>
    </row>
    <row r="24" spans="1:9" s="773" customFormat="1" ht="19.5" customHeight="1">
      <c r="A24" s="3553"/>
      <c r="B24" s="3553" t="s">
        <v>520</v>
      </c>
      <c r="C24" s="769" t="s">
        <v>530</v>
      </c>
      <c r="D24" s="770"/>
      <c r="E24" s="768">
        <v>0.5</v>
      </c>
      <c r="F24" s="771"/>
      <c r="G24" s="772"/>
      <c r="H24" s="764"/>
      <c r="I24" s="764"/>
    </row>
    <row r="25" spans="1:9" s="773" customFormat="1" ht="19.5" customHeight="1">
      <c r="A25" s="3553"/>
      <c r="B25" s="3553"/>
      <c r="C25" s="769" t="s">
        <v>531</v>
      </c>
      <c r="D25" s="770"/>
      <c r="E25" s="768">
        <v>1.1000000000000001</v>
      </c>
      <c r="F25" s="771"/>
      <c r="G25" s="772"/>
      <c r="H25" s="764"/>
      <c r="I25" s="764"/>
    </row>
    <row r="26" spans="1:9" s="773" customFormat="1" ht="19.5" customHeight="1">
      <c r="A26" s="3553"/>
      <c r="B26" s="3553"/>
      <c r="C26" s="769" t="s">
        <v>532</v>
      </c>
      <c r="D26" s="770"/>
      <c r="E26" s="768">
        <v>1.1000000000000001</v>
      </c>
      <c r="F26" s="771"/>
      <c r="G26" s="772"/>
      <c r="H26" s="764"/>
      <c r="I26" s="764"/>
    </row>
    <row r="27" spans="1:9" s="773" customFormat="1" ht="19.5" customHeight="1">
      <c r="A27" s="3553"/>
      <c r="B27" s="3553"/>
      <c r="C27" s="769" t="s">
        <v>533</v>
      </c>
      <c r="D27" s="770"/>
      <c r="E27" s="768">
        <v>0.9</v>
      </c>
      <c r="F27" s="771" t="s">
        <v>534</v>
      </c>
      <c r="G27" s="772"/>
      <c r="H27" s="764"/>
      <c r="I27" s="764"/>
    </row>
    <row r="28" spans="1:9" s="773" customFormat="1" ht="19.5" customHeight="1">
      <c r="A28" s="3553"/>
      <c r="B28" s="3553"/>
      <c r="C28" s="769" t="s">
        <v>535</v>
      </c>
      <c r="D28" s="770"/>
      <c r="E28" s="768">
        <v>0.9</v>
      </c>
      <c r="F28" s="771" t="s">
        <v>536</v>
      </c>
      <c r="G28" s="772"/>
      <c r="H28" s="764"/>
      <c r="I28" s="764"/>
    </row>
    <row r="29" spans="1:9" s="773" customFormat="1" ht="19.5" customHeight="1">
      <c r="A29" s="3553"/>
      <c r="B29" s="3553"/>
      <c r="C29" s="769" t="s">
        <v>537</v>
      </c>
      <c r="D29" s="770"/>
      <c r="E29" s="768">
        <v>0.9</v>
      </c>
      <c r="F29" s="771" t="s">
        <v>538</v>
      </c>
      <c r="G29" s="772"/>
      <c r="H29" s="764"/>
      <c r="I29" s="764"/>
    </row>
    <row r="30" spans="1:9" s="773" customFormat="1" ht="19.5" customHeight="1">
      <c r="A30" s="3553"/>
      <c r="B30" s="3553"/>
      <c r="C30" s="769" t="s">
        <v>539</v>
      </c>
      <c r="D30" s="770"/>
      <c r="E30" s="768">
        <v>0.9</v>
      </c>
      <c r="F30" s="771" t="s">
        <v>540</v>
      </c>
      <c r="G30" s="772"/>
      <c r="H30" s="764"/>
      <c r="I30" s="764"/>
    </row>
    <row r="31" spans="1:9" s="773" customFormat="1" ht="19.5" customHeight="1">
      <c r="A31" s="3553"/>
      <c r="B31" s="3553"/>
      <c r="C31" s="769" t="s">
        <v>541</v>
      </c>
      <c r="D31" s="770"/>
      <c r="E31" s="768">
        <v>0.8</v>
      </c>
      <c r="F31" s="771" t="s">
        <v>542</v>
      </c>
      <c r="G31" s="772"/>
      <c r="H31" s="764"/>
      <c r="I31" s="764"/>
    </row>
    <row r="32" spans="1:9" s="773" customFormat="1" ht="19.5" customHeight="1">
      <c r="A32" s="3553"/>
      <c r="B32" s="3553"/>
      <c r="C32" s="769" t="s">
        <v>543</v>
      </c>
      <c r="D32" s="770"/>
      <c r="E32" s="768">
        <v>0.8</v>
      </c>
      <c r="F32" s="771" t="s">
        <v>544</v>
      </c>
      <c r="G32" s="772"/>
      <c r="H32" s="764"/>
      <c r="I32" s="764"/>
    </row>
    <row r="33" spans="1:9" s="773" customFormat="1" ht="19.5" customHeight="1">
      <c r="A33" s="3553" t="s">
        <v>134</v>
      </c>
      <c r="B33" s="768" t="s">
        <v>517</v>
      </c>
      <c r="C33" s="769" t="s">
        <v>545</v>
      </c>
      <c r="D33" s="770"/>
      <c r="E33" s="768">
        <v>1</v>
      </c>
      <c r="F33" s="771" t="s">
        <v>546</v>
      </c>
      <c r="G33" s="772"/>
      <c r="H33" s="764"/>
      <c r="I33" s="764"/>
    </row>
    <row r="34" spans="1:9" s="773" customFormat="1" ht="19.5" customHeight="1">
      <c r="A34" s="3553"/>
      <c r="B34" s="768" t="s">
        <v>520</v>
      </c>
      <c r="C34" s="769" t="s">
        <v>547</v>
      </c>
      <c r="D34" s="770"/>
      <c r="E34" s="768">
        <v>1.5</v>
      </c>
      <c r="F34" s="771" t="s">
        <v>548</v>
      </c>
      <c r="G34" s="772"/>
      <c r="H34" s="764"/>
      <c r="I34" s="764"/>
    </row>
    <row r="35" spans="1:9" s="773" customFormat="1" ht="19.5" customHeight="1">
      <c r="A35" s="3553" t="s">
        <v>135</v>
      </c>
      <c r="B35" s="768" t="s">
        <v>517</v>
      </c>
      <c r="C35" s="769" t="s">
        <v>549</v>
      </c>
      <c r="D35" s="770"/>
      <c r="E35" s="768">
        <v>1</v>
      </c>
      <c r="F35" s="771" t="s">
        <v>550</v>
      </c>
      <c r="G35" s="772"/>
      <c r="H35" s="764"/>
      <c r="I35" s="764"/>
    </row>
    <row r="36" spans="1:9" s="773" customFormat="1" ht="19.5" customHeight="1">
      <c r="A36" s="3553"/>
      <c r="B36" s="3553" t="s">
        <v>520</v>
      </c>
      <c r="C36" s="769" t="s">
        <v>551</v>
      </c>
      <c r="D36" s="770"/>
      <c r="E36" s="768">
        <v>1</v>
      </c>
      <c r="F36" s="771" t="s">
        <v>552</v>
      </c>
      <c r="G36" s="772"/>
      <c r="H36" s="764"/>
      <c r="I36" s="764"/>
    </row>
    <row r="37" spans="1:9" s="773" customFormat="1" ht="19.5" customHeight="1">
      <c r="A37" s="3553"/>
      <c r="B37" s="3553"/>
      <c r="C37" s="769" t="s">
        <v>553</v>
      </c>
      <c r="D37" s="770"/>
      <c r="E37" s="768">
        <v>1.5</v>
      </c>
      <c r="F37" s="771" t="s">
        <v>554</v>
      </c>
      <c r="G37" s="772"/>
      <c r="H37" s="764"/>
      <c r="I37" s="764"/>
    </row>
    <row r="38" spans="1:9" s="773" customFormat="1" ht="19.5" customHeight="1">
      <c r="A38" s="3553"/>
      <c r="B38" s="3553"/>
      <c r="C38" s="769" t="s">
        <v>555</v>
      </c>
      <c r="D38" s="770"/>
      <c r="E38" s="768">
        <v>1</v>
      </c>
      <c r="F38" s="771" t="s">
        <v>556</v>
      </c>
      <c r="G38" s="772"/>
      <c r="H38" s="764"/>
      <c r="I38" s="764"/>
    </row>
    <row r="39" spans="1:9" s="773" customFormat="1" ht="19.5" customHeight="1">
      <c r="A39" s="3553"/>
      <c r="B39" s="355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
      <c r="A60" s="795"/>
      <c r="B60" s="795"/>
      <c r="C60" s="795" t="s">
        <v>702</v>
      </c>
      <c r="D60" s="795"/>
      <c r="E60" s="781" t="s">
        <v>1</v>
      </c>
      <c r="F60" s="795" t="s">
        <v>1</v>
      </c>
    </row>
    <row r="61" spans="1:8" s="764" customFormat="1" ht="26">
      <c r="A61" s="768">
        <v>1</v>
      </c>
      <c r="B61" s="3553" t="s">
        <v>571</v>
      </c>
      <c r="C61" s="682" t="s">
        <v>572</v>
      </c>
      <c r="D61" s="682" t="s">
        <v>573</v>
      </c>
      <c r="E61" s="781">
        <v>0.5</v>
      </c>
      <c r="F61" s="768">
        <v>80</v>
      </c>
    </row>
    <row r="62" spans="1:8" s="764" customFormat="1" ht="26">
      <c r="A62" s="768">
        <v>2</v>
      </c>
      <c r="B62" s="3553"/>
      <c r="C62" s="682" t="s">
        <v>574</v>
      </c>
      <c r="D62" s="682" t="s">
        <v>575</v>
      </c>
      <c r="E62" s="781">
        <v>0.5</v>
      </c>
      <c r="F62" s="768">
        <v>80</v>
      </c>
    </row>
    <row r="63" spans="1:8" s="764" customFormat="1" ht="39">
      <c r="A63" s="768">
        <v>3</v>
      </c>
      <c r="B63" s="3553"/>
      <c r="C63" s="682" t="s">
        <v>576</v>
      </c>
      <c r="D63" s="682" t="s">
        <v>577</v>
      </c>
      <c r="E63" s="781">
        <v>0.5</v>
      </c>
      <c r="F63" s="768">
        <v>80</v>
      </c>
    </row>
    <row r="64" spans="1:8" s="764" customFormat="1" ht="39">
      <c r="A64" s="768">
        <v>4</v>
      </c>
      <c r="B64" s="3553"/>
      <c r="C64" s="682" t="s">
        <v>578</v>
      </c>
      <c r="D64" s="682" t="s">
        <v>579</v>
      </c>
      <c r="E64" s="781">
        <v>0.4</v>
      </c>
      <c r="F64" s="768">
        <v>60</v>
      </c>
    </row>
    <row r="65" spans="1:6" s="764" customFormat="1" ht="39">
      <c r="A65" s="768">
        <v>5</v>
      </c>
      <c r="B65" s="3553"/>
      <c r="C65" s="682" t="s">
        <v>580</v>
      </c>
      <c r="D65" s="682" t="s">
        <v>581</v>
      </c>
      <c r="E65" s="781">
        <v>0.2</v>
      </c>
      <c r="F65" s="768">
        <v>30</v>
      </c>
    </row>
    <row r="66" spans="1:6" s="764" customFormat="1" ht="39">
      <c r="A66" s="768">
        <v>6</v>
      </c>
      <c r="B66" s="3553"/>
      <c r="C66" s="682" t="s">
        <v>582</v>
      </c>
      <c r="D66" s="682" t="s">
        <v>583</v>
      </c>
      <c r="E66" s="781">
        <v>0.3</v>
      </c>
      <c r="F66" s="768">
        <v>50</v>
      </c>
    </row>
    <row r="67" spans="1:6" s="764" customFormat="1" ht="39">
      <c r="A67" s="768">
        <v>7</v>
      </c>
      <c r="B67" s="3553"/>
      <c r="C67" s="682" t="s">
        <v>584</v>
      </c>
      <c r="D67" s="682" t="s">
        <v>585</v>
      </c>
      <c r="E67" s="781">
        <v>0.2</v>
      </c>
      <c r="F67" s="768">
        <v>30</v>
      </c>
    </row>
    <row r="68" spans="1:6" s="764" customFormat="1" ht="39">
      <c r="A68" s="768">
        <v>8</v>
      </c>
      <c r="B68" s="3553"/>
      <c r="C68" s="682" t="s">
        <v>586</v>
      </c>
      <c r="D68" s="682" t="s">
        <v>587</v>
      </c>
      <c r="E68" s="781">
        <v>0.2</v>
      </c>
      <c r="F68" s="768">
        <v>30</v>
      </c>
    </row>
    <row r="69" spans="1:6" s="764" customFormat="1" ht="39">
      <c r="A69" s="768">
        <v>9</v>
      </c>
      <c r="B69" s="3553"/>
      <c r="C69" s="682" t="s">
        <v>588</v>
      </c>
      <c r="D69" s="682" t="s">
        <v>589</v>
      </c>
      <c r="E69" s="781">
        <v>0.2</v>
      </c>
      <c r="F69" s="768">
        <v>30</v>
      </c>
    </row>
    <row r="70" spans="1:6" s="764" customFormat="1" ht="52">
      <c r="A70" s="768">
        <v>10</v>
      </c>
      <c r="B70" s="3553"/>
      <c r="C70" s="682" t="s">
        <v>590</v>
      </c>
      <c r="D70" s="682" t="s">
        <v>591</v>
      </c>
      <c r="E70" s="781">
        <v>0.2</v>
      </c>
      <c r="F70" s="768">
        <v>30</v>
      </c>
    </row>
    <row r="71" spans="1:6" s="764" customFormat="1" ht="52">
      <c r="A71" s="768">
        <v>11</v>
      </c>
      <c r="B71" s="3553"/>
      <c r="C71" s="682" t="s">
        <v>592</v>
      </c>
      <c r="D71" s="682" t="s">
        <v>593</v>
      </c>
      <c r="E71" s="781">
        <v>0.2</v>
      </c>
      <c r="F71" s="768">
        <v>30</v>
      </c>
    </row>
    <row r="72" spans="1:6" s="764" customFormat="1" ht="39">
      <c r="A72" s="768">
        <v>12</v>
      </c>
      <c r="B72" s="3553"/>
      <c r="C72" s="682" t="s">
        <v>594</v>
      </c>
      <c r="D72" s="682" t="s">
        <v>595</v>
      </c>
      <c r="E72" s="781">
        <v>0.5</v>
      </c>
      <c r="F72" s="768">
        <v>80</v>
      </c>
    </row>
    <row r="73" spans="1:6" s="764" customFormat="1" ht="26">
      <c r="A73" s="768">
        <v>13</v>
      </c>
      <c r="B73" s="3553"/>
      <c r="C73" s="682" t="s">
        <v>596</v>
      </c>
      <c r="D73" s="682" t="s">
        <v>597</v>
      </c>
      <c r="E73" s="781">
        <v>0.4</v>
      </c>
      <c r="F73" s="768">
        <v>60</v>
      </c>
    </row>
    <row r="74" spans="1:6" s="764" customFormat="1" ht="26">
      <c r="A74" s="768">
        <v>14</v>
      </c>
      <c r="B74" s="3553"/>
      <c r="C74" s="682" t="s">
        <v>598</v>
      </c>
      <c r="D74" s="682" t="s">
        <v>599</v>
      </c>
      <c r="E74" s="781">
        <v>0.2</v>
      </c>
      <c r="F74" s="768">
        <v>30</v>
      </c>
    </row>
    <row r="75" spans="1:6" s="764" customFormat="1" ht="26">
      <c r="A75" s="768">
        <v>15</v>
      </c>
      <c r="B75" s="3553"/>
      <c r="C75" s="682" t="s">
        <v>600</v>
      </c>
      <c r="D75" s="682" t="s">
        <v>601</v>
      </c>
      <c r="E75" s="781">
        <v>0.2</v>
      </c>
      <c r="F75" s="768">
        <v>30</v>
      </c>
    </row>
    <row r="76" spans="1:6" s="764" customFormat="1" ht="26">
      <c r="A76" s="768">
        <v>16</v>
      </c>
      <c r="B76" s="3553" t="s">
        <v>602</v>
      </c>
      <c r="C76" s="682" t="s">
        <v>603</v>
      </c>
      <c r="D76" s="682" t="s">
        <v>604</v>
      </c>
      <c r="E76" s="781">
        <v>0.5</v>
      </c>
      <c r="F76" s="768">
        <v>80</v>
      </c>
    </row>
    <row r="77" spans="1:6" s="764" customFormat="1" ht="26">
      <c r="A77" s="768">
        <v>17</v>
      </c>
      <c r="B77" s="3553"/>
      <c r="C77" s="682" t="s">
        <v>605</v>
      </c>
      <c r="D77" s="682" t="s">
        <v>606</v>
      </c>
      <c r="E77" s="781">
        <v>0.5</v>
      </c>
      <c r="F77" s="768">
        <v>80</v>
      </c>
    </row>
    <row r="78" spans="1:6" s="764" customFormat="1" ht="26">
      <c r="A78" s="768">
        <v>18</v>
      </c>
      <c r="B78" s="3553"/>
      <c r="C78" s="682" t="s">
        <v>607</v>
      </c>
      <c r="D78" s="682" t="s">
        <v>608</v>
      </c>
      <c r="E78" s="781">
        <v>0.2</v>
      </c>
      <c r="F78" s="768">
        <v>30</v>
      </c>
    </row>
    <row r="79" spans="1:6" s="764" customFormat="1" ht="26">
      <c r="A79" s="768">
        <v>19</v>
      </c>
      <c r="B79" s="3553"/>
      <c r="C79" s="682" t="s">
        <v>609</v>
      </c>
      <c r="D79" s="682" t="s">
        <v>610</v>
      </c>
      <c r="E79" s="781">
        <v>0.5</v>
      </c>
      <c r="F79" s="768">
        <v>80</v>
      </c>
    </row>
    <row r="80" spans="1:6" s="764" customFormat="1" ht="39">
      <c r="A80" s="768">
        <v>20</v>
      </c>
      <c r="B80" s="3553"/>
      <c r="C80" s="682" t="s">
        <v>611</v>
      </c>
      <c r="D80" s="682" t="s">
        <v>612</v>
      </c>
      <c r="E80" s="781">
        <v>0.2</v>
      </c>
      <c r="F80" s="768">
        <v>30</v>
      </c>
    </row>
    <row r="81" spans="1:6" s="764" customFormat="1" ht="39">
      <c r="A81" s="768">
        <v>21</v>
      </c>
      <c r="B81" s="3553"/>
      <c r="C81" s="682" t="s">
        <v>613</v>
      </c>
      <c r="D81" s="682" t="s">
        <v>614</v>
      </c>
      <c r="E81" s="781">
        <v>0.2</v>
      </c>
      <c r="F81" s="768">
        <v>30</v>
      </c>
    </row>
    <row r="82" spans="1:6" s="764" customFormat="1" ht="52">
      <c r="A82" s="768">
        <v>22</v>
      </c>
      <c r="B82" s="3553"/>
      <c r="C82" s="682" t="s">
        <v>615</v>
      </c>
      <c r="D82" s="682" t="s">
        <v>616</v>
      </c>
      <c r="E82" s="781">
        <v>0.2</v>
      </c>
      <c r="F82" s="768">
        <v>30</v>
      </c>
    </row>
    <row r="83" spans="1:6" s="764" customFormat="1" ht="52">
      <c r="A83" s="768">
        <v>23</v>
      </c>
      <c r="B83" s="3553"/>
      <c r="C83" s="682" t="s">
        <v>617</v>
      </c>
      <c r="D83" s="682" t="s">
        <v>618</v>
      </c>
      <c r="E83" s="781">
        <v>0.2</v>
      </c>
      <c r="F83" s="768">
        <v>30</v>
      </c>
    </row>
    <row r="84" spans="1:6" s="764" customFormat="1" ht="39">
      <c r="A84" s="768">
        <v>24</v>
      </c>
      <c r="B84" s="3553"/>
      <c r="C84" s="682" t="s">
        <v>619</v>
      </c>
      <c r="D84" s="682" t="s">
        <v>620</v>
      </c>
      <c r="E84" s="781">
        <v>0.2</v>
      </c>
      <c r="F84" s="768">
        <v>30</v>
      </c>
    </row>
    <row r="85" spans="1:6" s="764" customFormat="1" ht="39">
      <c r="A85" s="768">
        <v>25</v>
      </c>
      <c r="B85" s="3553"/>
      <c r="C85" s="682" t="s">
        <v>621</v>
      </c>
      <c r="D85" s="682" t="s">
        <v>622</v>
      </c>
      <c r="E85" s="781">
        <v>0.5</v>
      </c>
      <c r="F85" s="768">
        <v>80</v>
      </c>
    </row>
    <row r="86" spans="1:6" s="764" customFormat="1" ht="39">
      <c r="A86" s="768">
        <v>26</v>
      </c>
      <c r="B86" s="3553"/>
      <c r="C86" s="682" t="s">
        <v>623</v>
      </c>
      <c r="D86" s="682" t="s">
        <v>624</v>
      </c>
      <c r="E86" s="781">
        <v>0.2</v>
      </c>
      <c r="F86" s="768">
        <v>30</v>
      </c>
    </row>
    <row r="87" spans="1:6" s="764" customFormat="1" ht="39">
      <c r="A87" s="768">
        <v>27</v>
      </c>
      <c r="B87" s="3553"/>
      <c r="C87" s="682" t="s">
        <v>625</v>
      </c>
      <c r="D87" s="682" t="s">
        <v>626</v>
      </c>
      <c r="E87" s="781">
        <v>0.2</v>
      </c>
      <c r="F87" s="768">
        <v>30</v>
      </c>
    </row>
    <row r="88" spans="1:6" s="764" customFormat="1" ht="39">
      <c r="A88" s="768">
        <v>28</v>
      </c>
      <c r="B88" s="3553"/>
      <c r="C88" s="682" t="s">
        <v>627</v>
      </c>
      <c r="D88" s="682" t="s">
        <v>628</v>
      </c>
      <c r="E88" s="781">
        <v>0.2</v>
      </c>
      <c r="F88" s="768">
        <v>30</v>
      </c>
    </row>
    <row r="89" spans="1:6" s="764" customFormat="1" ht="26">
      <c r="A89" s="768">
        <v>29</v>
      </c>
      <c r="B89" s="3553"/>
      <c r="C89" s="682" t="s">
        <v>629</v>
      </c>
      <c r="D89" s="682" t="s">
        <v>630</v>
      </c>
      <c r="E89" s="781">
        <v>0.2</v>
      </c>
      <c r="F89" s="768">
        <v>30</v>
      </c>
    </row>
    <row r="90" spans="1:6" s="764" customFormat="1" ht="26">
      <c r="A90" s="768">
        <v>30</v>
      </c>
      <c r="B90" s="3553"/>
      <c r="C90" s="682" t="s">
        <v>631</v>
      </c>
      <c r="D90" s="682" t="s">
        <v>632</v>
      </c>
      <c r="E90" s="781">
        <v>0.2</v>
      </c>
      <c r="F90" s="768">
        <v>30</v>
      </c>
    </row>
    <row r="91" spans="1:6" s="764" customFormat="1" ht="39">
      <c r="A91" s="768">
        <v>31</v>
      </c>
      <c r="B91" s="3553"/>
      <c r="C91" s="682" t="s">
        <v>633</v>
      </c>
      <c r="D91" s="682" t="s">
        <v>634</v>
      </c>
      <c r="E91" s="781">
        <v>0.2</v>
      </c>
      <c r="F91" s="768">
        <v>30</v>
      </c>
    </row>
    <row r="92" spans="1:6" s="764" customFormat="1" ht="26">
      <c r="A92" s="768">
        <v>32</v>
      </c>
      <c r="B92" s="3553" t="s">
        <v>635</v>
      </c>
      <c r="C92" s="768" t="s">
        <v>636</v>
      </c>
      <c r="D92" s="682" t="s">
        <v>637</v>
      </c>
      <c r="E92" s="781">
        <v>0.2</v>
      </c>
      <c r="F92" s="768">
        <v>30</v>
      </c>
    </row>
    <row r="93" spans="1:6" s="764" customFormat="1" ht="39">
      <c r="A93" s="768">
        <v>33</v>
      </c>
      <c r="B93" s="3553"/>
      <c r="C93" s="768" t="s">
        <v>638</v>
      </c>
      <c r="D93" s="682" t="s">
        <v>639</v>
      </c>
      <c r="E93" s="781">
        <v>0.2</v>
      </c>
      <c r="F93" s="768">
        <v>30</v>
      </c>
    </row>
    <row r="94" spans="1:6" s="764" customFormat="1" ht="52">
      <c r="A94" s="768">
        <v>34</v>
      </c>
      <c r="B94" s="3553"/>
      <c r="C94" s="768" t="s">
        <v>640</v>
      </c>
      <c r="D94" s="682" t="s">
        <v>641</v>
      </c>
      <c r="E94" s="781">
        <v>0.2</v>
      </c>
      <c r="F94" s="768">
        <v>30</v>
      </c>
    </row>
    <row r="95" spans="1:6" s="764" customFormat="1" ht="39">
      <c r="A95" s="768">
        <v>35</v>
      </c>
      <c r="B95" s="3553"/>
      <c r="C95" s="768" t="s">
        <v>642</v>
      </c>
      <c r="D95" s="682" t="s">
        <v>643</v>
      </c>
      <c r="E95" s="781">
        <v>0.2</v>
      </c>
      <c r="F95" s="768">
        <v>30</v>
      </c>
    </row>
    <row r="96" spans="1:6" s="764" customFormat="1" ht="52">
      <c r="A96" s="768">
        <v>36</v>
      </c>
      <c r="B96" s="3553"/>
      <c r="C96" s="682" t="s">
        <v>644</v>
      </c>
      <c r="D96" s="682" t="s">
        <v>645</v>
      </c>
      <c r="E96" s="781">
        <v>0.2</v>
      </c>
      <c r="F96" s="768">
        <v>30</v>
      </c>
    </row>
    <row r="97" spans="1:6" s="764" customFormat="1" ht="39">
      <c r="A97" s="768">
        <v>37</v>
      </c>
      <c r="B97" s="3553"/>
      <c r="C97" s="768" t="s">
        <v>646</v>
      </c>
      <c r="D97" s="682" t="s">
        <v>647</v>
      </c>
      <c r="E97" s="781">
        <v>0.2</v>
      </c>
      <c r="F97" s="768">
        <v>30</v>
      </c>
    </row>
    <row r="98" spans="1:6" s="764" customFormat="1" ht="39">
      <c r="A98" s="768">
        <v>38</v>
      </c>
      <c r="B98" s="3553"/>
      <c r="C98" s="768" t="s">
        <v>648</v>
      </c>
      <c r="D98" s="682" t="s">
        <v>649</v>
      </c>
      <c r="E98" s="781">
        <v>0.2</v>
      </c>
      <c r="F98" s="768">
        <v>30</v>
      </c>
    </row>
    <row r="99" spans="1:6" s="764" customFormat="1" ht="39">
      <c r="A99" s="768">
        <v>39</v>
      </c>
      <c r="B99" s="3553" t="s">
        <v>650</v>
      </c>
      <c r="C99" s="768" t="s">
        <v>651</v>
      </c>
      <c r="D99" s="682" t="s">
        <v>652</v>
      </c>
      <c r="E99" s="781">
        <v>0.3</v>
      </c>
      <c r="F99" s="768">
        <v>50</v>
      </c>
    </row>
    <row r="100" spans="1:6" s="764" customFormat="1" ht="26">
      <c r="A100" s="768">
        <v>40</v>
      </c>
      <c r="B100" s="3553"/>
      <c r="C100" s="768" t="s">
        <v>653</v>
      </c>
      <c r="D100" s="682" t="s">
        <v>654</v>
      </c>
      <c r="E100" s="781">
        <v>0.2</v>
      </c>
      <c r="F100" s="768">
        <v>30</v>
      </c>
    </row>
    <row r="101" spans="1:6" s="764" customFormat="1" ht="39">
      <c r="A101" s="768">
        <v>41</v>
      </c>
      <c r="B101" s="3553"/>
      <c r="C101" s="768" t="s">
        <v>655</v>
      </c>
      <c r="D101" s="682" t="s">
        <v>652</v>
      </c>
      <c r="E101" s="781">
        <v>0.2</v>
      </c>
      <c r="F101" s="768">
        <v>30</v>
      </c>
    </row>
    <row r="102" spans="1:6" s="764" customFormat="1" ht="52">
      <c r="A102" s="768">
        <v>42</v>
      </c>
      <c r="B102" s="768" t="s">
        <v>656</v>
      </c>
      <c r="C102" s="682" t="s">
        <v>657</v>
      </c>
      <c r="D102" s="682" t="s">
        <v>658</v>
      </c>
      <c r="E102" s="781">
        <v>0.2</v>
      </c>
      <c r="F102" s="768">
        <v>30</v>
      </c>
    </row>
    <row r="103" spans="1:6" s="764" customFormat="1" ht="26">
      <c r="A103" s="768">
        <v>43</v>
      </c>
      <c r="B103" s="768" t="s">
        <v>659</v>
      </c>
      <c r="C103" s="768" t="s">
        <v>660</v>
      </c>
      <c r="D103" s="682" t="s">
        <v>661</v>
      </c>
      <c r="E103" s="781">
        <v>0.2</v>
      </c>
      <c r="F103" s="768">
        <v>30</v>
      </c>
    </row>
    <row r="104" spans="1:6" s="764" customFormat="1" ht="39">
      <c r="A104" s="768">
        <v>44</v>
      </c>
      <c r="B104" s="768" t="s">
        <v>662</v>
      </c>
      <c r="C104" s="768" t="s">
        <v>663</v>
      </c>
      <c r="D104" s="682" t="s">
        <v>664</v>
      </c>
      <c r="E104" s="781">
        <v>0.2</v>
      </c>
      <c r="F104" s="768">
        <v>30</v>
      </c>
    </row>
    <row r="105" spans="1:6" s="764" customFormat="1" ht="39">
      <c r="A105" s="768">
        <v>45</v>
      </c>
      <c r="B105" s="3553" t="s">
        <v>665</v>
      </c>
      <c r="C105" s="768" t="s">
        <v>666</v>
      </c>
      <c r="D105" s="682" t="s">
        <v>667</v>
      </c>
      <c r="E105" s="781">
        <v>0.2</v>
      </c>
      <c r="F105" s="768">
        <v>30</v>
      </c>
    </row>
    <row r="106" spans="1:6" s="764" customFormat="1" ht="39">
      <c r="A106" s="768">
        <v>46</v>
      </c>
      <c r="B106" s="3553"/>
      <c r="C106" s="768" t="s">
        <v>668</v>
      </c>
      <c r="D106" s="682" t="s">
        <v>669</v>
      </c>
      <c r="E106" s="781">
        <v>0.2</v>
      </c>
      <c r="F106" s="768">
        <v>30</v>
      </c>
    </row>
    <row r="107" spans="1:6" s="764" customFormat="1" ht="39">
      <c r="A107" s="768">
        <v>47</v>
      </c>
      <c r="B107" s="3553" t="s">
        <v>670</v>
      </c>
      <c r="C107" s="768" t="s">
        <v>671</v>
      </c>
      <c r="D107" s="682" t="s">
        <v>672</v>
      </c>
      <c r="E107" s="781">
        <v>0.3</v>
      </c>
      <c r="F107" s="768">
        <v>50</v>
      </c>
    </row>
    <row r="108" spans="1:6" s="764" customFormat="1" ht="39">
      <c r="A108" s="768">
        <v>48</v>
      </c>
      <c r="B108" s="3553"/>
      <c r="C108" s="768" t="s">
        <v>673</v>
      </c>
      <c r="D108" s="682" t="s">
        <v>674</v>
      </c>
      <c r="E108" s="781">
        <v>0.2</v>
      </c>
      <c r="F108" s="768">
        <v>30</v>
      </c>
    </row>
    <row r="109" spans="1:6" s="764" customFormat="1" ht="39">
      <c r="A109" s="768">
        <v>49</v>
      </c>
      <c r="B109" s="768" t="s">
        <v>675</v>
      </c>
      <c r="C109" s="768" t="s">
        <v>676</v>
      </c>
      <c r="D109" s="682" t="s">
        <v>677</v>
      </c>
      <c r="E109" s="781">
        <v>0.2</v>
      </c>
      <c r="F109" s="768">
        <v>30</v>
      </c>
    </row>
    <row r="110" spans="1:6" s="764" customFormat="1" ht="39">
      <c r="A110" s="768">
        <v>50</v>
      </c>
      <c r="B110" s="768" t="s">
        <v>678</v>
      </c>
      <c r="C110" s="768" t="s">
        <v>679</v>
      </c>
      <c r="D110" s="682" t="s">
        <v>680</v>
      </c>
      <c r="E110" s="781">
        <v>0.2</v>
      </c>
      <c r="F110" s="768">
        <v>30</v>
      </c>
    </row>
    <row r="111" spans="1:6" s="764" customFormat="1" ht="39">
      <c r="A111" s="768">
        <v>51</v>
      </c>
      <c r="B111" s="3553" t="s">
        <v>681</v>
      </c>
      <c r="C111" s="768" t="s">
        <v>682</v>
      </c>
      <c r="D111" s="682" t="s">
        <v>683</v>
      </c>
      <c r="E111" s="781">
        <v>0.2</v>
      </c>
      <c r="F111" s="768">
        <v>30</v>
      </c>
    </row>
    <row r="112" spans="1:6" s="764" customFormat="1" ht="26">
      <c r="A112" s="768">
        <v>52</v>
      </c>
      <c r="B112" s="3553"/>
      <c r="C112" s="768" t="s">
        <v>684</v>
      </c>
      <c r="D112" s="682" t="s">
        <v>685</v>
      </c>
      <c r="E112" s="781">
        <v>0.2</v>
      </c>
      <c r="F112" s="768">
        <v>30</v>
      </c>
    </row>
    <row r="113" spans="1:6" s="764" customFormat="1" ht="26">
      <c r="A113" s="768">
        <v>53</v>
      </c>
      <c r="B113" s="3553"/>
      <c r="C113" s="768" t="s">
        <v>686</v>
      </c>
      <c r="D113" s="682" t="s">
        <v>687</v>
      </c>
      <c r="E113" s="781">
        <v>0.2</v>
      </c>
      <c r="F113" s="768">
        <v>30</v>
      </c>
    </row>
    <row r="114" spans="1:6" ht="39">
      <c r="A114" s="768">
        <v>54</v>
      </c>
      <c r="B114" s="768" t="s">
        <v>688</v>
      </c>
      <c r="C114" s="768" t="s">
        <v>689</v>
      </c>
      <c r="D114" s="682" t="s">
        <v>690</v>
      </c>
      <c r="E114" s="781">
        <v>0.2</v>
      </c>
      <c r="F114" s="768">
        <v>30</v>
      </c>
    </row>
    <row r="115" spans="1:6" ht="26">
      <c r="A115" s="768">
        <v>55</v>
      </c>
      <c r="B115" s="768" t="s">
        <v>691</v>
      </c>
      <c r="C115" s="768" t="s">
        <v>692</v>
      </c>
      <c r="D115" s="682" t="s">
        <v>693</v>
      </c>
      <c r="E115" s="781">
        <v>0.2</v>
      </c>
      <c r="F115" s="768">
        <v>30</v>
      </c>
    </row>
    <row r="116" spans="1:6" ht="26">
      <c r="A116" s="768">
        <v>56</v>
      </c>
      <c r="B116" s="3553" t="s">
        <v>694</v>
      </c>
      <c r="C116" s="768" t="s">
        <v>695</v>
      </c>
      <c r="D116" s="682" t="s">
        <v>696</v>
      </c>
      <c r="E116" s="781">
        <v>0.2</v>
      </c>
      <c r="F116" s="768">
        <v>30</v>
      </c>
    </row>
    <row r="117" spans="1:6" ht="39">
      <c r="A117" s="768">
        <v>57</v>
      </c>
      <c r="B117" s="3553"/>
      <c r="C117" s="768" t="s">
        <v>697</v>
      </c>
      <c r="D117" s="682" t="s">
        <v>698</v>
      </c>
      <c r="E117" s="781">
        <v>0.2</v>
      </c>
      <c r="F117" s="768">
        <v>30</v>
      </c>
    </row>
    <row r="118" spans="1:6" ht="39">
      <c r="A118" s="768">
        <v>58</v>
      </c>
      <c r="B118" s="768" t="s">
        <v>699</v>
      </c>
      <c r="C118" s="768" t="s">
        <v>700</v>
      </c>
      <c r="D118" s="682" t="s">
        <v>701</v>
      </c>
      <c r="E118" s="781">
        <v>0.2</v>
      </c>
      <c r="F118" s="768">
        <v>30</v>
      </c>
    </row>
    <row r="119" spans="1:6" ht="1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
  <cols>
    <col min="1" max="1" width="9" style="792"/>
    <col min="2" max="16384" width="9" style="784"/>
  </cols>
  <sheetData>
    <row r="1" spans="1:14" ht="1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
      <c r="A103" s="782" t="s">
        <v>705</v>
      </c>
      <c r="B103" s="783"/>
      <c r="C103" s="783"/>
      <c r="D103" s="783"/>
      <c r="E103" s="783"/>
      <c r="F103" s="783"/>
      <c r="G103" s="783"/>
      <c r="H103" s="783"/>
      <c r="I103" s="783"/>
      <c r="J103" s="783"/>
      <c r="K103" s="783"/>
      <c r="L103" s="783"/>
      <c r="M103" s="783"/>
      <c r="N103" s="783"/>
    </row>
    <row r="104" spans="1:14" ht="1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6"/>
  <sheetViews>
    <sheetView zoomScale="80" zoomScaleNormal="80" workbookViewId="0">
      <selection activeCell="I6" sqref="I6:L6"/>
    </sheetView>
  </sheetViews>
  <sheetFormatPr defaultColWidth="8.90625" defaultRowHeight="12.5"/>
  <cols>
    <col min="1" max="1" width="8.90625" style="2357"/>
    <col min="2" max="6" width="9" style="2357" customWidth="1"/>
    <col min="7" max="7" width="9" style="2400"/>
    <col min="8" max="8" width="9" style="2357"/>
    <col min="9" max="12" width="9" style="2357" customWidth="1"/>
    <col min="13" max="13" width="2.26953125" style="2357" customWidth="1"/>
    <col min="14" max="14" width="9" style="2400" customWidth="1"/>
    <col min="15" max="17" width="9" style="2357" customWidth="1"/>
    <col min="18" max="18" width="2.36328125" style="2357" customWidth="1"/>
    <col min="19" max="19" width="7.08984375" style="2400" customWidth="1"/>
    <col min="20" max="22" width="7.08984375" style="2357" customWidth="1"/>
    <col min="23" max="23" width="23.90625" style="2357" customWidth="1"/>
    <col min="24" max="25" width="9" style="2357"/>
    <col min="26" max="27" width="11.6328125" style="2357" customWidth="1"/>
    <col min="28" max="28" width="9" style="2357"/>
    <col min="29" max="29" width="2" style="2357" customWidth="1"/>
    <col min="30" max="16384" width="8.90625" style="2357"/>
  </cols>
  <sheetData>
    <row r="1" spans="1:34" s="2335" customFormat="1" ht="13">
      <c r="B1" s="3559" t="s">
        <v>1020</v>
      </c>
      <c r="C1" s="3559"/>
      <c r="D1" s="3559"/>
      <c r="E1" s="3559"/>
      <c r="F1" s="3559"/>
      <c r="G1" s="3555" t="s">
        <v>1021</v>
      </c>
      <c r="H1" s="3555"/>
      <c r="I1" s="3555"/>
      <c r="J1" s="3555"/>
      <c r="K1" s="3555"/>
      <c r="L1" s="3555"/>
      <c r="N1" s="3555" t="s">
        <v>1022</v>
      </c>
      <c r="O1" s="3555"/>
      <c r="P1" s="3555"/>
      <c r="Q1" s="3555"/>
      <c r="S1" s="3555" t="s">
        <v>1023</v>
      </c>
      <c r="T1" s="3555"/>
      <c r="U1" s="3555"/>
      <c r="V1" s="3555"/>
      <c r="X1" s="3554" t="s">
        <v>1024</v>
      </c>
      <c r="Y1" s="3555"/>
      <c r="Z1" s="3555"/>
      <c r="AA1" s="3555"/>
      <c r="AB1" s="3555"/>
      <c r="AD1" s="3554" t="s">
        <v>1025</v>
      </c>
      <c r="AE1" s="3555"/>
      <c r="AF1" s="3555"/>
      <c r="AG1" s="3555"/>
      <c r="AH1" s="3555"/>
    </row>
    <row r="2" spans="1:34" s="2336" customFormat="1" ht="14.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
      <c r="A3" s="2340" t="s">
        <v>2711</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ht="13">
      <c r="A5" s="2359" t="s">
        <v>2891</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2710</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5" customHeight="1">
      <c r="A6" s="2371" t="s">
        <v>2892</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5" customHeight="1">
      <c r="A7" s="2371" t="s">
        <v>2890</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5" customHeight="1">
      <c r="A8" s="2371" t="s">
        <v>2744</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5" customHeight="1">
      <c r="A9" s="2371" t="s">
        <v>2741</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5" customHeight="1">
      <c r="A10" s="2371" t="s">
        <v>2739</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5" customHeight="1" thickBot="1">
      <c r="A11" s="2371" t="s">
        <v>2736</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5" customHeight="1">
      <c r="A12" s="2371" t="s">
        <v>2730</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5" customHeight="1" thickBot="1">
      <c r="A13" s="2371" t="s">
        <v>2731</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ht="13">
      <c r="A14" s="2371" t="s">
        <v>2724</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57">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5" customHeight="1">
      <c r="A15" s="2371" t="s">
        <v>2719</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57"/>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5" customHeight="1">
      <c r="A16" s="2371" t="s">
        <v>2718</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57"/>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2715</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64"/>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ht="13">
      <c r="A18" s="2371" t="s">
        <v>2712</v>
      </c>
      <c r="B18" s="2381">
        <v>439</v>
      </c>
      <c r="C18" s="2381">
        <v>327</v>
      </c>
      <c r="D18" s="2381">
        <f t="shared" si="125"/>
        <v>327</v>
      </c>
      <c r="E18" s="2381">
        <v>627</v>
      </c>
      <c r="F18" s="2382">
        <v>283</v>
      </c>
      <c r="G18" s="3560">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5" customHeight="1">
      <c r="A19" s="2371" t="s">
        <v>2709</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57"/>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57"/>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64"/>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ht="13">
      <c r="A22" s="2371" t="s">
        <v>1037</v>
      </c>
      <c r="B22" s="2381">
        <v>392</v>
      </c>
      <c r="C22" s="2381">
        <v>302</v>
      </c>
      <c r="D22" s="2381">
        <f t="shared" si="125"/>
        <v>302</v>
      </c>
      <c r="E22" s="2381">
        <v>553</v>
      </c>
      <c r="F22" s="2382">
        <v>266</v>
      </c>
      <c r="G22" s="3560">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57"/>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57"/>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58"/>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56">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57"/>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57"/>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58"/>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56">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57"/>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57"/>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58"/>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61">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62"/>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ht="13">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62"/>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63"/>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56">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57"/>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57"/>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 thickBot="1">
      <c r="A41" s="2371" t="s">
        <v>1045</v>
      </c>
      <c r="B41" s="2388">
        <f>B40/(1+N40)</f>
        <v>275.19025476197027</v>
      </c>
      <c r="C41" s="2426">
        <v>232</v>
      </c>
      <c r="D41" s="2426">
        <f t="shared" si="150"/>
        <v>232</v>
      </c>
      <c r="E41" s="2388">
        <f t="shared" si="161"/>
        <v>375.65990977608692</v>
      </c>
      <c r="F41" s="2388">
        <f t="shared" si="161"/>
        <v>214.12518283971252</v>
      </c>
      <c r="G41" s="3558"/>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56">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57">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57">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58">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56">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57">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57">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58">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56">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57">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57">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58">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56">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57">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57">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58">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56">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57">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57">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58">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56">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57">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57">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58">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56">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57">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57">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58">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56">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57">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57">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58">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56">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57">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57">
        <v>2003</v>
      </c>
      <c r="H76" s="2391">
        <v>2</v>
      </c>
      <c r="I76" s="2446"/>
      <c r="J76" s="2446"/>
      <c r="K76" s="2446"/>
      <c r="L76" s="2446"/>
      <c r="X76" s="2438"/>
      <c r="Y76" s="2438"/>
      <c r="Z76" s="2438"/>
    </row>
    <row r="77" spans="1:26" ht="13" thickBot="1">
      <c r="A77" s="2371" t="s">
        <v>1081</v>
      </c>
      <c r="B77" s="2448">
        <f t="shared" si="186"/>
        <v>107.25</v>
      </c>
      <c r="C77" s="2448">
        <f t="shared" si="186"/>
        <v>108.75</v>
      </c>
      <c r="D77" s="2448">
        <f t="shared" si="150"/>
        <v>108.75</v>
      </c>
      <c r="E77" s="2448">
        <f t="shared" si="187"/>
        <v>105.75</v>
      </c>
      <c r="F77" s="2448">
        <f t="shared" si="187"/>
        <v>102.5</v>
      </c>
      <c r="G77" s="3558">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56">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57">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57">
        <v>2002</v>
      </c>
      <c r="H80" s="2391">
        <v>2</v>
      </c>
      <c r="I80" s="2446"/>
      <c r="J80" s="2446"/>
      <c r="K80" s="2446"/>
      <c r="L80" s="2446"/>
      <c r="X80" s="2438"/>
      <c r="Y80" s="2438"/>
      <c r="Z80" s="2438"/>
    </row>
    <row r="81" spans="1:26" s="2411" customFormat="1" ht="13" thickBot="1">
      <c r="A81" s="2407" t="s">
        <v>1085</v>
      </c>
      <c r="B81" s="2414">
        <f t="shared" si="188"/>
        <v>103</v>
      </c>
      <c r="C81" s="2414">
        <f t="shared" si="188"/>
        <v>104</v>
      </c>
      <c r="D81" s="2414">
        <f t="shared" si="150"/>
        <v>104</v>
      </c>
      <c r="E81" s="2414">
        <f t="shared" si="189"/>
        <v>103.5</v>
      </c>
      <c r="F81" s="2414">
        <f t="shared" si="189"/>
        <v>100.5</v>
      </c>
      <c r="G81" s="3558">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ht="13">
      <c r="A84" s="2459" t="s">
        <v>1086</v>
      </c>
      <c r="G84" s="2461"/>
      <c r="N84" s="2461"/>
      <c r="S84" s="2461"/>
    </row>
    <row r="85" spans="1:26" s="2460" customFormat="1" ht="13">
      <c r="A85" s="2460" t="s">
        <v>1087</v>
      </c>
      <c r="G85" s="2461"/>
      <c r="N85" s="2461"/>
      <c r="S85" s="2461"/>
    </row>
    <row r="86" spans="1:26" s="2460" customFormat="1" ht="13">
      <c r="A86" s="2460" t="s">
        <v>1088</v>
      </c>
      <c r="G86" s="2461"/>
      <c r="I86" s="2462"/>
      <c r="J86" s="2462"/>
      <c r="K86" s="2462"/>
      <c r="L86" s="2462"/>
      <c r="N86" s="2463"/>
      <c r="O86" s="2462"/>
      <c r="P86" s="2462"/>
      <c r="Q86" s="2462"/>
      <c r="S86" s="2463"/>
      <c r="T86" s="2462"/>
      <c r="U86" s="2462"/>
      <c r="V86" s="2462"/>
    </row>
    <row r="87" spans="1:26" s="2460" customFormat="1" ht="13">
      <c r="A87" s="2460" t="s">
        <v>1089</v>
      </c>
      <c r="G87" s="2461"/>
      <c r="N87" s="2461"/>
      <c r="S87" s="2461"/>
    </row>
    <row r="94" spans="1:26" ht="13" thickBot="1"/>
    <row r="95" spans="1:26" ht="13">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63"/>
  <sheetViews>
    <sheetView workbookViewId="0">
      <selection activeCell="D4" sqref="D4"/>
    </sheetView>
  </sheetViews>
  <sheetFormatPr defaultRowHeight="14"/>
  <cols>
    <col min="1" max="1" width="4.90625" style="1237" customWidth="1"/>
    <col min="2" max="2" width="13.26953125" style="1243" customWidth="1"/>
    <col min="3" max="3" width="15.6328125" style="1243" customWidth="1"/>
    <col min="4" max="4" width="9.36328125" style="1243" bestFit="1" customWidth="1"/>
    <col min="5" max="5" width="13.453125" style="1243" customWidth="1"/>
    <col min="6" max="6" width="9" style="1243"/>
    <col min="7" max="7" width="9.36328125" style="1243" bestFit="1" customWidth="1"/>
    <col min="8" max="8" width="11.453125" style="1243" customWidth="1"/>
    <col min="9" max="9" width="9" style="1243"/>
    <col min="10" max="10" width="9.36328125" style="1243" bestFit="1" customWidth="1"/>
    <col min="11" max="11" width="4" style="1237" customWidth="1"/>
    <col min="12" max="12" width="5.08984375" style="1243" customWidth="1"/>
    <col min="13" max="13" width="13.7265625" style="1243" customWidth="1"/>
    <col min="14" max="256" width="9" style="1243"/>
    <col min="257" max="257" width="4.90625" style="1234" customWidth="1"/>
    <col min="258" max="258" width="13.26953125" style="1234" customWidth="1"/>
    <col min="259" max="259" width="15.6328125" style="1234" customWidth="1"/>
    <col min="260" max="260" width="9.36328125" style="1234" bestFit="1" customWidth="1"/>
    <col min="261" max="261" width="13.453125" style="1234" customWidth="1"/>
    <col min="262" max="262" width="9" style="1234"/>
    <col min="263" max="263" width="9.36328125" style="1234" bestFit="1" customWidth="1"/>
    <col min="264" max="265" width="9" style="1234"/>
    <col min="266" max="266" width="9.36328125" style="1234" bestFit="1" customWidth="1"/>
    <col min="267" max="267" width="4" style="1234" customWidth="1"/>
    <col min="268" max="268" width="5.08984375" style="1234" customWidth="1"/>
    <col min="269" max="269" width="13.7265625" style="1234" customWidth="1"/>
    <col min="270" max="512" width="9" style="1234"/>
    <col min="513" max="513" width="4.90625" style="1234" customWidth="1"/>
    <col min="514" max="514" width="13.26953125" style="1234" customWidth="1"/>
    <col min="515" max="515" width="15.6328125" style="1234" customWidth="1"/>
    <col min="516" max="516" width="9.36328125" style="1234" bestFit="1" customWidth="1"/>
    <col min="517" max="517" width="13.453125" style="1234" customWidth="1"/>
    <col min="518" max="518" width="9" style="1234"/>
    <col min="519" max="519" width="9.36328125" style="1234" bestFit="1" customWidth="1"/>
    <col min="520" max="521" width="9" style="1234"/>
    <col min="522" max="522" width="9.36328125" style="1234" bestFit="1" customWidth="1"/>
    <col min="523" max="523" width="4" style="1234" customWidth="1"/>
    <col min="524" max="524" width="5.08984375" style="1234" customWidth="1"/>
    <col min="525" max="525" width="13.7265625" style="1234" customWidth="1"/>
    <col min="526" max="768" width="9" style="1234"/>
    <col min="769" max="769" width="4.90625" style="1234" customWidth="1"/>
    <col min="770" max="770" width="13.26953125" style="1234" customWidth="1"/>
    <col min="771" max="771" width="15.6328125" style="1234" customWidth="1"/>
    <col min="772" max="772" width="9.36328125" style="1234" bestFit="1" customWidth="1"/>
    <col min="773" max="773" width="13.453125" style="1234" customWidth="1"/>
    <col min="774" max="774" width="9" style="1234"/>
    <col min="775" max="775" width="9.36328125" style="1234" bestFit="1" customWidth="1"/>
    <col min="776" max="777" width="9" style="1234"/>
    <col min="778" max="778" width="9.36328125" style="1234" bestFit="1" customWidth="1"/>
    <col min="779" max="779" width="4" style="1234" customWidth="1"/>
    <col min="780" max="780" width="5.08984375" style="1234" customWidth="1"/>
    <col min="781" max="781" width="13.7265625" style="1234" customWidth="1"/>
    <col min="782" max="1024" width="9" style="1234"/>
    <col min="1025" max="1025" width="4.90625" style="1234" customWidth="1"/>
    <col min="1026" max="1026" width="13.26953125" style="1234" customWidth="1"/>
    <col min="1027" max="1027" width="15.6328125" style="1234" customWidth="1"/>
    <col min="1028" max="1028" width="9.36328125" style="1234" bestFit="1" customWidth="1"/>
    <col min="1029" max="1029" width="13.453125" style="1234" customWidth="1"/>
    <col min="1030" max="1030" width="9" style="1234"/>
    <col min="1031" max="1031" width="9.36328125" style="1234" bestFit="1" customWidth="1"/>
    <col min="1032" max="1033" width="9" style="1234"/>
    <col min="1034" max="1034" width="9.36328125" style="1234" bestFit="1" customWidth="1"/>
    <col min="1035" max="1035" width="4" style="1234" customWidth="1"/>
    <col min="1036" max="1036" width="5.08984375" style="1234" customWidth="1"/>
    <col min="1037" max="1037" width="13.7265625" style="1234" customWidth="1"/>
    <col min="1038" max="1280" width="9" style="1234"/>
    <col min="1281" max="1281" width="4.90625" style="1234" customWidth="1"/>
    <col min="1282" max="1282" width="13.26953125" style="1234" customWidth="1"/>
    <col min="1283" max="1283" width="15.6328125" style="1234" customWidth="1"/>
    <col min="1284" max="1284" width="9.36328125" style="1234" bestFit="1" customWidth="1"/>
    <col min="1285" max="1285" width="13.453125" style="1234" customWidth="1"/>
    <col min="1286" max="1286" width="9" style="1234"/>
    <col min="1287" max="1287" width="9.36328125" style="1234" bestFit="1" customWidth="1"/>
    <col min="1288" max="1289" width="9" style="1234"/>
    <col min="1290" max="1290" width="9.36328125" style="1234" bestFit="1" customWidth="1"/>
    <col min="1291" max="1291" width="4" style="1234" customWidth="1"/>
    <col min="1292" max="1292" width="5.08984375" style="1234" customWidth="1"/>
    <col min="1293" max="1293" width="13.7265625" style="1234" customWidth="1"/>
    <col min="1294" max="1536" width="9" style="1234"/>
    <col min="1537" max="1537" width="4.90625" style="1234" customWidth="1"/>
    <col min="1538" max="1538" width="13.26953125" style="1234" customWidth="1"/>
    <col min="1539" max="1539" width="15.6328125" style="1234" customWidth="1"/>
    <col min="1540" max="1540" width="9.36328125" style="1234" bestFit="1" customWidth="1"/>
    <col min="1541" max="1541" width="13.453125" style="1234" customWidth="1"/>
    <col min="1542" max="1542" width="9" style="1234"/>
    <col min="1543" max="1543" width="9.36328125" style="1234" bestFit="1" customWidth="1"/>
    <col min="1544" max="1545" width="9" style="1234"/>
    <col min="1546" max="1546" width="9.36328125" style="1234" bestFit="1" customWidth="1"/>
    <col min="1547" max="1547" width="4" style="1234" customWidth="1"/>
    <col min="1548" max="1548" width="5.08984375" style="1234" customWidth="1"/>
    <col min="1549" max="1549" width="13.7265625" style="1234" customWidth="1"/>
    <col min="1550" max="1792" width="9" style="1234"/>
    <col min="1793" max="1793" width="4.90625" style="1234" customWidth="1"/>
    <col min="1794" max="1794" width="13.26953125" style="1234" customWidth="1"/>
    <col min="1795" max="1795" width="15.6328125" style="1234" customWidth="1"/>
    <col min="1796" max="1796" width="9.36328125" style="1234" bestFit="1" customWidth="1"/>
    <col min="1797" max="1797" width="13.453125" style="1234" customWidth="1"/>
    <col min="1798" max="1798" width="9" style="1234"/>
    <col min="1799" max="1799" width="9.36328125" style="1234" bestFit="1" customWidth="1"/>
    <col min="1800" max="1801" width="9" style="1234"/>
    <col min="1802" max="1802" width="9.36328125" style="1234" bestFit="1" customWidth="1"/>
    <col min="1803" max="1803" width="4" style="1234" customWidth="1"/>
    <col min="1804" max="1804" width="5.08984375" style="1234" customWidth="1"/>
    <col min="1805" max="1805" width="13.7265625" style="1234" customWidth="1"/>
    <col min="1806" max="2048" width="9" style="1234"/>
    <col min="2049" max="2049" width="4.90625" style="1234" customWidth="1"/>
    <col min="2050" max="2050" width="13.26953125" style="1234" customWidth="1"/>
    <col min="2051" max="2051" width="15.6328125" style="1234" customWidth="1"/>
    <col min="2052" max="2052" width="9.36328125" style="1234" bestFit="1" customWidth="1"/>
    <col min="2053" max="2053" width="13.453125" style="1234" customWidth="1"/>
    <col min="2054" max="2054" width="9" style="1234"/>
    <col min="2055" max="2055" width="9.36328125" style="1234" bestFit="1" customWidth="1"/>
    <col min="2056" max="2057" width="9" style="1234"/>
    <col min="2058" max="2058" width="9.36328125" style="1234" bestFit="1" customWidth="1"/>
    <col min="2059" max="2059" width="4" style="1234" customWidth="1"/>
    <col min="2060" max="2060" width="5.08984375" style="1234" customWidth="1"/>
    <col min="2061" max="2061" width="13.7265625" style="1234" customWidth="1"/>
    <col min="2062" max="2304" width="9" style="1234"/>
    <col min="2305" max="2305" width="4.90625" style="1234" customWidth="1"/>
    <col min="2306" max="2306" width="13.26953125" style="1234" customWidth="1"/>
    <col min="2307" max="2307" width="15.6328125" style="1234" customWidth="1"/>
    <col min="2308" max="2308" width="9.36328125" style="1234" bestFit="1" customWidth="1"/>
    <col min="2309" max="2309" width="13.453125" style="1234" customWidth="1"/>
    <col min="2310" max="2310" width="9" style="1234"/>
    <col min="2311" max="2311" width="9.36328125" style="1234" bestFit="1" customWidth="1"/>
    <col min="2312" max="2313" width="9" style="1234"/>
    <col min="2314" max="2314" width="9.36328125" style="1234" bestFit="1" customWidth="1"/>
    <col min="2315" max="2315" width="4" style="1234" customWidth="1"/>
    <col min="2316" max="2316" width="5.08984375" style="1234" customWidth="1"/>
    <col min="2317" max="2317" width="13.7265625" style="1234" customWidth="1"/>
    <col min="2318" max="2560" width="9" style="1234"/>
    <col min="2561" max="2561" width="4.90625" style="1234" customWidth="1"/>
    <col min="2562" max="2562" width="13.26953125" style="1234" customWidth="1"/>
    <col min="2563" max="2563" width="15.6328125" style="1234" customWidth="1"/>
    <col min="2564" max="2564" width="9.36328125" style="1234" bestFit="1" customWidth="1"/>
    <col min="2565" max="2565" width="13.453125" style="1234" customWidth="1"/>
    <col min="2566" max="2566" width="9" style="1234"/>
    <col min="2567" max="2567" width="9.36328125" style="1234" bestFit="1" customWidth="1"/>
    <col min="2568" max="2569" width="9" style="1234"/>
    <col min="2570" max="2570" width="9.36328125" style="1234" bestFit="1" customWidth="1"/>
    <col min="2571" max="2571" width="4" style="1234" customWidth="1"/>
    <col min="2572" max="2572" width="5.08984375" style="1234" customWidth="1"/>
    <col min="2573" max="2573" width="13.7265625" style="1234" customWidth="1"/>
    <col min="2574" max="2816" width="9" style="1234"/>
    <col min="2817" max="2817" width="4.90625" style="1234" customWidth="1"/>
    <col min="2818" max="2818" width="13.26953125" style="1234" customWidth="1"/>
    <col min="2819" max="2819" width="15.6328125" style="1234" customWidth="1"/>
    <col min="2820" max="2820" width="9.36328125" style="1234" bestFit="1" customWidth="1"/>
    <col min="2821" max="2821" width="13.453125" style="1234" customWidth="1"/>
    <col min="2822" max="2822" width="9" style="1234"/>
    <col min="2823" max="2823" width="9.36328125" style="1234" bestFit="1" customWidth="1"/>
    <col min="2824" max="2825" width="9" style="1234"/>
    <col min="2826" max="2826" width="9.36328125" style="1234" bestFit="1" customWidth="1"/>
    <col min="2827" max="2827" width="4" style="1234" customWidth="1"/>
    <col min="2828" max="2828" width="5.08984375" style="1234" customWidth="1"/>
    <col min="2829" max="2829" width="13.7265625" style="1234" customWidth="1"/>
    <col min="2830" max="3072" width="9" style="1234"/>
    <col min="3073" max="3073" width="4.90625" style="1234" customWidth="1"/>
    <col min="3074" max="3074" width="13.26953125" style="1234" customWidth="1"/>
    <col min="3075" max="3075" width="15.6328125" style="1234" customWidth="1"/>
    <col min="3076" max="3076" width="9.36328125" style="1234" bestFit="1" customWidth="1"/>
    <col min="3077" max="3077" width="13.453125" style="1234" customWidth="1"/>
    <col min="3078" max="3078" width="9" style="1234"/>
    <col min="3079" max="3079" width="9.36328125" style="1234" bestFit="1" customWidth="1"/>
    <col min="3080" max="3081" width="9" style="1234"/>
    <col min="3082" max="3082" width="9.36328125" style="1234" bestFit="1" customWidth="1"/>
    <col min="3083" max="3083" width="4" style="1234" customWidth="1"/>
    <col min="3084" max="3084" width="5.08984375" style="1234" customWidth="1"/>
    <col min="3085" max="3085" width="13.7265625" style="1234" customWidth="1"/>
    <col min="3086" max="3328" width="9" style="1234"/>
    <col min="3329" max="3329" width="4.90625" style="1234" customWidth="1"/>
    <col min="3330" max="3330" width="13.26953125" style="1234" customWidth="1"/>
    <col min="3331" max="3331" width="15.6328125" style="1234" customWidth="1"/>
    <col min="3332" max="3332" width="9.36328125" style="1234" bestFit="1" customWidth="1"/>
    <col min="3333" max="3333" width="13.453125" style="1234" customWidth="1"/>
    <col min="3334" max="3334" width="9" style="1234"/>
    <col min="3335" max="3335" width="9.36328125" style="1234" bestFit="1" customWidth="1"/>
    <col min="3336" max="3337" width="9" style="1234"/>
    <col min="3338" max="3338" width="9.36328125" style="1234" bestFit="1" customWidth="1"/>
    <col min="3339" max="3339" width="4" style="1234" customWidth="1"/>
    <col min="3340" max="3340" width="5.08984375" style="1234" customWidth="1"/>
    <col min="3341" max="3341" width="13.7265625" style="1234" customWidth="1"/>
    <col min="3342" max="3584" width="9" style="1234"/>
    <col min="3585" max="3585" width="4.90625" style="1234" customWidth="1"/>
    <col min="3586" max="3586" width="13.26953125" style="1234" customWidth="1"/>
    <col min="3587" max="3587" width="15.6328125" style="1234" customWidth="1"/>
    <col min="3588" max="3588" width="9.36328125" style="1234" bestFit="1" customWidth="1"/>
    <col min="3589" max="3589" width="13.453125" style="1234" customWidth="1"/>
    <col min="3590" max="3590" width="9" style="1234"/>
    <col min="3591" max="3591" width="9.36328125" style="1234" bestFit="1" customWidth="1"/>
    <col min="3592" max="3593" width="9" style="1234"/>
    <col min="3594" max="3594" width="9.36328125" style="1234" bestFit="1" customWidth="1"/>
    <col min="3595" max="3595" width="4" style="1234" customWidth="1"/>
    <col min="3596" max="3596" width="5.08984375" style="1234" customWidth="1"/>
    <col min="3597" max="3597" width="13.7265625" style="1234" customWidth="1"/>
    <col min="3598" max="3840" width="9" style="1234"/>
    <col min="3841" max="3841" width="4.90625" style="1234" customWidth="1"/>
    <col min="3842" max="3842" width="13.26953125" style="1234" customWidth="1"/>
    <col min="3843" max="3843" width="15.6328125" style="1234" customWidth="1"/>
    <col min="3844" max="3844" width="9.36328125" style="1234" bestFit="1" customWidth="1"/>
    <col min="3845" max="3845" width="13.453125" style="1234" customWidth="1"/>
    <col min="3846" max="3846" width="9" style="1234"/>
    <col min="3847" max="3847" width="9.36328125" style="1234" bestFit="1" customWidth="1"/>
    <col min="3848" max="3849" width="9" style="1234"/>
    <col min="3850" max="3850" width="9.36328125" style="1234" bestFit="1" customWidth="1"/>
    <col min="3851" max="3851" width="4" style="1234" customWidth="1"/>
    <col min="3852" max="3852" width="5.08984375" style="1234" customWidth="1"/>
    <col min="3853" max="3853" width="13.7265625" style="1234" customWidth="1"/>
    <col min="3854" max="4096" width="9" style="1234"/>
    <col min="4097" max="4097" width="4.90625" style="1234" customWidth="1"/>
    <col min="4098" max="4098" width="13.26953125" style="1234" customWidth="1"/>
    <col min="4099" max="4099" width="15.6328125" style="1234" customWidth="1"/>
    <col min="4100" max="4100" width="9.36328125" style="1234" bestFit="1" customWidth="1"/>
    <col min="4101" max="4101" width="13.453125" style="1234" customWidth="1"/>
    <col min="4102" max="4102" width="9" style="1234"/>
    <col min="4103" max="4103" width="9.36328125" style="1234" bestFit="1" customWidth="1"/>
    <col min="4104" max="4105" width="9" style="1234"/>
    <col min="4106" max="4106" width="9.36328125" style="1234" bestFit="1" customWidth="1"/>
    <col min="4107" max="4107" width="4" style="1234" customWidth="1"/>
    <col min="4108" max="4108" width="5.08984375" style="1234" customWidth="1"/>
    <col min="4109" max="4109" width="13.7265625" style="1234" customWidth="1"/>
    <col min="4110" max="4352" width="9" style="1234"/>
    <col min="4353" max="4353" width="4.90625" style="1234" customWidth="1"/>
    <col min="4354" max="4354" width="13.26953125" style="1234" customWidth="1"/>
    <col min="4355" max="4355" width="15.6328125" style="1234" customWidth="1"/>
    <col min="4356" max="4356" width="9.36328125" style="1234" bestFit="1" customWidth="1"/>
    <col min="4357" max="4357" width="13.453125" style="1234" customWidth="1"/>
    <col min="4358" max="4358" width="9" style="1234"/>
    <col min="4359" max="4359" width="9.36328125" style="1234" bestFit="1" customWidth="1"/>
    <col min="4360" max="4361" width="9" style="1234"/>
    <col min="4362" max="4362" width="9.36328125" style="1234" bestFit="1" customWidth="1"/>
    <col min="4363" max="4363" width="4" style="1234" customWidth="1"/>
    <col min="4364" max="4364" width="5.08984375" style="1234" customWidth="1"/>
    <col min="4365" max="4365" width="13.7265625" style="1234" customWidth="1"/>
    <col min="4366" max="4608" width="9" style="1234"/>
    <col min="4609" max="4609" width="4.90625" style="1234" customWidth="1"/>
    <col min="4610" max="4610" width="13.26953125" style="1234" customWidth="1"/>
    <col min="4611" max="4611" width="15.6328125" style="1234" customWidth="1"/>
    <col min="4612" max="4612" width="9.36328125" style="1234" bestFit="1" customWidth="1"/>
    <col min="4613" max="4613" width="13.453125" style="1234" customWidth="1"/>
    <col min="4614" max="4614" width="9" style="1234"/>
    <col min="4615" max="4615" width="9.36328125" style="1234" bestFit="1" customWidth="1"/>
    <col min="4616" max="4617" width="9" style="1234"/>
    <col min="4618" max="4618" width="9.36328125" style="1234" bestFit="1" customWidth="1"/>
    <col min="4619" max="4619" width="4" style="1234" customWidth="1"/>
    <col min="4620" max="4620" width="5.08984375" style="1234" customWidth="1"/>
    <col min="4621" max="4621" width="13.7265625" style="1234" customWidth="1"/>
    <col min="4622" max="4864" width="9" style="1234"/>
    <col min="4865" max="4865" width="4.90625" style="1234" customWidth="1"/>
    <col min="4866" max="4866" width="13.26953125" style="1234" customWidth="1"/>
    <col min="4867" max="4867" width="15.6328125" style="1234" customWidth="1"/>
    <col min="4868" max="4868" width="9.36328125" style="1234" bestFit="1" customWidth="1"/>
    <col min="4869" max="4869" width="13.453125" style="1234" customWidth="1"/>
    <col min="4870" max="4870" width="9" style="1234"/>
    <col min="4871" max="4871" width="9.36328125" style="1234" bestFit="1" customWidth="1"/>
    <col min="4872" max="4873" width="9" style="1234"/>
    <col min="4874" max="4874" width="9.36328125" style="1234" bestFit="1" customWidth="1"/>
    <col min="4875" max="4875" width="4" style="1234" customWidth="1"/>
    <col min="4876" max="4876" width="5.08984375" style="1234" customWidth="1"/>
    <col min="4877" max="4877" width="13.7265625" style="1234" customWidth="1"/>
    <col min="4878" max="5120" width="9" style="1234"/>
    <col min="5121" max="5121" width="4.90625" style="1234" customWidth="1"/>
    <col min="5122" max="5122" width="13.26953125" style="1234" customWidth="1"/>
    <col min="5123" max="5123" width="15.6328125" style="1234" customWidth="1"/>
    <col min="5124" max="5124" width="9.36328125" style="1234" bestFit="1" customWidth="1"/>
    <col min="5125" max="5125" width="13.453125" style="1234" customWidth="1"/>
    <col min="5126" max="5126" width="9" style="1234"/>
    <col min="5127" max="5127" width="9.36328125" style="1234" bestFit="1" customWidth="1"/>
    <col min="5128" max="5129" width="9" style="1234"/>
    <col min="5130" max="5130" width="9.36328125" style="1234" bestFit="1" customWidth="1"/>
    <col min="5131" max="5131" width="4" style="1234" customWidth="1"/>
    <col min="5132" max="5132" width="5.08984375" style="1234" customWidth="1"/>
    <col min="5133" max="5133" width="13.7265625" style="1234" customWidth="1"/>
    <col min="5134" max="5376" width="9" style="1234"/>
    <col min="5377" max="5377" width="4.90625" style="1234" customWidth="1"/>
    <col min="5378" max="5378" width="13.26953125" style="1234" customWidth="1"/>
    <col min="5379" max="5379" width="15.6328125" style="1234" customWidth="1"/>
    <col min="5380" max="5380" width="9.36328125" style="1234" bestFit="1" customWidth="1"/>
    <col min="5381" max="5381" width="13.453125" style="1234" customWidth="1"/>
    <col min="5382" max="5382" width="9" style="1234"/>
    <col min="5383" max="5383" width="9.36328125" style="1234" bestFit="1" customWidth="1"/>
    <col min="5384" max="5385" width="9" style="1234"/>
    <col min="5386" max="5386" width="9.36328125" style="1234" bestFit="1" customWidth="1"/>
    <col min="5387" max="5387" width="4" style="1234" customWidth="1"/>
    <col min="5388" max="5388" width="5.08984375" style="1234" customWidth="1"/>
    <col min="5389" max="5389" width="13.7265625" style="1234" customWidth="1"/>
    <col min="5390" max="5632" width="9" style="1234"/>
    <col min="5633" max="5633" width="4.90625" style="1234" customWidth="1"/>
    <col min="5634" max="5634" width="13.26953125" style="1234" customWidth="1"/>
    <col min="5635" max="5635" width="15.6328125" style="1234" customWidth="1"/>
    <col min="5636" max="5636" width="9.36328125" style="1234" bestFit="1" customWidth="1"/>
    <col min="5637" max="5637" width="13.453125" style="1234" customWidth="1"/>
    <col min="5638" max="5638" width="9" style="1234"/>
    <col min="5639" max="5639" width="9.36328125" style="1234" bestFit="1" customWidth="1"/>
    <col min="5640" max="5641" width="9" style="1234"/>
    <col min="5642" max="5642" width="9.36328125" style="1234" bestFit="1" customWidth="1"/>
    <col min="5643" max="5643" width="4" style="1234" customWidth="1"/>
    <col min="5644" max="5644" width="5.08984375" style="1234" customWidth="1"/>
    <col min="5645" max="5645" width="13.7265625" style="1234" customWidth="1"/>
    <col min="5646" max="5888" width="9" style="1234"/>
    <col min="5889" max="5889" width="4.90625" style="1234" customWidth="1"/>
    <col min="5890" max="5890" width="13.26953125" style="1234" customWidth="1"/>
    <col min="5891" max="5891" width="15.6328125" style="1234" customWidth="1"/>
    <col min="5892" max="5892" width="9.36328125" style="1234" bestFit="1" customWidth="1"/>
    <col min="5893" max="5893" width="13.453125" style="1234" customWidth="1"/>
    <col min="5894" max="5894" width="9" style="1234"/>
    <col min="5895" max="5895" width="9.36328125" style="1234" bestFit="1" customWidth="1"/>
    <col min="5896" max="5897" width="9" style="1234"/>
    <col min="5898" max="5898" width="9.36328125" style="1234" bestFit="1" customWidth="1"/>
    <col min="5899" max="5899" width="4" style="1234" customWidth="1"/>
    <col min="5900" max="5900" width="5.08984375" style="1234" customWidth="1"/>
    <col min="5901" max="5901" width="13.7265625" style="1234" customWidth="1"/>
    <col min="5902" max="6144" width="9" style="1234"/>
    <col min="6145" max="6145" width="4.90625" style="1234" customWidth="1"/>
    <col min="6146" max="6146" width="13.26953125" style="1234" customWidth="1"/>
    <col min="6147" max="6147" width="15.6328125" style="1234" customWidth="1"/>
    <col min="6148" max="6148" width="9.36328125" style="1234" bestFit="1" customWidth="1"/>
    <col min="6149" max="6149" width="13.453125" style="1234" customWidth="1"/>
    <col min="6150" max="6150" width="9" style="1234"/>
    <col min="6151" max="6151" width="9.36328125" style="1234" bestFit="1" customWidth="1"/>
    <col min="6152" max="6153" width="9" style="1234"/>
    <col min="6154" max="6154" width="9.36328125" style="1234" bestFit="1" customWidth="1"/>
    <col min="6155" max="6155" width="4" style="1234" customWidth="1"/>
    <col min="6156" max="6156" width="5.08984375" style="1234" customWidth="1"/>
    <col min="6157" max="6157" width="13.7265625" style="1234" customWidth="1"/>
    <col min="6158" max="6400" width="9" style="1234"/>
    <col min="6401" max="6401" width="4.90625" style="1234" customWidth="1"/>
    <col min="6402" max="6402" width="13.26953125" style="1234" customWidth="1"/>
    <col min="6403" max="6403" width="15.6328125" style="1234" customWidth="1"/>
    <col min="6404" max="6404" width="9.36328125" style="1234" bestFit="1" customWidth="1"/>
    <col min="6405" max="6405" width="13.453125" style="1234" customWidth="1"/>
    <col min="6406" max="6406" width="9" style="1234"/>
    <col min="6407" max="6407" width="9.36328125" style="1234" bestFit="1" customWidth="1"/>
    <col min="6408" max="6409" width="9" style="1234"/>
    <col min="6410" max="6410" width="9.36328125" style="1234" bestFit="1" customWidth="1"/>
    <col min="6411" max="6411" width="4" style="1234" customWidth="1"/>
    <col min="6412" max="6412" width="5.08984375" style="1234" customWidth="1"/>
    <col min="6413" max="6413" width="13.7265625" style="1234" customWidth="1"/>
    <col min="6414" max="6656" width="9" style="1234"/>
    <col min="6657" max="6657" width="4.90625" style="1234" customWidth="1"/>
    <col min="6658" max="6658" width="13.26953125" style="1234" customWidth="1"/>
    <col min="6659" max="6659" width="15.6328125" style="1234" customWidth="1"/>
    <col min="6660" max="6660" width="9.36328125" style="1234" bestFit="1" customWidth="1"/>
    <col min="6661" max="6661" width="13.453125" style="1234" customWidth="1"/>
    <col min="6662" max="6662" width="9" style="1234"/>
    <col min="6663" max="6663" width="9.36328125" style="1234" bestFit="1" customWidth="1"/>
    <col min="6664" max="6665" width="9" style="1234"/>
    <col min="6666" max="6666" width="9.36328125" style="1234" bestFit="1" customWidth="1"/>
    <col min="6667" max="6667" width="4" style="1234" customWidth="1"/>
    <col min="6668" max="6668" width="5.08984375" style="1234" customWidth="1"/>
    <col min="6669" max="6669" width="13.7265625" style="1234" customWidth="1"/>
    <col min="6670" max="6912" width="9" style="1234"/>
    <col min="6913" max="6913" width="4.90625" style="1234" customWidth="1"/>
    <col min="6914" max="6914" width="13.26953125" style="1234" customWidth="1"/>
    <col min="6915" max="6915" width="15.6328125" style="1234" customWidth="1"/>
    <col min="6916" max="6916" width="9.36328125" style="1234" bestFit="1" customWidth="1"/>
    <col min="6917" max="6917" width="13.453125" style="1234" customWidth="1"/>
    <col min="6918" max="6918" width="9" style="1234"/>
    <col min="6919" max="6919" width="9.36328125" style="1234" bestFit="1" customWidth="1"/>
    <col min="6920" max="6921" width="9" style="1234"/>
    <col min="6922" max="6922" width="9.36328125" style="1234" bestFit="1" customWidth="1"/>
    <col min="6923" max="6923" width="4" style="1234" customWidth="1"/>
    <col min="6924" max="6924" width="5.08984375" style="1234" customWidth="1"/>
    <col min="6925" max="6925" width="13.7265625" style="1234" customWidth="1"/>
    <col min="6926" max="7168" width="9" style="1234"/>
    <col min="7169" max="7169" width="4.90625" style="1234" customWidth="1"/>
    <col min="7170" max="7170" width="13.26953125" style="1234" customWidth="1"/>
    <col min="7171" max="7171" width="15.6328125" style="1234" customWidth="1"/>
    <col min="7172" max="7172" width="9.36328125" style="1234" bestFit="1" customWidth="1"/>
    <col min="7173" max="7173" width="13.453125" style="1234" customWidth="1"/>
    <col min="7174" max="7174" width="9" style="1234"/>
    <col min="7175" max="7175" width="9.36328125" style="1234" bestFit="1" customWidth="1"/>
    <col min="7176" max="7177" width="9" style="1234"/>
    <col min="7178" max="7178" width="9.36328125" style="1234" bestFit="1" customWidth="1"/>
    <col min="7179" max="7179" width="4" style="1234" customWidth="1"/>
    <col min="7180" max="7180" width="5.08984375" style="1234" customWidth="1"/>
    <col min="7181" max="7181" width="13.7265625" style="1234" customWidth="1"/>
    <col min="7182" max="7424" width="9" style="1234"/>
    <col min="7425" max="7425" width="4.90625" style="1234" customWidth="1"/>
    <col min="7426" max="7426" width="13.26953125" style="1234" customWidth="1"/>
    <col min="7427" max="7427" width="15.6328125" style="1234" customWidth="1"/>
    <col min="7428" max="7428" width="9.36328125" style="1234" bestFit="1" customWidth="1"/>
    <col min="7429" max="7429" width="13.453125" style="1234" customWidth="1"/>
    <col min="7430" max="7430" width="9" style="1234"/>
    <col min="7431" max="7431" width="9.36328125" style="1234" bestFit="1" customWidth="1"/>
    <col min="7432" max="7433" width="9" style="1234"/>
    <col min="7434" max="7434" width="9.36328125" style="1234" bestFit="1" customWidth="1"/>
    <col min="7435" max="7435" width="4" style="1234" customWidth="1"/>
    <col min="7436" max="7436" width="5.08984375" style="1234" customWidth="1"/>
    <col min="7437" max="7437" width="13.7265625" style="1234" customWidth="1"/>
    <col min="7438" max="7680" width="9" style="1234"/>
    <col min="7681" max="7681" width="4.90625" style="1234" customWidth="1"/>
    <col min="7682" max="7682" width="13.26953125" style="1234" customWidth="1"/>
    <col min="7683" max="7683" width="15.6328125" style="1234" customWidth="1"/>
    <col min="7684" max="7684" width="9.36328125" style="1234" bestFit="1" customWidth="1"/>
    <col min="7685" max="7685" width="13.453125" style="1234" customWidth="1"/>
    <col min="7686" max="7686" width="9" style="1234"/>
    <col min="7687" max="7687" width="9.36328125" style="1234" bestFit="1" customWidth="1"/>
    <col min="7688" max="7689" width="9" style="1234"/>
    <col min="7690" max="7690" width="9.36328125" style="1234" bestFit="1" customWidth="1"/>
    <col min="7691" max="7691" width="4" style="1234" customWidth="1"/>
    <col min="7692" max="7692" width="5.08984375" style="1234" customWidth="1"/>
    <col min="7693" max="7693" width="13.7265625" style="1234" customWidth="1"/>
    <col min="7694" max="7936" width="9" style="1234"/>
    <col min="7937" max="7937" width="4.90625" style="1234" customWidth="1"/>
    <col min="7938" max="7938" width="13.26953125" style="1234" customWidth="1"/>
    <col min="7939" max="7939" width="15.6328125" style="1234" customWidth="1"/>
    <col min="7940" max="7940" width="9.36328125" style="1234" bestFit="1" customWidth="1"/>
    <col min="7941" max="7941" width="13.453125" style="1234" customWidth="1"/>
    <col min="7942" max="7942" width="9" style="1234"/>
    <col min="7943" max="7943" width="9.36328125" style="1234" bestFit="1" customWidth="1"/>
    <col min="7944" max="7945" width="9" style="1234"/>
    <col min="7946" max="7946" width="9.36328125" style="1234" bestFit="1" customWidth="1"/>
    <col min="7947" max="7947" width="4" style="1234" customWidth="1"/>
    <col min="7948" max="7948" width="5.08984375" style="1234" customWidth="1"/>
    <col min="7949" max="7949" width="13.7265625" style="1234" customWidth="1"/>
    <col min="7950" max="8192" width="9" style="1234"/>
    <col min="8193" max="8193" width="4.90625" style="1234" customWidth="1"/>
    <col min="8194" max="8194" width="13.26953125" style="1234" customWidth="1"/>
    <col min="8195" max="8195" width="15.6328125" style="1234" customWidth="1"/>
    <col min="8196" max="8196" width="9.36328125" style="1234" bestFit="1" customWidth="1"/>
    <col min="8197" max="8197" width="13.453125" style="1234" customWidth="1"/>
    <col min="8198" max="8198" width="9" style="1234"/>
    <col min="8199" max="8199" width="9.36328125" style="1234" bestFit="1" customWidth="1"/>
    <col min="8200" max="8201" width="9" style="1234"/>
    <col min="8202" max="8202" width="9.36328125" style="1234" bestFit="1" customWidth="1"/>
    <col min="8203" max="8203" width="4" style="1234" customWidth="1"/>
    <col min="8204" max="8204" width="5.08984375" style="1234" customWidth="1"/>
    <col min="8205" max="8205" width="13.7265625" style="1234" customWidth="1"/>
    <col min="8206" max="8448" width="9" style="1234"/>
    <col min="8449" max="8449" width="4.90625" style="1234" customWidth="1"/>
    <col min="8450" max="8450" width="13.26953125" style="1234" customWidth="1"/>
    <col min="8451" max="8451" width="15.6328125" style="1234" customWidth="1"/>
    <col min="8452" max="8452" width="9.36328125" style="1234" bestFit="1" customWidth="1"/>
    <col min="8453" max="8453" width="13.453125" style="1234" customWidth="1"/>
    <col min="8454" max="8454" width="9" style="1234"/>
    <col min="8455" max="8455" width="9.36328125" style="1234" bestFit="1" customWidth="1"/>
    <col min="8456" max="8457" width="9" style="1234"/>
    <col min="8458" max="8458" width="9.36328125" style="1234" bestFit="1" customWidth="1"/>
    <col min="8459" max="8459" width="4" style="1234" customWidth="1"/>
    <col min="8460" max="8460" width="5.08984375" style="1234" customWidth="1"/>
    <col min="8461" max="8461" width="13.7265625" style="1234" customWidth="1"/>
    <col min="8462" max="8704" width="9" style="1234"/>
    <col min="8705" max="8705" width="4.90625" style="1234" customWidth="1"/>
    <col min="8706" max="8706" width="13.26953125" style="1234" customWidth="1"/>
    <col min="8707" max="8707" width="15.6328125" style="1234" customWidth="1"/>
    <col min="8708" max="8708" width="9.36328125" style="1234" bestFit="1" customWidth="1"/>
    <col min="8709" max="8709" width="13.453125" style="1234" customWidth="1"/>
    <col min="8710" max="8710" width="9" style="1234"/>
    <col min="8711" max="8711" width="9.36328125" style="1234" bestFit="1" customWidth="1"/>
    <col min="8712" max="8713" width="9" style="1234"/>
    <col min="8714" max="8714" width="9.36328125" style="1234" bestFit="1" customWidth="1"/>
    <col min="8715" max="8715" width="4" style="1234" customWidth="1"/>
    <col min="8716" max="8716" width="5.08984375" style="1234" customWidth="1"/>
    <col min="8717" max="8717" width="13.7265625" style="1234" customWidth="1"/>
    <col min="8718" max="8960" width="9" style="1234"/>
    <col min="8961" max="8961" width="4.90625" style="1234" customWidth="1"/>
    <col min="8962" max="8962" width="13.26953125" style="1234" customWidth="1"/>
    <col min="8963" max="8963" width="15.6328125" style="1234" customWidth="1"/>
    <col min="8964" max="8964" width="9.36328125" style="1234" bestFit="1" customWidth="1"/>
    <col min="8965" max="8965" width="13.453125" style="1234" customWidth="1"/>
    <col min="8966" max="8966" width="9" style="1234"/>
    <col min="8967" max="8967" width="9.36328125" style="1234" bestFit="1" customWidth="1"/>
    <col min="8968" max="8969" width="9" style="1234"/>
    <col min="8970" max="8970" width="9.36328125" style="1234" bestFit="1" customWidth="1"/>
    <col min="8971" max="8971" width="4" style="1234" customWidth="1"/>
    <col min="8972" max="8972" width="5.08984375" style="1234" customWidth="1"/>
    <col min="8973" max="8973" width="13.7265625" style="1234" customWidth="1"/>
    <col min="8974" max="9216" width="9" style="1234"/>
    <col min="9217" max="9217" width="4.90625" style="1234" customWidth="1"/>
    <col min="9218" max="9218" width="13.26953125" style="1234" customWidth="1"/>
    <col min="9219" max="9219" width="15.6328125" style="1234" customWidth="1"/>
    <col min="9220" max="9220" width="9.36328125" style="1234" bestFit="1" customWidth="1"/>
    <col min="9221" max="9221" width="13.453125" style="1234" customWidth="1"/>
    <col min="9222" max="9222" width="9" style="1234"/>
    <col min="9223" max="9223" width="9.36328125" style="1234" bestFit="1" customWidth="1"/>
    <col min="9224" max="9225" width="9" style="1234"/>
    <col min="9226" max="9226" width="9.36328125" style="1234" bestFit="1" customWidth="1"/>
    <col min="9227" max="9227" width="4" style="1234" customWidth="1"/>
    <col min="9228" max="9228" width="5.08984375" style="1234" customWidth="1"/>
    <col min="9229" max="9229" width="13.7265625" style="1234" customWidth="1"/>
    <col min="9230" max="9472" width="9" style="1234"/>
    <col min="9473" max="9473" width="4.90625" style="1234" customWidth="1"/>
    <col min="9474" max="9474" width="13.26953125" style="1234" customWidth="1"/>
    <col min="9475" max="9475" width="15.6328125" style="1234" customWidth="1"/>
    <col min="9476" max="9476" width="9.36328125" style="1234" bestFit="1" customWidth="1"/>
    <col min="9477" max="9477" width="13.453125" style="1234" customWidth="1"/>
    <col min="9478" max="9478" width="9" style="1234"/>
    <col min="9479" max="9479" width="9.36328125" style="1234" bestFit="1" customWidth="1"/>
    <col min="9480" max="9481" width="9" style="1234"/>
    <col min="9482" max="9482" width="9.36328125" style="1234" bestFit="1" customWidth="1"/>
    <col min="9483" max="9483" width="4" style="1234" customWidth="1"/>
    <col min="9484" max="9484" width="5.08984375" style="1234" customWidth="1"/>
    <col min="9485" max="9485" width="13.7265625" style="1234" customWidth="1"/>
    <col min="9486" max="9728" width="9" style="1234"/>
    <col min="9729" max="9729" width="4.90625" style="1234" customWidth="1"/>
    <col min="9730" max="9730" width="13.26953125" style="1234" customWidth="1"/>
    <col min="9731" max="9731" width="15.6328125" style="1234" customWidth="1"/>
    <col min="9732" max="9732" width="9.36328125" style="1234" bestFit="1" customWidth="1"/>
    <col min="9733" max="9733" width="13.453125" style="1234" customWidth="1"/>
    <col min="9734" max="9734" width="9" style="1234"/>
    <col min="9735" max="9735" width="9.36328125" style="1234" bestFit="1" customWidth="1"/>
    <col min="9736" max="9737" width="9" style="1234"/>
    <col min="9738" max="9738" width="9.36328125" style="1234" bestFit="1" customWidth="1"/>
    <col min="9739" max="9739" width="4" style="1234" customWidth="1"/>
    <col min="9740" max="9740" width="5.08984375" style="1234" customWidth="1"/>
    <col min="9741" max="9741" width="13.7265625" style="1234" customWidth="1"/>
    <col min="9742" max="9984" width="9" style="1234"/>
    <col min="9985" max="9985" width="4.90625" style="1234" customWidth="1"/>
    <col min="9986" max="9986" width="13.26953125" style="1234" customWidth="1"/>
    <col min="9987" max="9987" width="15.6328125" style="1234" customWidth="1"/>
    <col min="9988" max="9988" width="9.36328125" style="1234" bestFit="1" customWidth="1"/>
    <col min="9989" max="9989" width="13.453125" style="1234" customWidth="1"/>
    <col min="9990" max="9990" width="9" style="1234"/>
    <col min="9991" max="9991" width="9.36328125" style="1234" bestFit="1" customWidth="1"/>
    <col min="9992" max="9993" width="9" style="1234"/>
    <col min="9994" max="9994" width="9.36328125" style="1234" bestFit="1" customWidth="1"/>
    <col min="9995" max="9995" width="4" style="1234" customWidth="1"/>
    <col min="9996" max="9996" width="5.08984375" style="1234" customWidth="1"/>
    <col min="9997" max="9997" width="13.7265625" style="1234" customWidth="1"/>
    <col min="9998" max="10240" width="9" style="1234"/>
    <col min="10241" max="10241" width="4.90625" style="1234" customWidth="1"/>
    <col min="10242" max="10242" width="13.26953125" style="1234" customWidth="1"/>
    <col min="10243" max="10243" width="15.6328125" style="1234" customWidth="1"/>
    <col min="10244" max="10244" width="9.36328125" style="1234" bestFit="1" customWidth="1"/>
    <col min="10245" max="10245" width="13.453125" style="1234" customWidth="1"/>
    <col min="10246" max="10246" width="9" style="1234"/>
    <col min="10247" max="10247" width="9.36328125" style="1234" bestFit="1" customWidth="1"/>
    <col min="10248" max="10249" width="9" style="1234"/>
    <col min="10250" max="10250" width="9.36328125" style="1234" bestFit="1" customWidth="1"/>
    <col min="10251" max="10251" width="4" style="1234" customWidth="1"/>
    <col min="10252" max="10252" width="5.08984375" style="1234" customWidth="1"/>
    <col min="10253" max="10253" width="13.7265625" style="1234" customWidth="1"/>
    <col min="10254" max="10496" width="9" style="1234"/>
    <col min="10497" max="10497" width="4.90625" style="1234" customWidth="1"/>
    <col min="10498" max="10498" width="13.26953125" style="1234" customWidth="1"/>
    <col min="10499" max="10499" width="15.6328125" style="1234" customWidth="1"/>
    <col min="10500" max="10500" width="9.36328125" style="1234" bestFit="1" customWidth="1"/>
    <col min="10501" max="10501" width="13.453125" style="1234" customWidth="1"/>
    <col min="10502" max="10502" width="9" style="1234"/>
    <col min="10503" max="10503" width="9.36328125" style="1234" bestFit="1" customWidth="1"/>
    <col min="10504" max="10505" width="9" style="1234"/>
    <col min="10506" max="10506" width="9.36328125" style="1234" bestFit="1" customWidth="1"/>
    <col min="10507" max="10507" width="4" style="1234" customWidth="1"/>
    <col min="10508" max="10508" width="5.08984375" style="1234" customWidth="1"/>
    <col min="10509" max="10509" width="13.7265625" style="1234" customWidth="1"/>
    <col min="10510" max="10752" width="9" style="1234"/>
    <col min="10753" max="10753" width="4.90625" style="1234" customWidth="1"/>
    <col min="10754" max="10754" width="13.26953125" style="1234" customWidth="1"/>
    <col min="10755" max="10755" width="15.6328125" style="1234" customWidth="1"/>
    <col min="10756" max="10756" width="9.36328125" style="1234" bestFit="1" customWidth="1"/>
    <col min="10757" max="10757" width="13.453125" style="1234" customWidth="1"/>
    <col min="10758" max="10758" width="9" style="1234"/>
    <col min="10759" max="10759" width="9.36328125" style="1234" bestFit="1" customWidth="1"/>
    <col min="10760" max="10761" width="9" style="1234"/>
    <col min="10762" max="10762" width="9.36328125" style="1234" bestFit="1" customWidth="1"/>
    <col min="10763" max="10763" width="4" style="1234" customWidth="1"/>
    <col min="10764" max="10764" width="5.08984375" style="1234" customWidth="1"/>
    <col min="10765" max="10765" width="13.7265625" style="1234" customWidth="1"/>
    <col min="10766" max="11008" width="9" style="1234"/>
    <col min="11009" max="11009" width="4.90625" style="1234" customWidth="1"/>
    <col min="11010" max="11010" width="13.26953125" style="1234" customWidth="1"/>
    <col min="11011" max="11011" width="15.6328125" style="1234" customWidth="1"/>
    <col min="11012" max="11012" width="9.36328125" style="1234" bestFit="1" customWidth="1"/>
    <col min="11013" max="11013" width="13.453125" style="1234" customWidth="1"/>
    <col min="11014" max="11014" width="9" style="1234"/>
    <col min="11015" max="11015" width="9.36328125" style="1234" bestFit="1" customWidth="1"/>
    <col min="11016" max="11017" width="9" style="1234"/>
    <col min="11018" max="11018" width="9.36328125" style="1234" bestFit="1" customWidth="1"/>
    <col min="11019" max="11019" width="4" style="1234" customWidth="1"/>
    <col min="11020" max="11020" width="5.08984375" style="1234" customWidth="1"/>
    <col min="11021" max="11021" width="13.7265625" style="1234" customWidth="1"/>
    <col min="11022" max="11264" width="9" style="1234"/>
    <col min="11265" max="11265" width="4.90625" style="1234" customWidth="1"/>
    <col min="11266" max="11266" width="13.26953125" style="1234" customWidth="1"/>
    <col min="11267" max="11267" width="15.6328125" style="1234" customWidth="1"/>
    <col min="11268" max="11268" width="9.36328125" style="1234" bestFit="1" customWidth="1"/>
    <col min="11269" max="11269" width="13.453125" style="1234" customWidth="1"/>
    <col min="11270" max="11270" width="9" style="1234"/>
    <col min="11271" max="11271" width="9.36328125" style="1234" bestFit="1" customWidth="1"/>
    <col min="11272" max="11273" width="9" style="1234"/>
    <col min="11274" max="11274" width="9.36328125" style="1234" bestFit="1" customWidth="1"/>
    <col min="11275" max="11275" width="4" style="1234" customWidth="1"/>
    <col min="11276" max="11276" width="5.08984375" style="1234" customWidth="1"/>
    <col min="11277" max="11277" width="13.7265625" style="1234" customWidth="1"/>
    <col min="11278" max="11520" width="9" style="1234"/>
    <col min="11521" max="11521" width="4.90625" style="1234" customWidth="1"/>
    <col min="11522" max="11522" width="13.26953125" style="1234" customWidth="1"/>
    <col min="11523" max="11523" width="15.6328125" style="1234" customWidth="1"/>
    <col min="11524" max="11524" width="9.36328125" style="1234" bestFit="1" customWidth="1"/>
    <col min="11525" max="11525" width="13.453125" style="1234" customWidth="1"/>
    <col min="11526" max="11526" width="9" style="1234"/>
    <col min="11527" max="11527" width="9.36328125" style="1234" bestFit="1" customWidth="1"/>
    <col min="11528" max="11529" width="9" style="1234"/>
    <col min="11530" max="11530" width="9.36328125" style="1234" bestFit="1" customWidth="1"/>
    <col min="11531" max="11531" width="4" style="1234" customWidth="1"/>
    <col min="11532" max="11532" width="5.08984375" style="1234" customWidth="1"/>
    <col min="11533" max="11533" width="13.7265625" style="1234" customWidth="1"/>
    <col min="11534" max="11776" width="9" style="1234"/>
    <col min="11777" max="11777" width="4.90625" style="1234" customWidth="1"/>
    <col min="11778" max="11778" width="13.26953125" style="1234" customWidth="1"/>
    <col min="11779" max="11779" width="15.6328125" style="1234" customWidth="1"/>
    <col min="11780" max="11780" width="9.36328125" style="1234" bestFit="1" customWidth="1"/>
    <col min="11781" max="11781" width="13.453125" style="1234" customWidth="1"/>
    <col min="11782" max="11782" width="9" style="1234"/>
    <col min="11783" max="11783" width="9.36328125" style="1234" bestFit="1" customWidth="1"/>
    <col min="11784" max="11785" width="9" style="1234"/>
    <col min="11786" max="11786" width="9.36328125" style="1234" bestFit="1" customWidth="1"/>
    <col min="11787" max="11787" width="4" style="1234" customWidth="1"/>
    <col min="11788" max="11788" width="5.08984375" style="1234" customWidth="1"/>
    <col min="11789" max="11789" width="13.7265625" style="1234" customWidth="1"/>
    <col min="11790" max="12032" width="9" style="1234"/>
    <col min="12033" max="12033" width="4.90625" style="1234" customWidth="1"/>
    <col min="12034" max="12034" width="13.26953125" style="1234" customWidth="1"/>
    <col min="12035" max="12035" width="15.6328125" style="1234" customWidth="1"/>
    <col min="12036" max="12036" width="9.36328125" style="1234" bestFit="1" customWidth="1"/>
    <col min="12037" max="12037" width="13.453125" style="1234" customWidth="1"/>
    <col min="12038" max="12038" width="9" style="1234"/>
    <col min="12039" max="12039" width="9.36328125" style="1234" bestFit="1" customWidth="1"/>
    <col min="12040" max="12041" width="9" style="1234"/>
    <col min="12042" max="12042" width="9.36328125" style="1234" bestFit="1" customWidth="1"/>
    <col min="12043" max="12043" width="4" style="1234" customWidth="1"/>
    <col min="12044" max="12044" width="5.08984375" style="1234" customWidth="1"/>
    <col min="12045" max="12045" width="13.7265625" style="1234" customWidth="1"/>
    <col min="12046" max="12288" width="9" style="1234"/>
    <col min="12289" max="12289" width="4.90625" style="1234" customWidth="1"/>
    <col min="12290" max="12290" width="13.26953125" style="1234" customWidth="1"/>
    <col min="12291" max="12291" width="15.6328125" style="1234" customWidth="1"/>
    <col min="12292" max="12292" width="9.36328125" style="1234" bestFit="1" customWidth="1"/>
    <col min="12293" max="12293" width="13.453125" style="1234" customWidth="1"/>
    <col min="12294" max="12294" width="9" style="1234"/>
    <col min="12295" max="12295" width="9.36328125" style="1234" bestFit="1" customWidth="1"/>
    <col min="12296" max="12297" width="9" style="1234"/>
    <col min="12298" max="12298" width="9.36328125" style="1234" bestFit="1" customWidth="1"/>
    <col min="12299" max="12299" width="4" style="1234" customWidth="1"/>
    <col min="12300" max="12300" width="5.08984375" style="1234" customWidth="1"/>
    <col min="12301" max="12301" width="13.7265625" style="1234" customWidth="1"/>
    <col min="12302" max="12544" width="9" style="1234"/>
    <col min="12545" max="12545" width="4.90625" style="1234" customWidth="1"/>
    <col min="12546" max="12546" width="13.26953125" style="1234" customWidth="1"/>
    <col min="12547" max="12547" width="15.6328125" style="1234" customWidth="1"/>
    <col min="12548" max="12548" width="9.36328125" style="1234" bestFit="1" customWidth="1"/>
    <col min="12549" max="12549" width="13.453125" style="1234" customWidth="1"/>
    <col min="12550" max="12550" width="9" style="1234"/>
    <col min="12551" max="12551" width="9.36328125" style="1234" bestFit="1" customWidth="1"/>
    <col min="12552" max="12553" width="9" style="1234"/>
    <col min="12554" max="12554" width="9.36328125" style="1234" bestFit="1" customWidth="1"/>
    <col min="12555" max="12555" width="4" style="1234" customWidth="1"/>
    <col min="12556" max="12556" width="5.08984375" style="1234" customWidth="1"/>
    <col min="12557" max="12557" width="13.7265625" style="1234" customWidth="1"/>
    <col min="12558" max="12800" width="9" style="1234"/>
    <col min="12801" max="12801" width="4.90625" style="1234" customWidth="1"/>
    <col min="12802" max="12802" width="13.26953125" style="1234" customWidth="1"/>
    <col min="12803" max="12803" width="15.6328125" style="1234" customWidth="1"/>
    <col min="12804" max="12804" width="9.36328125" style="1234" bestFit="1" customWidth="1"/>
    <col min="12805" max="12805" width="13.453125" style="1234" customWidth="1"/>
    <col min="12806" max="12806" width="9" style="1234"/>
    <col min="12807" max="12807" width="9.36328125" style="1234" bestFit="1" customWidth="1"/>
    <col min="12808" max="12809" width="9" style="1234"/>
    <col min="12810" max="12810" width="9.36328125" style="1234" bestFit="1" customWidth="1"/>
    <col min="12811" max="12811" width="4" style="1234" customWidth="1"/>
    <col min="12812" max="12812" width="5.08984375" style="1234" customWidth="1"/>
    <col min="12813" max="12813" width="13.7265625" style="1234" customWidth="1"/>
    <col min="12814" max="13056" width="9" style="1234"/>
    <col min="13057" max="13057" width="4.90625" style="1234" customWidth="1"/>
    <col min="13058" max="13058" width="13.26953125" style="1234" customWidth="1"/>
    <col min="13059" max="13059" width="15.6328125" style="1234" customWidth="1"/>
    <col min="13060" max="13060" width="9.36328125" style="1234" bestFit="1" customWidth="1"/>
    <col min="13061" max="13061" width="13.453125" style="1234" customWidth="1"/>
    <col min="13062" max="13062" width="9" style="1234"/>
    <col min="13063" max="13063" width="9.36328125" style="1234" bestFit="1" customWidth="1"/>
    <col min="13064" max="13065" width="9" style="1234"/>
    <col min="13066" max="13066" width="9.36328125" style="1234" bestFit="1" customWidth="1"/>
    <col min="13067" max="13067" width="4" style="1234" customWidth="1"/>
    <col min="13068" max="13068" width="5.08984375" style="1234" customWidth="1"/>
    <col min="13069" max="13069" width="13.7265625" style="1234" customWidth="1"/>
    <col min="13070" max="13312" width="9" style="1234"/>
    <col min="13313" max="13313" width="4.90625" style="1234" customWidth="1"/>
    <col min="13314" max="13314" width="13.26953125" style="1234" customWidth="1"/>
    <col min="13315" max="13315" width="15.6328125" style="1234" customWidth="1"/>
    <col min="13316" max="13316" width="9.36328125" style="1234" bestFit="1" customWidth="1"/>
    <col min="13317" max="13317" width="13.453125" style="1234" customWidth="1"/>
    <col min="13318" max="13318" width="9" style="1234"/>
    <col min="13319" max="13319" width="9.36328125" style="1234" bestFit="1" customWidth="1"/>
    <col min="13320" max="13321" width="9" style="1234"/>
    <col min="13322" max="13322" width="9.36328125" style="1234" bestFit="1" customWidth="1"/>
    <col min="13323" max="13323" width="4" style="1234" customWidth="1"/>
    <col min="13324" max="13324" width="5.08984375" style="1234" customWidth="1"/>
    <col min="13325" max="13325" width="13.7265625" style="1234" customWidth="1"/>
    <col min="13326" max="13568" width="9" style="1234"/>
    <col min="13569" max="13569" width="4.90625" style="1234" customWidth="1"/>
    <col min="13570" max="13570" width="13.26953125" style="1234" customWidth="1"/>
    <col min="13571" max="13571" width="15.6328125" style="1234" customWidth="1"/>
    <col min="13572" max="13572" width="9.36328125" style="1234" bestFit="1" customWidth="1"/>
    <col min="13573" max="13573" width="13.453125" style="1234" customWidth="1"/>
    <col min="13574" max="13574" width="9" style="1234"/>
    <col min="13575" max="13575" width="9.36328125" style="1234" bestFit="1" customWidth="1"/>
    <col min="13576" max="13577" width="9" style="1234"/>
    <col min="13578" max="13578" width="9.36328125" style="1234" bestFit="1" customWidth="1"/>
    <col min="13579" max="13579" width="4" style="1234" customWidth="1"/>
    <col min="13580" max="13580" width="5.08984375" style="1234" customWidth="1"/>
    <col min="13581" max="13581" width="13.7265625" style="1234" customWidth="1"/>
    <col min="13582" max="13824" width="9" style="1234"/>
    <col min="13825" max="13825" width="4.90625" style="1234" customWidth="1"/>
    <col min="13826" max="13826" width="13.26953125" style="1234" customWidth="1"/>
    <col min="13827" max="13827" width="15.6328125" style="1234" customWidth="1"/>
    <col min="13828" max="13828" width="9.36328125" style="1234" bestFit="1" customWidth="1"/>
    <col min="13829" max="13829" width="13.453125" style="1234" customWidth="1"/>
    <col min="13830" max="13830" width="9" style="1234"/>
    <col min="13831" max="13831" width="9.36328125" style="1234" bestFit="1" customWidth="1"/>
    <col min="13832" max="13833" width="9" style="1234"/>
    <col min="13834" max="13834" width="9.36328125" style="1234" bestFit="1" customWidth="1"/>
    <col min="13835" max="13835" width="4" style="1234" customWidth="1"/>
    <col min="13836" max="13836" width="5.08984375" style="1234" customWidth="1"/>
    <col min="13837" max="13837" width="13.7265625" style="1234" customWidth="1"/>
    <col min="13838" max="14080" width="9" style="1234"/>
    <col min="14081" max="14081" width="4.90625" style="1234" customWidth="1"/>
    <col min="14082" max="14082" width="13.26953125" style="1234" customWidth="1"/>
    <col min="14083" max="14083" width="15.6328125" style="1234" customWidth="1"/>
    <col min="14084" max="14084" width="9.36328125" style="1234" bestFit="1" customWidth="1"/>
    <col min="14085" max="14085" width="13.453125" style="1234" customWidth="1"/>
    <col min="14086" max="14086" width="9" style="1234"/>
    <col min="14087" max="14087" width="9.36328125" style="1234" bestFit="1" customWidth="1"/>
    <col min="14088" max="14089" width="9" style="1234"/>
    <col min="14090" max="14090" width="9.36328125" style="1234" bestFit="1" customWidth="1"/>
    <col min="14091" max="14091" width="4" style="1234" customWidth="1"/>
    <col min="14092" max="14092" width="5.08984375" style="1234" customWidth="1"/>
    <col min="14093" max="14093" width="13.7265625" style="1234" customWidth="1"/>
    <col min="14094" max="14336" width="9" style="1234"/>
    <col min="14337" max="14337" width="4.90625" style="1234" customWidth="1"/>
    <col min="14338" max="14338" width="13.26953125" style="1234" customWidth="1"/>
    <col min="14339" max="14339" width="15.6328125" style="1234" customWidth="1"/>
    <col min="14340" max="14340" width="9.36328125" style="1234" bestFit="1" customWidth="1"/>
    <col min="14341" max="14341" width="13.453125" style="1234" customWidth="1"/>
    <col min="14342" max="14342" width="9" style="1234"/>
    <col min="14343" max="14343" width="9.36328125" style="1234" bestFit="1" customWidth="1"/>
    <col min="14344" max="14345" width="9" style="1234"/>
    <col min="14346" max="14346" width="9.36328125" style="1234" bestFit="1" customWidth="1"/>
    <col min="14347" max="14347" width="4" style="1234" customWidth="1"/>
    <col min="14348" max="14348" width="5.08984375" style="1234" customWidth="1"/>
    <col min="14349" max="14349" width="13.7265625" style="1234" customWidth="1"/>
    <col min="14350" max="14592" width="9" style="1234"/>
    <col min="14593" max="14593" width="4.90625" style="1234" customWidth="1"/>
    <col min="14594" max="14594" width="13.26953125" style="1234" customWidth="1"/>
    <col min="14595" max="14595" width="15.6328125" style="1234" customWidth="1"/>
    <col min="14596" max="14596" width="9.36328125" style="1234" bestFit="1" customWidth="1"/>
    <col min="14597" max="14597" width="13.453125" style="1234" customWidth="1"/>
    <col min="14598" max="14598" width="9" style="1234"/>
    <col min="14599" max="14599" width="9.36328125" style="1234" bestFit="1" customWidth="1"/>
    <col min="14600" max="14601" width="9" style="1234"/>
    <col min="14602" max="14602" width="9.36328125" style="1234" bestFit="1" customWidth="1"/>
    <col min="14603" max="14603" width="4" style="1234" customWidth="1"/>
    <col min="14604" max="14604" width="5.08984375" style="1234" customWidth="1"/>
    <col min="14605" max="14605" width="13.7265625" style="1234" customWidth="1"/>
    <col min="14606" max="14848" width="9" style="1234"/>
    <col min="14849" max="14849" width="4.90625" style="1234" customWidth="1"/>
    <col min="14850" max="14850" width="13.26953125" style="1234" customWidth="1"/>
    <col min="14851" max="14851" width="15.6328125" style="1234" customWidth="1"/>
    <col min="14852" max="14852" width="9.36328125" style="1234" bestFit="1" customWidth="1"/>
    <col min="14853" max="14853" width="13.453125" style="1234" customWidth="1"/>
    <col min="14854" max="14854" width="9" style="1234"/>
    <col min="14855" max="14855" width="9.36328125" style="1234" bestFit="1" customWidth="1"/>
    <col min="14856" max="14857" width="9" style="1234"/>
    <col min="14858" max="14858" width="9.36328125" style="1234" bestFit="1" customWidth="1"/>
    <col min="14859" max="14859" width="4" style="1234" customWidth="1"/>
    <col min="14860" max="14860" width="5.08984375" style="1234" customWidth="1"/>
    <col min="14861" max="14861" width="13.7265625" style="1234" customWidth="1"/>
    <col min="14862" max="15104" width="9" style="1234"/>
    <col min="15105" max="15105" width="4.90625" style="1234" customWidth="1"/>
    <col min="15106" max="15106" width="13.26953125" style="1234" customWidth="1"/>
    <col min="15107" max="15107" width="15.6328125" style="1234" customWidth="1"/>
    <col min="15108" max="15108" width="9.36328125" style="1234" bestFit="1" customWidth="1"/>
    <col min="15109" max="15109" width="13.453125" style="1234" customWidth="1"/>
    <col min="15110" max="15110" width="9" style="1234"/>
    <col min="15111" max="15111" width="9.36328125" style="1234" bestFit="1" customWidth="1"/>
    <col min="15112" max="15113" width="9" style="1234"/>
    <col min="15114" max="15114" width="9.36328125" style="1234" bestFit="1" customWidth="1"/>
    <col min="15115" max="15115" width="4" style="1234" customWidth="1"/>
    <col min="15116" max="15116" width="5.08984375" style="1234" customWidth="1"/>
    <col min="15117" max="15117" width="13.7265625" style="1234" customWidth="1"/>
    <col min="15118" max="15360" width="9" style="1234"/>
    <col min="15361" max="15361" width="4.90625" style="1234" customWidth="1"/>
    <col min="15362" max="15362" width="13.26953125" style="1234" customWidth="1"/>
    <col min="15363" max="15363" width="15.6328125" style="1234" customWidth="1"/>
    <col min="15364" max="15364" width="9.36328125" style="1234" bestFit="1" customWidth="1"/>
    <col min="15365" max="15365" width="13.453125" style="1234" customWidth="1"/>
    <col min="15366" max="15366" width="9" style="1234"/>
    <col min="15367" max="15367" width="9.36328125" style="1234" bestFit="1" customWidth="1"/>
    <col min="15368" max="15369" width="9" style="1234"/>
    <col min="15370" max="15370" width="9.36328125" style="1234" bestFit="1" customWidth="1"/>
    <col min="15371" max="15371" width="4" style="1234" customWidth="1"/>
    <col min="15372" max="15372" width="5.08984375" style="1234" customWidth="1"/>
    <col min="15373" max="15373" width="13.7265625" style="1234" customWidth="1"/>
    <col min="15374" max="15616" width="9" style="1234"/>
    <col min="15617" max="15617" width="4.90625" style="1234" customWidth="1"/>
    <col min="15618" max="15618" width="13.26953125" style="1234" customWidth="1"/>
    <col min="15619" max="15619" width="15.6328125" style="1234" customWidth="1"/>
    <col min="15620" max="15620" width="9.36328125" style="1234" bestFit="1" customWidth="1"/>
    <col min="15621" max="15621" width="13.453125" style="1234" customWidth="1"/>
    <col min="15622" max="15622" width="9" style="1234"/>
    <col min="15623" max="15623" width="9.36328125" style="1234" bestFit="1" customWidth="1"/>
    <col min="15624" max="15625" width="9" style="1234"/>
    <col min="15626" max="15626" width="9.36328125" style="1234" bestFit="1" customWidth="1"/>
    <col min="15627" max="15627" width="4" style="1234" customWidth="1"/>
    <col min="15628" max="15628" width="5.08984375" style="1234" customWidth="1"/>
    <col min="15629" max="15629" width="13.7265625" style="1234" customWidth="1"/>
    <col min="15630" max="15872" width="9" style="1234"/>
    <col min="15873" max="15873" width="4.90625" style="1234" customWidth="1"/>
    <col min="15874" max="15874" width="13.26953125" style="1234" customWidth="1"/>
    <col min="15875" max="15875" width="15.6328125" style="1234" customWidth="1"/>
    <col min="15876" max="15876" width="9.36328125" style="1234" bestFit="1" customWidth="1"/>
    <col min="15877" max="15877" width="13.453125" style="1234" customWidth="1"/>
    <col min="15878" max="15878" width="9" style="1234"/>
    <col min="15879" max="15879" width="9.36328125" style="1234" bestFit="1" customWidth="1"/>
    <col min="15880" max="15881" width="9" style="1234"/>
    <col min="15882" max="15882" width="9.36328125" style="1234" bestFit="1" customWidth="1"/>
    <col min="15883" max="15883" width="4" style="1234" customWidth="1"/>
    <col min="15884" max="15884" width="5.08984375" style="1234" customWidth="1"/>
    <col min="15885" max="15885" width="13.7265625" style="1234" customWidth="1"/>
    <col min="15886" max="16128" width="9" style="1234"/>
    <col min="16129" max="16129" width="4.90625" style="1234" customWidth="1"/>
    <col min="16130" max="16130" width="13.26953125" style="1234" customWidth="1"/>
    <col min="16131" max="16131" width="15.6328125" style="1234" customWidth="1"/>
    <col min="16132" max="16132" width="9.36328125" style="1234" bestFit="1" customWidth="1"/>
    <col min="16133" max="16133" width="13.453125" style="1234" customWidth="1"/>
    <col min="16134" max="16134" width="9" style="1234"/>
    <col min="16135" max="16135" width="9.36328125" style="1234" bestFit="1" customWidth="1"/>
    <col min="16136" max="16137" width="9" style="1234"/>
    <col min="16138" max="16138" width="9.36328125" style="1234" bestFit="1" customWidth="1"/>
    <col min="16139" max="16139" width="4" style="1234" customWidth="1"/>
    <col min="16140" max="16140" width="5.08984375" style="1234" customWidth="1"/>
    <col min="16141" max="16141" width="13.7265625" style="1234" customWidth="1"/>
    <col min="16142" max="16384" width="9" style="1234"/>
  </cols>
  <sheetData>
    <row r="1" spans="1:257" s="1297" customFormat="1" ht="14.5" thickBot="1">
      <c r="A1" s="1292"/>
      <c r="B1" s="1293" t="s">
        <v>1172</v>
      </c>
      <c r="C1" s="1298">
        <f>项目基本情况!D2</f>
        <v>44062</v>
      </c>
      <c r="D1" s="1293" t="s">
        <v>1173</v>
      </c>
      <c r="E1" s="1299">
        <f>'数据-取费表'!B24</f>
        <v>1</v>
      </c>
      <c r="F1" s="1293" t="s">
        <v>1174</v>
      </c>
      <c r="G1" s="1300">
        <f ca="1">INDIRECT("d"&amp;$K$1)/100</f>
        <v>4.3499999999999997E-2</v>
      </c>
      <c r="H1" s="1293" t="s">
        <v>1204</v>
      </c>
      <c r="I1" s="1300">
        <f ca="1">F4/100</f>
        <v>1.4999999999999999E-2</v>
      </c>
      <c r="J1" s="1294">
        <f>IF(C1&gt;C13,0,MATCH(C1,C$13:C$100,-1))+IF(SUMIF(C13:C100,C1,D13:D100)=0,13,12)</f>
        <v>13</v>
      </c>
      <c r="K1" s="1294">
        <f ca="1">MATCH(E1,C3:C7,1)+IF(SUMIF(C3:C7,E1,D3:D7)=0,2,1)</f>
        <v>4</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1">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3">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0">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
  <cols>
    <col min="1" max="1" width="4.08984375" style="1341" customWidth="1"/>
    <col min="2" max="2" width="37.90625" style="1341" customWidth="1"/>
    <col min="3" max="3" width="16.08984375" style="1341" customWidth="1"/>
    <col min="4" max="4" width="22.26953125" style="1341" customWidth="1"/>
    <col min="5" max="5" width="4.08984375" style="1341" customWidth="1"/>
    <col min="6" max="7" width="13" style="1341" customWidth="1"/>
    <col min="8" max="16384" width="9" style="1341"/>
  </cols>
  <sheetData>
    <row r="1" spans="1:5" ht="17.5">
      <c r="A1" s="1361" t="s">
        <v>774</v>
      </c>
      <c r="B1" s="1359"/>
      <c r="C1" s="1359"/>
      <c r="D1" s="1359"/>
      <c r="E1" s="1359"/>
    </row>
    <row r="2" spans="1:5" ht="78.75" customHeight="1">
      <c r="A2" s="31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2"/>
      <c r="C2" s="3182"/>
      <c r="D2" s="3182"/>
      <c r="E2" s="3182"/>
    </row>
    <row r="3" spans="1:5" ht="13.5" customHeight="1">
      <c r="A3" s="1362"/>
      <c r="B3" s="1362"/>
      <c r="C3" s="1362"/>
      <c r="D3" s="1362"/>
      <c r="E3" s="1362"/>
    </row>
    <row r="4" spans="1:5" ht="18" thickBot="1">
      <c r="A4" s="3183" t="str">
        <f>IF(项目基本情况!D5="房地产市场价值","估价结果一览表（市场价值不需本页表格)","估价结果一览表")</f>
        <v>估价结果一览表（市场价值不需本页表格)</v>
      </c>
      <c r="B4" s="3183"/>
      <c r="C4" s="3183"/>
      <c r="D4" s="3183"/>
      <c r="E4" s="3183"/>
    </row>
    <row r="5" spans="1:5" ht="14.25" customHeight="1" thickTop="1">
      <c r="A5" s="1359"/>
      <c r="B5" s="1363" t="s">
        <v>742</v>
      </c>
      <c r="C5" s="3184" t="s">
        <v>775</v>
      </c>
      <c r="D5" s="3185"/>
      <c r="E5" s="1359"/>
    </row>
    <row r="6" spans="1:5" ht="15">
      <c r="A6" s="1359"/>
      <c r="B6" s="1364" t="str">
        <f>项目基本情况!I1</f>
        <v>北京市房地产</v>
      </c>
      <c r="C6" s="3186">
        <f>项目基本情况!C12</f>
        <v>54.91</v>
      </c>
      <c r="D6" s="3186"/>
      <c r="E6" s="1359"/>
    </row>
    <row r="7" spans="1:5" ht="15">
      <c r="A7" s="1359"/>
      <c r="B7" s="3180" t="s">
        <v>776</v>
      </c>
      <c r="C7" s="1365" t="str">
        <f>IF('数据-取费表'!B3="万元","总价（万元）","总价（元）")</f>
        <v>总价（元）</v>
      </c>
      <c r="D7" s="1366">
        <f ca="1">IF('数据-取费表'!E3="否",结果表!I102,'结果表 (1修多)'!I104)</f>
        <v>1951886</v>
      </c>
      <c r="E7" s="1359"/>
    </row>
    <row r="8" spans="1:5" ht="30">
      <c r="A8" s="1359"/>
      <c r="B8" s="3180"/>
      <c r="C8" s="1367" t="s">
        <v>1162</v>
      </c>
      <c r="D8" s="1368" t="str">
        <f ca="1">IF('数据-取费表'!B3="万元",NUMBERSTRING(INT(D7*10000),2)&amp;"元整",NUMBERSTRING(INT(D7),2)&amp;"元整")</f>
        <v>壹佰玖拾伍万壹仟捌佰捌拾陆元整</v>
      </c>
      <c r="E8" s="1359"/>
    </row>
    <row r="9" spans="1:5" ht="15">
      <c r="A9" s="1359"/>
      <c r="B9" s="3180"/>
      <c r="C9" s="1369" t="s">
        <v>1259</v>
      </c>
      <c r="D9" s="1366">
        <f ca="1">IF('数据-取费表'!E3="否",结果表!I103,'结果表 (1修多)'!I105)</f>
        <v>35547</v>
      </c>
      <c r="E9" s="1359"/>
    </row>
    <row r="10" spans="1:5" ht="15">
      <c r="A10" s="1359"/>
      <c r="B10" s="318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
      <c r="A11" s="1359"/>
      <c r="B11" s="3187"/>
      <c r="C11" s="1367" t="s">
        <v>1162</v>
      </c>
      <c r="D11" s="1368" t="str">
        <f>IF('数据-取费表'!B3="万元",NUMBERSTRING(INT(D10*10000),2)&amp;"元整",NUMBERSTRING(INT(D10),2)&amp;"元整")</f>
        <v>零元整</v>
      </c>
      <c r="E11" s="1359"/>
    </row>
    <row r="12" spans="1:5" ht="15">
      <c r="A12" s="1359"/>
      <c r="B12" s="1371" t="s">
        <v>743</v>
      </c>
      <c r="C12" s="1372" t="str">
        <f>C10</f>
        <v>总额（元）</v>
      </c>
      <c r="D12" s="1373">
        <f>IF('数据-取费表'!E3="否",结果表!I106,'结果表 (1修多)'!I108)</f>
        <v>0</v>
      </c>
      <c r="E12" s="1359"/>
    </row>
    <row r="13" spans="1:5" ht="15">
      <c r="A13" s="1359"/>
      <c r="B13" s="1371" t="s">
        <v>744</v>
      </c>
      <c r="C13" s="1372" t="str">
        <f>C10</f>
        <v>总额（元）</v>
      </c>
      <c r="D13" s="1373">
        <f>IF('数据-取费表'!E3="否",结果表!I107,'结果表 (1修多)'!I109)</f>
        <v>0</v>
      </c>
      <c r="E13" s="1359"/>
    </row>
    <row r="14" spans="1:5" ht="15">
      <c r="A14" s="1359"/>
      <c r="B14" s="1371" t="s">
        <v>745</v>
      </c>
      <c r="C14" s="1372" t="str">
        <f>C10</f>
        <v>总额（元）</v>
      </c>
      <c r="D14" s="1373">
        <f>IF('数据-取费表'!E3="否",结果表!I108,'结果表 (1修多)'!I110)</f>
        <v>0</v>
      </c>
      <c r="E14" s="1359"/>
    </row>
    <row r="15" spans="1:5" ht="15">
      <c r="A15" s="1359"/>
      <c r="B15" s="3187" t="str">
        <f>IF('数据-取费表'!E3="否",结果表!F110,'结果表 (1修多)'!F112)</f>
        <v>3.房地产抵押价值</v>
      </c>
      <c r="C15" s="1360" t="str">
        <f>C7</f>
        <v>总价（元）</v>
      </c>
      <c r="D15" s="1366">
        <f ca="1">IF('数据-取费表'!E3="否",结果表!I110,'结果表 (1修多)'!I112)</f>
        <v>1951886</v>
      </c>
      <c r="E15" s="1359"/>
    </row>
    <row r="16" spans="1:5" ht="30">
      <c r="A16" s="1359"/>
      <c r="B16" s="3187"/>
      <c r="C16" s="1367" t="s">
        <v>1162</v>
      </c>
      <c r="D16" s="1366" t="str">
        <f ca="1">IF('数据-取费表'!B3="万元",NUMBERSTRING(INT(D15*10000),2)&amp;"元整",NUMBERSTRING(INT(D15),2)&amp;"元整")</f>
        <v>壹佰玖拾伍万壹仟捌佰捌拾陆元整</v>
      </c>
      <c r="E16" s="1359"/>
    </row>
    <row r="17" spans="1:5" ht="15">
      <c r="A17" s="1359"/>
      <c r="B17" s="3187"/>
      <c r="C17" s="1369" t="s">
        <v>1259</v>
      </c>
      <c r="D17" s="1366">
        <f ca="1">IF('数据-取费表'!E3="否",结果表!I111,'结果表 (1修多)'!I113)</f>
        <v>35547</v>
      </c>
      <c r="E17" s="1359"/>
    </row>
    <row r="18" spans="1:5" ht="15">
      <c r="A18" s="1359"/>
      <c r="B18" s="3187" t="str">
        <f>IF('数据-取费表'!E3="否",结果表!F112,'结果表 (1修多)'!F114)</f>
        <v>——</v>
      </c>
      <c r="C18" s="1360" t="str">
        <f>C7</f>
        <v>总价（元）</v>
      </c>
      <c r="D18" s="1366" t="str">
        <f>IF('数据-取费表'!E3="否",结果表!I112,'结果表 (1修多)'!I114)</f>
        <v>——</v>
      </c>
      <c r="E18" s="1359"/>
    </row>
    <row r="19" spans="1:5" ht="15">
      <c r="A19" s="1359"/>
      <c r="B19" s="3187"/>
      <c r="C19" s="1367" t="s">
        <v>1162</v>
      </c>
      <c r="D19" s="1366" t="e">
        <f>IF('数据-取费表'!B3="万元",NUMBERSTRING(INT(D18*10000),2)&amp;"元整",NUMBERSTRING(INT(D18),2)&amp;"元整")</f>
        <v>#VALUE!</v>
      </c>
      <c r="E19" s="1359"/>
    </row>
    <row r="20" spans="1:5" ht="15">
      <c r="A20" s="1359"/>
      <c r="B20" s="3187"/>
      <c r="C20" s="1369" t="s">
        <v>1259</v>
      </c>
      <c r="D20" s="1366" t="str">
        <f>IF('数据-取费表'!E3="否",结果表!I113,'结果表 (1修多)'!I115)</f>
        <v>——</v>
      </c>
      <c r="E20" s="1359"/>
    </row>
    <row r="21" spans="1:5" ht="15">
      <c r="A21" s="1359"/>
      <c r="B21" s="3180" t="str">
        <f>IF('数据-取费表'!E3="否",结果表!F114,'结果表 (1修多)'!F116)</f>
        <v>——</v>
      </c>
      <c r="C21" s="1365" t="str">
        <f>C7</f>
        <v>总价（元）</v>
      </c>
      <c r="D21" s="1366" t="str">
        <f>IF('数据-取费表'!E3="否",结果表!I114,'结果表 (1修多)'!I116)</f>
        <v>——</v>
      </c>
      <c r="E21" s="1359"/>
    </row>
    <row r="22" spans="1:5" ht="15">
      <c r="A22" s="1359"/>
      <c r="B22" s="3180"/>
      <c r="C22" s="1367" t="s">
        <v>1162</v>
      </c>
      <c r="D22" s="1368" t="e">
        <f>IF('数据-取费表'!B3="万元",NUMBERSTRING(INT(D21*10000),2)&amp;"元整",NUMBERSTRING(INT(D21),2)&amp;"元整")</f>
        <v>#VALUE!</v>
      </c>
      <c r="E22" s="1359"/>
    </row>
    <row r="23" spans="1:5" ht="15.5" thickBot="1">
      <c r="A23" s="1359"/>
      <c r="B23" s="3181"/>
      <c r="C23" s="1374" t="s">
        <v>1259</v>
      </c>
      <c r="D23" s="1375" t="str">
        <f ca="1">IF('数据-取费表'!E3="否",结果表!I115,'结果表 (1修多)'!I117)</f>
        <v>——</v>
      </c>
      <c r="E23" s="1359"/>
    </row>
    <row r="24" spans="1:5" ht="14.5" thickTop="1">
      <c r="A24" s="1359"/>
      <c r="B24" s="1359"/>
      <c r="C24" s="1359"/>
      <c r="D24" s="1359"/>
      <c r="E24" s="1359"/>
    </row>
    <row r="25" spans="1:5" ht="18.75" customHeight="1" thickBot="1">
      <c r="A25" s="1359"/>
      <c r="B25" s="3172" t="s">
        <v>1260</v>
      </c>
      <c r="C25" s="3172"/>
      <c r="D25" s="3172"/>
      <c r="E25" s="1359"/>
    </row>
    <row r="26" spans="1:5" ht="18.75" customHeight="1" thickTop="1">
      <c r="A26" s="1359"/>
      <c r="B26" s="3175" t="s">
        <v>1161</v>
      </c>
      <c r="C26" s="3176"/>
      <c r="D26" s="3173" t="s">
        <v>1160</v>
      </c>
      <c r="E26" s="1359"/>
    </row>
    <row r="27" spans="1:5" ht="18.75" customHeight="1">
      <c r="A27" s="1359"/>
      <c r="B27" s="3177"/>
      <c r="C27" s="3178"/>
      <c r="D27" s="3174"/>
      <c r="E27" s="1359"/>
    </row>
    <row r="28" spans="1:5" ht="15">
      <c r="A28" s="1359"/>
      <c r="B28" s="3165" t="s">
        <v>776</v>
      </c>
      <c r="C28" s="1376" t="s">
        <v>1163</v>
      </c>
      <c r="D28" s="1377">
        <f ca="1">IF('数据-取费表'!E3="否",结果表!I102,'结果表 (1修多)'!I104)</f>
        <v>1951886</v>
      </c>
      <c r="E28" s="1359"/>
    </row>
    <row r="29" spans="1:5" ht="30">
      <c r="A29" s="1359"/>
      <c r="B29" s="3166"/>
      <c r="C29" s="1378" t="s">
        <v>1162</v>
      </c>
      <c r="D29" s="1379" t="str">
        <f ca="1">IF('数据-取费表'!B3="万元",NUMBERSTRING(INT(D28*10000),2)&amp;"元整",NUMBERSTRING(INT(D28),2)&amp;"元整")</f>
        <v>壹佰玖拾伍万壹仟捌佰捌拾陆元整</v>
      </c>
      <c r="E29" s="1359"/>
    </row>
    <row r="30" spans="1:5" ht="15">
      <c r="A30" s="1359"/>
      <c r="B30" s="3167"/>
      <c r="C30" s="1369" t="s">
        <v>1165</v>
      </c>
      <c r="D30" s="1380">
        <f ca="1">IF('数据-取费表'!E3="否",结果表!I103,'结果表 (1修多)'!I105)</f>
        <v>35547</v>
      </c>
      <c r="E30" s="1359"/>
    </row>
    <row r="31" spans="1:5" ht="15">
      <c r="A31" s="1359"/>
      <c r="B31" s="3170" t="str">
        <f>B10</f>
        <v>2.估价师所知悉的法定优先受偿款</v>
      </c>
      <c r="C31" s="1381" t="s">
        <v>1164</v>
      </c>
      <c r="D31" s="1382">
        <f>IF('数据-取费表'!E3="否",结果表!I105,'结果表 (1修多)'!I107)</f>
        <v>0</v>
      </c>
      <c r="E31" s="1359"/>
    </row>
    <row r="32" spans="1:5" ht="15">
      <c r="A32" s="1359"/>
      <c r="B32" s="3179"/>
      <c r="C32" s="1378" t="s">
        <v>1162</v>
      </c>
      <c r="D32" s="1383" t="str">
        <f>IF('数据-取费表'!B3="万元",NUMBERSTRING(INT(D31*10000),2)&amp;"元整",NUMBERSTRING(INT(D31),2)&amp;"元整")</f>
        <v>零元整</v>
      </c>
      <c r="E32" s="1359"/>
    </row>
    <row r="33" spans="1:5" ht="15">
      <c r="A33" s="1359"/>
      <c r="B33" s="1367" t="s">
        <v>1145</v>
      </c>
      <c r="C33" s="1367" t="str">
        <f>C31</f>
        <v>总额</v>
      </c>
      <c r="D33" s="1380">
        <f>IF('数据-取费表'!E3="否",结果表!I106,'结果表 (1修多)'!I108)</f>
        <v>0</v>
      </c>
      <c r="E33" s="1359"/>
    </row>
    <row r="34" spans="1:5" ht="15">
      <c r="A34" s="1359"/>
      <c r="B34" s="1367" t="s">
        <v>1146</v>
      </c>
      <c r="C34" s="1367" t="str">
        <f>C31</f>
        <v>总额</v>
      </c>
      <c r="D34" s="1380">
        <f>IF('数据-取费表'!E3="否",结果表!I107,'结果表 (1修多)'!I109)</f>
        <v>0</v>
      </c>
      <c r="E34" s="1359"/>
    </row>
    <row r="35" spans="1:5" ht="15">
      <c r="A35" s="1359"/>
      <c r="B35" s="1367" t="s">
        <v>1147</v>
      </c>
      <c r="C35" s="1367" t="str">
        <f>C31</f>
        <v>总额</v>
      </c>
      <c r="D35" s="1380">
        <f>IF('数据-取费表'!E3="否",结果表!I108,'结果表 (1修多)'!I110)</f>
        <v>0</v>
      </c>
      <c r="E35" s="1359"/>
    </row>
    <row r="36" spans="1:5" ht="15">
      <c r="A36" s="1359"/>
      <c r="B36" s="3168" t="str">
        <f>B15</f>
        <v>3.房地产抵押价值</v>
      </c>
      <c r="C36" s="1381" t="str">
        <f>C28</f>
        <v>总价</v>
      </c>
      <c r="D36" s="1382">
        <f ca="1">IF('数据-取费表'!E3="否",结果表!I110,'结果表 (1修多)'!I112)</f>
        <v>1951886</v>
      </c>
      <c r="E36" s="1359"/>
    </row>
    <row r="37" spans="1:5" ht="30">
      <c r="A37" s="1359"/>
      <c r="B37" s="3168"/>
      <c r="C37" s="1378" t="s">
        <v>1162</v>
      </c>
      <c r="D37" s="1383" t="str">
        <f ca="1">IF('数据-取费表'!B3="万元",NUMBERSTRING(INT(D36*10000),2)&amp;"元整",NUMBERSTRING(INT(D36),2)&amp;"元整")</f>
        <v>壹佰玖拾伍万壹仟捌佰捌拾陆元整</v>
      </c>
      <c r="E37" s="1359"/>
    </row>
    <row r="38" spans="1:5" ht="15">
      <c r="A38" s="1359"/>
      <c r="B38" s="3168"/>
      <c r="C38" s="1369" t="s">
        <v>1166</v>
      </c>
      <c r="D38" s="1380">
        <f ca="1">IF('数据-取费表'!E3="否",结果表!D113,'结果表 (1修多)'!D117)</f>
        <v>35547</v>
      </c>
      <c r="E38" s="1359"/>
    </row>
    <row r="39" spans="1:5" ht="15">
      <c r="A39" s="1359"/>
      <c r="B39" s="3169" t="str">
        <f>B18</f>
        <v>——</v>
      </c>
      <c r="C39" s="1381" t="str">
        <f>C28</f>
        <v>总价</v>
      </c>
      <c r="D39" s="1382" t="str">
        <f>IF('数据-取费表'!E3="否",结果表!I112,'结果表 (1修多)'!I114)</f>
        <v>——</v>
      </c>
      <c r="E39" s="1359"/>
    </row>
    <row r="40" spans="1:5" ht="15">
      <c r="A40" s="1359"/>
      <c r="B40" s="3169"/>
      <c r="C40" s="1378" t="s">
        <v>1162</v>
      </c>
      <c r="D40" s="1383" t="e">
        <f>IF('数据-取费表'!B3="万元",NUMBERSTRING(INT(D39*10000),2)&amp;"元整",NUMBERSTRING(INT(D39),2)&amp;"元整")</f>
        <v>#VALUE!</v>
      </c>
      <c r="E40" s="1359"/>
    </row>
    <row r="41" spans="1:5" ht="15">
      <c r="A41" s="1359"/>
      <c r="B41" s="3169"/>
      <c r="C41" s="1369" t="s">
        <v>1166</v>
      </c>
      <c r="D41" s="1380" t="str">
        <f>IF('数据-取费表'!E3="否",结果表!D115,'结果表 (1修多)'!D119)</f>
        <v>——</v>
      </c>
      <c r="E41" s="1359"/>
    </row>
    <row r="42" spans="1:5" ht="15">
      <c r="A42" s="1359"/>
      <c r="B42" s="3168" t="str">
        <f>B21</f>
        <v>——</v>
      </c>
      <c r="C42" s="1381" t="str">
        <f>C28</f>
        <v>总价</v>
      </c>
      <c r="D42" s="1382" t="str">
        <f>IF('数据-取费表'!E3="否",结果表!I114,'结果表 (1修多)'!I116)</f>
        <v>——</v>
      </c>
      <c r="E42" s="1359"/>
    </row>
    <row r="43" spans="1:5" ht="15">
      <c r="A43" s="1359"/>
      <c r="B43" s="3170"/>
      <c r="C43" s="1378" t="s">
        <v>1162</v>
      </c>
      <c r="D43" s="1384" t="e">
        <f>IF('数据-取费表'!B3="万元",NUMBERSTRING(INT(D42*10000),2)&amp;"元整",NUMBERSTRING(INT(D42),2)&amp;"元整")</f>
        <v>#VALUE!</v>
      </c>
      <c r="E43" s="1359"/>
    </row>
    <row r="44" spans="1:5" ht="15.5" thickBot="1">
      <c r="A44" s="1359"/>
      <c r="B44" s="3171"/>
      <c r="C44" s="1374" t="s">
        <v>1166</v>
      </c>
      <c r="D44" s="1385" t="str">
        <f ca="1">IF('数据-取费表'!E3="否",结果表!D117,'结果表 (1修多)'!D121)</f>
        <v>——</v>
      </c>
      <c r="E44" s="1359"/>
    </row>
    <row r="45" spans="1:5" ht="14.5" thickTop="1">
      <c r="A45" s="1359"/>
      <c r="B45" s="1359" t="str">
        <f>IF('数据-取费表'!B3="元","单位：元、元/平方米（单位：人民币）","单位：万元、元/平方米（单位：人民币）")</f>
        <v>单位：元、元/平方米（单位：人民币）</v>
      </c>
      <c r="C45" s="1359"/>
      <c r="D45" s="1359"/>
      <c r="E45" s="1359"/>
    </row>
    <row r="46" spans="1:5" ht="1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
  <cols>
    <col min="1" max="1" width="29.90625" style="1344" customWidth="1"/>
    <col min="2" max="9" width="12.26953125" style="1344" customWidth="1"/>
    <col min="10" max="16384" width="9" style="1344"/>
  </cols>
  <sheetData>
    <row r="1" spans="1:9" ht="16" thickBot="1">
      <c r="A1" s="3194" t="str">
        <f>IF(项目基本情况!D5="房地产市场价值","估价结果一览表","结果表-2")</f>
        <v>估价结果一览表</v>
      </c>
      <c r="B1" s="3194"/>
      <c r="C1" s="3194"/>
      <c r="D1" s="3194"/>
      <c r="E1" s="3194"/>
      <c r="F1" s="3194"/>
      <c r="G1" s="3194"/>
      <c r="H1" s="3194"/>
      <c r="I1" s="3194"/>
    </row>
    <row r="2" spans="1:9" ht="30" customHeight="1" thickTop="1">
      <c r="A2" s="3195" t="s">
        <v>1261</v>
      </c>
      <c r="B2" s="3195" t="s">
        <v>1262</v>
      </c>
      <c r="C2" s="3195" t="s">
        <v>1263</v>
      </c>
      <c r="D2" s="3195" t="str">
        <f>IF('数据-取费表'!E3="否",结果表!D119,'结果表 (1修多)'!D123)</f>
        <v>出让国有建设用地使用权价值</v>
      </c>
      <c r="E2" s="3195"/>
      <c r="F2" s="3195" t="s">
        <v>1264</v>
      </c>
      <c r="G2" s="3195"/>
      <c r="H2" s="3195" t="s">
        <v>1265</v>
      </c>
      <c r="I2" s="3195"/>
    </row>
    <row r="3" spans="1:9" ht="16">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54.91</v>
      </c>
      <c r="C4" s="818">
        <f>结果表!C121</f>
        <v>0</v>
      </c>
      <c r="D4" s="818">
        <f ca="1">IF('数据-取费表'!E3="否",结果表!D121,'结果表 (1修多)'!D125)</f>
        <v>3140577</v>
      </c>
      <c r="E4" s="818">
        <f ca="1">IF('数据-取费表'!E3="否",结果表!E121,'结果表 (1修多)'!E125)</f>
        <v>57195</v>
      </c>
      <c r="F4" s="818">
        <f ca="1">IF('数据-取费表'!E3="否",结果表!F121,'结果表 (1修多)'!F125)</f>
        <v>-1188692</v>
      </c>
      <c r="G4" s="818">
        <f ca="1">IF('数据-取费表'!E3="否",结果表!G121,'结果表 (1修多)'!G125)</f>
        <v>-21648</v>
      </c>
      <c r="H4" s="818">
        <f ca="1">IF('数据-取费表'!E3="否",结果表!H121,'结果表 (1修多)'!H125)</f>
        <v>1951886</v>
      </c>
      <c r="I4" s="818">
        <f ca="1">IF('数据-取费表'!E3="否",结果表!I121,'结果表 (1修多)'!I125)</f>
        <v>35547</v>
      </c>
    </row>
    <row r="5" spans="1:9" ht="15.5">
      <c r="A5" s="3188" t="s">
        <v>1269</v>
      </c>
      <c r="B5" s="3188"/>
      <c r="C5" s="3188"/>
      <c r="D5" s="3189" t="str">
        <f ca="1">IF('数据-取费表'!E3="否",结果表!D122,'结果表 (1修多)'!D126)</f>
        <v>叁佰壹拾肆万零伍佰柒拾柒元整</v>
      </c>
      <c r="E5" s="3189"/>
      <c r="F5" s="3189" t="e">
        <f ca="1">IF('数据-取费表'!E3="否",结果表!F122,'结果表 (1修多)'!F126)</f>
        <v>#NUM!</v>
      </c>
      <c r="G5" s="3189"/>
      <c r="H5" s="3189" t="str">
        <f ca="1">IF('数据-取费表'!E3="否",结果表!H122,'结果表 (1修多)'!H126)</f>
        <v>壹佰玖拾伍万壹仟捌佰捌拾陆元整</v>
      </c>
      <c r="I5" s="3189"/>
    </row>
    <row r="6" spans="1:9" ht="15.5">
      <c r="A6" s="3190" t="str">
        <f>IF('数据-取费表'!E3="否",结果表!A123,'结果表 (1修多)'!A127)</f>
        <v>——</v>
      </c>
      <c r="B6" s="3190"/>
      <c r="C6" s="3190"/>
      <c r="D6" s="3190">
        <f>IF('数据-取费表'!E3="否",结果表!D123,'结果表 (1修多)'!D127)</f>
        <v>0</v>
      </c>
      <c r="E6" s="3190"/>
      <c r="F6" s="3190"/>
      <c r="G6" s="3190"/>
      <c r="H6" s="3190"/>
      <c r="I6" s="3190"/>
    </row>
    <row r="7" spans="1:9" ht="15.5">
      <c r="A7" s="3188" t="s">
        <v>1269</v>
      </c>
      <c r="B7" s="3188"/>
      <c r="C7" s="3188"/>
      <c r="D7" s="3196">
        <f>IF('数据-取费表'!E3="否",结果表!D124,'结果表 (1修多)'!D128)</f>
        <v>0</v>
      </c>
      <c r="E7" s="3197"/>
      <c r="F7" s="3197"/>
      <c r="G7" s="3197"/>
      <c r="H7" s="3197"/>
      <c r="I7" s="3198"/>
    </row>
    <row r="8" spans="1:9" ht="15.5">
      <c r="A8" s="3190" t="str">
        <f>IF('数据-取费表'!E3="否",结果表!A125,'结果表 (1修多)'!A129)</f>
        <v>——</v>
      </c>
      <c r="B8" s="3190"/>
      <c r="C8" s="3190"/>
      <c r="D8" s="3190">
        <f ca="1">IF('数据-取费表'!E3="否",结果表!D125,'结果表 (1修多)'!D129)</f>
        <v>1951886</v>
      </c>
      <c r="E8" s="3190"/>
      <c r="F8" s="3190"/>
      <c r="G8" s="3190"/>
      <c r="H8" s="3190"/>
      <c r="I8" s="3190"/>
    </row>
    <row r="9" spans="1:9" ht="15.5">
      <c r="A9" s="3188" t="s">
        <v>1269</v>
      </c>
      <c r="B9" s="3188"/>
      <c r="C9" s="3188"/>
      <c r="D9" s="3189">
        <f ca="1">IF('数据-取费表'!E3="否",结果表!D126,'结果表 (1修多)'!D130)</f>
        <v>35547</v>
      </c>
      <c r="E9" s="3189"/>
      <c r="F9" s="3189"/>
      <c r="G9" s="3189"/>
      <c r="H9" s="3189"/>
      <c r="I9" s="3189"/>
    </row>
    <row r="10" spans="1:9" ht="15.5">
      <c r="A10" s="3190" t="str">
        <f>IF('数据-取费表'!E3="否",结果表!A127,'结果表 (1修多)'!A131)</f>
        <v>——</v>
      </c>
      <c r="B10" s="3190"/>
      <c r="C10" s="3190"/>
      <c r="D10" s="3190" t="str">
        <f>IF('数据-取费表'!E3="否",结果表!D127,'结果表 (1修多)'!D130)</f>
        <v>——</v>
      </c>
      <c r="E10" s="3190"/>
      <c r="F10" s="3190"/>
      <c r="G10" s="3190"/>
      <c r="H10" s="3190"/>
      <c r="I10" s="3190"/>
    </row>
    <row r="11" spans="1:9" ht="15.5">
      <c r="A11" s="3188" t="s">
        <v>1269</v>
      </c>
      <c r="B11" s="3188"/>
      <c r="C11" s="3188"/>
      <c r="D11" s="3189" t="str">
        <f>IF('数据-取费表'!E3="否",结果表!D128,'结果表 (1修多)'!D132)</f>
        <v>——</v>
      </c>
      <c r="E11" s="3189"/>
      <c r="F11" s="3189"/>
      <c r="G11" s="3189"/>
      <c r="H11" s="3189"/>
      <c r="I11" s="3189"/>
    </row>
    <row r="12" spans="1:9" ht="15.5">
      <c r="A12" s="3190" t="str">
        <f>IF('数据-取费表'!E3="否",结果表!A129,'结果表 (1修多)'!A133)</f>
        <v>——</v>
      </c>
      <c r="B12" s="3190"/>
      <c r="C12" s="3190"/>
      <c r="D12" s="3190" t="str">
        <f>IF('数据-取费表'!E3="否",结果表!D129,'结果表 (1修多)'!D133)</f>
        <v>——</v>
      </c>
      <c r="E12" s="3190"/>
      <c r="F12" s="3190"/>
      <c r="G12" s="3190"/>
      <c r="H12" s="3190"/>
      <c r="I12" s="3190"/>
    </row>
    <row r="13" spans="1:9" ht="16" thickBot="1">
      <c r="A13" s="3191" t="s">
        <v>1269</v>
      </c>
      <c r="B13" s="3191"/>
      <c r="C13" s="3191"/>
      <c r="D13" s="3192">
        <f>IF('数据-取费表'!E3="否",结果表!D130,'结果表 (1修多)'!D134)</f>
        <v>0</v>
      </c>
      <c r="E13" s="3192"/>
      <c r="F13" s="3192"/>
      <c r="G13" s="3192"/>
      <c r="H13" s="3192"/>
      <c r="I13" s="3192"/>
    </row>
    <row r="14" spans="1:9" ht="14.5" thickTop="1">
      <c r="A14" s="3193" t="str">
        <f>IF('数据-取费表'!E3="否",结果表!A131,'结果表 (1修多)'!A135)</f>
        <v>单位：平方米、元、元/平方米（币种：人民币）</v>
      </c>
      <c r="B14" s="3193"/>
      <c r="C14" s="3193"/>
      <c r="D14" s="3193"/>
      <c r="E14" s="3193"/>
      <c r="F14" s="3193"/>
      <c r="G14" s="3193"/>
      <c r="H14" s="3193"/>
      <c r="I14" s="3193"/>
    </row>
    <row r="15" spans="1:9">
      <c r="A15" s="605"/>
      <c r="B15" s="605"/>
      <c r="C15" s="605"/>
      <c r="D15" s="605"/>
      <c r="E15" s="605"/>
      <c r="F15" s="605"/>
      <c r="G15" s="605"/>
      <c r="H15" s="605"/>
      <c r="I15" s="605"/>
    </row>
    <row r="16" spans="1:9" ht="1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
  <cols>
    <col min="1" max="1" width="15.08984375" style="1344" customWidth="1"/>
    <col min="2" max="2" width="24" style="1344" customWidth="1"/>
    <col min="3" max="3" width="23.26953125" style="1344" customWidth="1"/>
    <col min="4" max="4" width="21" style="1344" customWidth="1"/>
    <col min="5" max="16384" width="9" style="1344"/>
  </cols>
  <sheetData>
    <row r="1" spans="1:4" ht="18">
      <c r="A1" s="3200" t="s">
        <v>1282</v>
      </c>
      <c r="B1" s="3200"/>
      <c r="C1" s="3200"/>
      <c r="D1" s="3200"/>
    </row>
    <row r="2" spans="1:4" ht="18">
      <c r="A2" s="3199" t="s">
        <v>1271</v>
      </c>
      <c r="B2" s="3199"/>
      <c r="C2" s="3199"/>
      <c r="D2" s="3199"/>
    </row>
    <row r="3" spans="1:4" ht="1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9" t="s">
        <v>1276</v>
      </c>
      <c r="B7" s="3199"/>
      <c r="C7" s="3199"/>
      <c r="D7" s="3199"/>
    </row>
    <row r="8" spans="1:4" ht="17.5">
      <c r="A8" s="1388" t="s">
        <v>1272</v>
      </c>
      <c r="B8" s="1390" t="s">
        <v>1277</v>
      </c>
      <c r="C8" s="1388" t="s">
        <v>1274</v>
      </c>
      <c r="D8" s="1388" t="s">
        <v>1275</v>
      </c>
    </row>
    <row r="9" spans="1:4" ht="56.25" customHeight="1">
      <c r="A9" s="1395" t="s">
        <v>777</v>
      </c>
      <c r="B9" s="1395" t="s">
        <v>778</v>
      </c>
      <c r="C9" s="1391"/>
      <c r="D9" s="1392" t="s">
        <v>1283</v>
      </c>
    </row>
    <row r="11" spans="1:4" ht="18">
      <c r="A11" s="1396" t="s">
        <v>1278</v>
      </c>
    </row>
    <row r="12" spans="1:4" ht="30" customHeight="1">
      <c r="A12" s="3201" t="s">
        <v>2745</v>
      </c>
      <c r="B12" s="3202"/>
      <c r="C12" s="3202"/>
      <c r="D12" s="3202"/>
    </row>
    <row r="13" spans="1:4" ht="15.5">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2"/>
      <c r="C13" s="3202"/>
      <c r="D13" s="3202"/>
    </row>
    <row r="14" spans="1:4" ht="30" customHeight="1">
      <c r="A14" s="3201" t="str">
        <f>IF(项目基本情况!D4="抵押","3.抵押双方在办理抵押登记手续时，应使用本公司出具的正式《不动产估价报告书》，特提醒报告使用者注意。","——")</f>
        <v>——</v>
      </c>
      <c r="B14" s="3202"/>
      <c r="C14" s="3202"/>
      <c r="D14" s="3202"/>
    </row>
    <row r="15" spans="1:4" ht="15.75" customHeight="1">
      <c r="A15" s="3201" t="str">
        <f>IF(项目基本情况!D4="抵押","4.本次评估估价师所知悉的法定优先受偿款情况说明如下：","——")</f>
        <v>——</v>
      </c>
      <c r="B15" s="3202"/>
      <c r="C15" s="3202"/>
      <c r="D15" s="3202"/>
    </row>
    <row r="16" spans="1:4" ht="75" customHeight="1">
      <c r="A16" s="3201" t="str">
        <f>IF(项目基本情况!D4="抵押",CONCATENATE(项目基本情况!J13,项目基本情况!J14,项目基本情况!J15),"——")</f>
        <v>——</v>
      </c>
      <c r="B16" s="3201"/>
      <c r="C16" s="3201"/>
      <c r="D16" s="3201"/>
    </row>
    <row r="17" spans="1:4" ht="63.75" customHeight="1">
      <c r="A17" s="3203" t="s">
        <v>1284</v>
      </c>
      <c r="B17" s="3203"/>
      <c r="C17" s="3203"/>
      <c r="D17" s="3203"/>
    </row>
    <row r="18" spans="1:4" ht="15.75" customHeight="1">
      <c r="A18" s="3201" t="str">
        <f>IF(项目基本情况!D4="抵押",结果表!L106,"——")</f>
        <v>——</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5">
      <c r="A20" s="3203" t="s">
        <v>2746</v>
      </c>
      <c r="B20" s="3203"/>
      <c r="C20" s="3203"/>
      <c r="D20" s="3203"/>
    </row>
    <row r="21" spans="1:4">
      <c r="A21" s="1397"/>
      <c r="B21" s="980"/>
      <c r="C21" s="980"/>
      <c r="D21" s="980"/>
    </row>
    <row r="22" spans="1:4">
      <c r="A22" s="1397"/>
      <c r="B22" s="980"/>
      <c r="C22" s="980"/>
      <c r="D22" s="980"/>
    </row>
    <row r="23" spans="1:4" ht="17.5">
      <c r="A23" s="1358" t="s">
        <v>1279</v>
      </c>
    </row>
    <row r="24" spans="1:4" ht="17.5">
      <c r="A24" s="1358"/>
    </row>
    <row r="25" spans="1:4" ht="1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53125" defaultRowHeight="15.5"/>
  <cols>
    <col min="1" max="1" width="14.453125" style="1406" customWidth="1"/>
    <col min="2" max="16384" width="14.453125" style="605"/>
  </cols>
  <sheetData>
    <row r="1" spans="1:7" s="1387" customFormat="1" ht="18">
      <c r="A1" s="603" t="s">
        <v>1351</v>
      </c>
    </row>
    <row r="3" spans="1:7" ht="15">
      <c r="A3" s="1404" t="s">
        <v>1352</v>
      </c>
      <c r="B3" s="605" t="s">
        <v>1353</v>
      </c>
      <c r="G3" s="1405"/>
    </row>
    <row r="4" spans="1:7">
      <c r="G4" s="1405"/>
    </row>
    <row r="5" spans="1:7" ht="15">
      <c r="A5" s="1407" t="s">
        <v>1354</v>
      </c>
      <c r="B5" s="605" t="s">
        <v>1355</v>
      </c>
      <c r="G5" s="1405"/>
    </row>
    <row r="6" spans="1:7">
      <c r="G6" s="1405"/>
    </row>
    <row r="7" spans="1:7" ht="1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
      <c r="A15" s="3209" t="s">
        <v>1363</v>
      </c>
      <c r="B15" s="3204" t="s">
        <v>1364</v>
      </c>
      <c r="C15" s="3205"/>
    </row>
    <row r="16" spans="1:7" ht="14">
      <c r="A16" s="3210"/>
      <c r="B16" s="3204" t="s">
        <v>1365</v>
      </c>
      <c r="C16" s="3205"/>
    </row>
    <row r="17" spans="1:3" ht="14">
      <c r="A17" s="3210"/>
      <c r="B17" s="3204" t="s">
        <v>1366</v>
      </c>
      <c r="C17" s="3205"/>
    </row>
    <row r="18" spans="1:3" ht="14">
      <c r="A18" s="3211"/>
      <c r="B18" s="3206" t="s">
        <v>1367</v>
      </c>
      <c r="C18" s="3205"/>
    </row>
    <row r="19" spans="1:3" ht="14">
      <c r="A19" s="1412" t="s">
        <v>1368</v>
      </c>
      <c r="B19" s="1413"/>
      <c r="C19" s="1414"/>
    </row>
    <row r="20" spans="1:3" ht="14">
      <c r="A20" s="3207" t="s">
        <v>1369</v>
      </c>
      <c r="B20" s="3206" t="s">
        <v>1370</v>
      </c>
      <c r="C20" s="3205"/>
    </row>
    <row r="21" spans="1:3" ht="14">
      <c r="A21" s="3207"/>
      <c r="B21" s="3206" t="s">
        <v>1371</v>
      </c>
      <c r="C21" s="3205"/>
    </row>
    <row r="22" spans="1:3" ht="14">
      <c r="A22" s="3207"/>
      <c r="B22" s="3206" t="s">
        <v>1372</v>
      </c>
      <c r="C22" s="3205"/>
    </row>
    <row r="23" spans="1:3" ht="14">
      <c r="A23" s="3207"/>
      <c r="B23" s="3208" t="s">
        <v>1373</v>
      </c>
      <c r="C23" s="1415" t="s">
        <v>1374</v>
      </c>
    </row>
    <row r="24" spans="1:3" ht="14">
      <c r="A24" s="3207"/>
      <c r="B24" s="3208"/>
      <c r="C24" s="1415" t="s">
        <v>1375</v>
      </c>
    </row>
    <row r="25" spans="1:3" ht="14">
      <c r="A25" s="3207"/>
      <c r="B25" s="3208"/>
      <c r="C25" s="1415" t="s">
        <v>1376</v>
      </c>
    </row>
    <row r="26" spans="1:3" ht="14">
      <c r="A26" s="3207"/>
      <c r="B26" s="3208"/>
      <c r="C26" s="1415" t="s">
        <v>1377</v>
      </c>
    </row>
    <row r="27" spans="1:3" ht="14">
      <c r="A27" s="3207"/>
      <c r="B27" s="3208"/>
      <c r="C27" s="1415" t="s">
        <v>1378</v>
      </c>
    </row>
    <row r="28" spans="1:3" ht="14">
      <c r="A28" s="3207"/>
      <c r="B28" s="3208"/>
      <c r="C28" s="1415" t="s">
        <v>1379</v>
      </c>
    </row>
    <row r="29" spans="1:3" ht="14">
      <c r="A29" s="3207"/>
      <c r="B29" s="3208"/>
      <c r="C29" s="1415" t="s">
        <v>1380</v>
      </c>
    </row>
    <row r="30" spans="1:3" ht="14">
      <c r="A30" s="3207"/>
      <c r="B30" s="3208"/>
      <c r="C30" s="1415" t="s">
        <v>1381</v>
      </c>
    </row>
    <row r="31" spans="1:3" ht="14">
      <c r="A31" s="3207"/>
      <c r="B31" s="320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sqref="A1:XFD1048576"/>
    </sheetView>
  </sheetViews>
  <sheetFormatPr defaultColWidth="22.6328125" defaultRowHeight="24" customHeight="1"/>
  <cols>
    <col min="1" max="1" width="24.6328125" style="3062" customWidth="1"/>
    <col min="2" max="2" width="38.6328125" style="3062" customWidth="1"/>
    <col min="3" max="3" width="26" style="3062" customWidth="1"/>
    <col min="4" max="4" width="35" style="3062" hidden="1" customWidth="1"/>
    <col min="5" max="5" width="30.08984375" style="3062" customWidth="1"/>
    <col min="6" max="6" width="35.453125" style="3062" customWidth="1"/>
    <col min="7" max="7" width="31" style="3062" customWidth="1"/>
    <col min="8" max="8" width="37.453125" style="3062" hidden="1" customWidth="1"/>
    <col min="9" max="16384" width="22.6328125" style="3062"/>
  </cols>
  <sheetData>
    <row r="1" spans="1:8" ht="24" customHeight="1">
      <c r="A1" s="3065"/>
      <c r="B1" s="3065"/>
      <c r="C1" s="3065"/>
      <c r="D1" s="3065"/>
      <c r="E1" s="3065"/>
      <c r="F1" s="3065"/>
      <c r="G1" s="3065"/>
      <c r="H1" s="3065"/>
    </row>
    <row r="2" spans="1:8" ht="24" customHeight="1">
      <c r="A2" s="3066" t="s">
        <v>746</v>
      </c>
      <c r="B2" s="3067">
        <f ca="1">TODAY()</f>
        <v>44270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2720</v>
      </c>
      <c r="B12" s="1301">
        <f ca="1">IF(C12&lt;B2,"已过期",1120040230)</f>
        <v>1120040230</v>
      </c>
      <c r="C12" s="3075">
        <v>44864</v>
      </c>
      <c r="D12" s="3083" t="str">
        <f t="shared" ca="1" si="0"/>
        <v>苏海（注册号：1120040230）</v>
      </c>
      <c r="E12" s="3085" t="s">
        <v>2720</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2738</v>
      </c>
      <c r="B14" s="1301">
        <f ca="1">IF(C14&lt;B2,"已过期",1119980106)</f>
        <v>1119980106</v>
      </c>
      <c r="C14" s="3075">
        <v>44969</v>
      </c>
      <c r="D14" s="3083" t="str">
        <f t="shared" ca="1" si="0"/>
        <v>刘俊财（注册号：1119980106）</v>
      </c>
      <c r="E14" s="3085" t="s">
        <v>2838</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2842</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12" t="s">
        <v>762</v>
      </c>
      <c r="B17" s="3212"/>
      <c r="C17" s="3212"/>
      <c r="D17" s="3212"/>
      <c r="E17" s="3212"/>
      <c r="F17" s="3212"/>
      <c r="G17" s="3212"/>
      <c r="H17" s="3212"/>
    </row>
    <row r="18" spans="1:8" ht="24" customHeight="1">
      <c r="A18" s="3213" t="s">
        <v>763</v>
      </c>
      <c r="B18" s="3213"/>
      <c r="C18" s="3213"/>
      <c r="D18" s="3071"/>
      <c r="E18" s="3214" t="s">
        <v>764</v>
      </c>
      <c r="F18" s="3213"/>
      <c r="G18" s="3213"/>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2839</v>
      </c>
      <c r="B20" s="3078" t="s">
        <v>2840</v>
      </c>
      <c r="C20" s="3073">
        <v>44820</v>
      </c>
      <c r="D20" s="3086"/>
      <c r="E20" s="3088" t="s">
        <v>768</v>
      </c>
      <c r="F20" s="3078" t="s">
        <v>769</v>
      </c>
      <c r="G20" s="3079">
        <v>44377</v>
      </c>
    </row>
    <row r="21" spans="1:8" s="3061" customFormat="1" ht="24" customHeight="1">
      <c r="A21" s="3078"/>
      <c r="B21" s="3078"/>
      <c r="C21" s="3080"/>
      <c r="D21" s="3087"/>
      <c r="E21" s="3088" t="s">
        <v>770</v>
      </c>
      <c r="F21" s="3081" t="s">
        <v>2737</v>
      </c>
      <c r="G21" s="3082">
        <v>44012</v>
      </c>
    </row>
    <row r="22" spans="1:8" ht="24" customHeight="1">
      <c r="C22" s="3064"/>
      <c r="D22" s="3064"/>
      <c r="E22" s="3089"/>
      <c r="F22" s="3090"/>
      <c r="G22" s="3091"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
  <cols>
    <col min="1" max="1" width="14" style="606" customWidth="1"/>
    <col min="2" max="2" width="22.453125" style="605" customWidth="1"/>
    <col min="3" max="3" width="13" style="9" hidden="1" customWidth="1"/>
    <col min="4" max="4" width="5.7265625" style="7" hidden="1" customWidth="1"/>
    <col min="5" max="5" width="7.08984375" style="7" hidden="1" customWidth="1"/>
    <col min="6" max="6" width="10.6328125" style="7" hidden="1" customWidth="1"/>
    <col min="7" max="7" width="7.453125" style="7" hidden="1" customWidth="1"/>
    <col min="8" max="8" width="9" style="9" hidden="1" customWidth="1"/>
    <col min="9" max="9" width="11.6328125" style="9" hidden="1" customWidth="1"/>
    <col min="10" max="10" width="9" style="9" hidden="1" customWidth="1"/>
    <col min="11" max="19" width="9" style="7" hidden="1" customWidth="1"/>
    <col min="20" max="24" width="9" style="9" hidden="1" customWidth="1"/>
    <col min="25" max="25" width="9" style="9" customWidth="1"/>
    <col min="26" max="26" width="15.90625" style="605" customWidth="1"/>
    <col min="27" max="16384" width="9" style="605"/>
  </cols>
  <sheetData>
    <row r="1" spans="1:25" s="604" customFormat="1" ht="2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本次估价的“房地产价值”是指在正常市场情况下，在价值时点2020年8月19日，估价对象规划用途为，假定未设立法定优先受偿款下的房地产市场价值。</v>
      </c>
    </row>
    <row r="54" spans="1:4">
      <c r="A54" s="3215"/>
      <c r="B54" s="9" t="s">
        <v>1519</v>
      </c>
      <c r="C54" s="9" t="s">
        <v>1520</v>
      </c>
    </row>
    <row r="55" spans="1:4">
      <c r="A55" s="3215"/>
      <c r="B55" s="9" t="s">
        <v>1521</v>
      </c>
      <c r="C55" s="9" t="s">
        <v>1522</v>
      </c>
    </row>
    <row r="56" spans="1:4">
      <c r="A56" s="3215"/>
      <c r="B56" s="9" t="s">
        <v>1523</v>
      </c>
      <c r="C56" s="9" t="s">
        <v>1524</v>
      </c>
    </row>
    <row r="57" spans="1:4">
      <c r="A57" s="321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假设开发法</vt:lpstr>
      <vt:lpstr>酒店收入计算</vt:lpstr>
      <vt:lpstr>典型户型修正</vt:lpstr>
      <vt:lpstr>比较法-住宅</vt:lpstr>
      <vt:lpstr>比较法案例</vt:lpstr>
      <vt:lpstr>比较法-商业</vt:lpstr>
      <vt:lpstr>比较法-办公</vt:lpstr>
      <vt:lpstr>比较法-工业</vt:lpstr>
      <vt:lpstr>比较法-车位</vt:lpstr>
      <vt:lpstr>比较法-仓储</vt:lpstr>
      <vt:lpstr>土地比较法-住宅、综合</vt:lpstr>
      <vt:lpstr>土地比较法-工业</vt:lpstr>
      <vt:lpstr>出租案例</vt:lpstr>
      <vt:lpstr>基准地价修正</vt:lpstr>
      <vt:lpstr>成本法</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kongmingzhi</cp:lastModifiedBy>
  <cp:lastPrinted>2020-08-03T08:20:51Z</cp:lastPrinted>
  <dcterms:created xsi:type="dcterms:W3CDTF">2015-07-13T07:17:23Z</dcterms:created>
  <dcterms:modified xsi:type="dcterms:W3CDTF">2021-03-15T09:28:59Z</dcterms:modified>
</cp:coreProperties>
</file>