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176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 i="33" l="1"/>
  <c r="D3" i="4" l="1"/>
  <c r="B14" i="74" l="1"/>
  <c r="C33" i="33" l="1"/>
  <c r="D104" i="33"/>
  <c r="E104" i="33" s="1"/>
  <c r="F104" i="33" s="1"/>
  <c r="G104" i="33" s="1"/>
  <c r="H104" i="33" s="1"/>
  <c r="I104" i="33" s="1"/>
  <c r="J104" i="33" s="1"/>
  <c r="D103" i="33"/>
  <c r="E103" i="33" s="1"/>
  <c r="F103" i="33" s="1"/>
  <c r="G103" i="33" s="1"/>
  <c r="H103" i="33" s="1"/>
  <c r="I103" i="33" s="1"/>
  <c r="J103" i="33" s="1"/>
  <c r="D33" i="43" l="1"/>
  <c r="Y6" i="1" l="1"/>
  <c r="N18"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25" i="3"/>
  <c r="E242" i="3"/>
  <c r="E258" i="3"/>
  <c r="E281" i="3"/>
  <c r="E226" i="3"/>
  <c r="E241" i="3"/>
  <c r="E243" i="3"/>
  <c r="E276" i="3"/>
  <c r="E292" i="3"/>
  <c r="E332" i="3"/>
  <c r="E346" i="3"/>
  <c r="E363" i="3"/>
  <c r="E391" i="3"/>
  <c r="E333" i="3"/>
  <c r="E349" i="3"/>
  <c r="E356" i="3"/>
  <c r="E372" i="3"/>
  <c r="E389" i="3"/>
  <c r="AL6" i="3"/>
  <c r="L6" i="3"/>
  <c r="E544" i="3"/>
  <c r="E42" i="3"/>
  <c r="E60" i="3"/>
  <c r="E76" i="3"/>
  <c r="E94" i="3"/>
  <c r="E43" i="3"/>
  <c r="E59" i="3"/>
  <c r="E75" i="3"/>
  <c r="E540" i="3"/>
  <c r="E409" i="3"/>
  <c r="E428" i="3"/>
  <c r="E473" i="3"/>
  <c r="E484" i="3"/>
  <c r="E482" i="3"/>
  <c r="E15" i="3"/>
  <c r="E425" i="3"/>
  <c r="E412" i="3"/>
  <c r="E455" i="3"/>
  <c r="E467" i="3"/>
  <c r="E18" i="3"/>
  <c r="E79" i="3"/>
  <c r="E64" i="3"/>
  <c r="E96" i="3"/>
  <c r="E38" i="3"/>
  <c r="E46" i="3"/>
  <c r="E78" i="3"/>
  <c r="E100" i="3"/>
  <c r="E103" i="3"/>
  <c r="E129" i="3"/>
  <c r="E170" i="3"/>
  <c r="E160" i="3"/>
  <c r="E190" i="3"/>
  <c r="E137" i="3"/>
  <c r="E142" i="3"/>
  <c r="E174" i="3"/>
  <c r="E194" i="3"/>
  <c r="E200" i="3"/>
  <c r="E220" i="3"/>
  <c r="E234" i="3"/>
  <c r="E267" i="3"/>
  <c r="E275" i="3"/>
  <c r="E219" i="3"/>
  <c r="E249" i="3"/>
  <c r="E235" i="3"/>
  <c r="E299" i="3"/>
  <c r="E300" i="3"/>
  <c r="E324" i="3"/>
  <c r="E339" i="3"/>
  <c r="E371" i="3"/>
  <c r="E383" i="3"/>
  <c r="E325" i="3"/>
  <c r="E310" i="3"/>
  <c r="E342" i="3"/>
  <c r="E392" i="3"/>
  <c r="E492" i="3"/>
  <c r="E522" i="3"/>
  <c r="AQ6" i="3"/>
  <c r="E23" i="3"/>
  <c r="E35" i="3"/>
  <c r="E52" i="3"/>
  <c r="E84" i="3"/>
  <c r="E86" i="3"/>
  <c r="E36" i="3"/>
  <c r="E67" i="3"/>
  <c r="E34" i="3"/>
  <c r="E112" i="3"/>
  <c r="E33" i="3"/>
  <c r="E49" i="3"/>
  <c r="E123" i="3"/>
  <c r="E144" i="3"/>
  <c r="E206" i="3"/>
  <c r="E147" i="3"/>
  <c r="E184" i="3"/>
  <c r="E232" i="3"/>
  <c r="E289" i="3"/>
  <c r="E233" i="3"/>
  <c r="E251" i="3"/>
  <c r="E340" i="3"/>
  <c r="E355" i="3"/>
  <c r="E370" i="3"/>
  <c r="E364" i="3"/>
  <c r="E381" i="3"/>
  <c r="AF6" i="3"/>
  <c r="E50" i="3"/>
  <c r="E68" i="3"/>
  <c r="E102" i="3"/>
  <c r="E20" i="3"/>
  <c r="E63" i="3"/>
  <c r="E80" i="3"/>
  <c r="E62" i="3"/>
  <c r="E81" i="3"/>
  <c r="E113" i="3"/>
  <c r="E176" i="3"/>
  <c r="E118" i="3"/>
  <c r="E158" i="3"/>
  <c r="E218" i="3"/>
  <c r="E264" i="3"/>
  <c r="E287" i="3"/>
  <c r="E265" i="3"/>
  <c r="E283" i="3"/>
  <c r="E308" i="3"/>
  <c r="E365" i="3"/>
  <c r="E309" i="3"/>
  <c r="E326" i="3"/>
  <c r="E524" i="3"/>
  <c r="E513" i="3"/>
  <c r="E2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7" i="73"/>
  <c r="E11" i="76"/>
  <c r="C76" i="15"/>
  <c r="F26" i="15"/>
  <c r="B11" i="76"/>
  <c r="M9" i="15"/>
  <c r="F13" i="67"/>
  <c r="D6" i="73"/>
  <c r="M6" i="15"/>
  <c r="E13" i="76"/>
  <c r="F43" i="15"/>
  <c r="D4" i="73"/>
  <c r="B7" i="76"/>
  <c r="E7" i="76"/>
  <c r="F9" i="15"/>
  <c r="L48" i="67"/>
  <c r="C76" i="67"/>
  <c r="F16" i="15"/>
  <c r="M26" i="15"/>
  <c r="F6" i="73"/>
  <c r="M23" i="15"/>
  <c r="F38" i="15"/>
  <c r="M6" i="67"/>
  <c r="F40" i="15"/>
  <c r="B8" i="76"/>
  <c r="F4" i="73"/>
  <c r="F37" i="67"/>
  <c r="M24" i="15"/>
  <c r="E9" i="76"/>
  <c r="M8" i="15"/>
  <c r="F26" i="67"/>
  <c r="AO13" i="1"/>
  <c r="F3" i="73"/>
  <c r="M23" i="67"/>
  <c r="M28" i="15"/>
  <c r="F8" i="67"/>
  <c r="B10" i="76"/>
  <c r="F37" i="15"/>
  <c r="E2" i="68"/>
  <c r="M28" i="67"/>
  <c r="F9" i="67"/>
  <c r="F42" i="15"/>
  <c r="D5" i="73"/>
  <c r="F7" i="67"/>
  <c r="F20" i="31"/>
  <c r="F6" i="67"/>
  <c r="M29" i="67"/>
  <c r="F6" i="15"/>
  <c r="D7" i="73"/>
  <c r="F13" i="15"/>
  <c r="M29" i="15"/>
  <c r="E2" i="69"/>
  <c r="M9" i="67"/>
  <c r="L47" i="67"/>
  <c r="M24" i="67"/>
  <c r="M22" i="15"/>
  <c r="F42" i="67"/>
  <c r="J15" i="15"/>
  <c r="F40" i="67"/>
  <c r="F8" i="15"/>
  <c r="M8" i="67"/>
  <c r="B13" i="76"/>
  <c r="D3" i="73"/>
  <c r="E8" i="76"/>
  <c r="L47" i="15"/>
  <c r="E12" i="76"/>
  <c r="F7" i="15"/>
  <c r="E10" i="76"/>
  <c r="F16" i="67"/>
  <c r="J15" i="67"/>
  <c r="M22" i="67"/>
  <c r="M26" i="67"/>
  <c r="F36" i="67"/>
  <c r="B9" i="76"/>
  <c r="F38" i="67"/>
  <c r="F43" i="67"/>
  <c r="F5" i="73"/>
  <c r="B12" i="76"/>
  <c r="C18" i="9" l="1"/>
  <c r="D18" i="9" s="1"/>
  <c r="G6" i="1"/>
  <c r="I24" i="43"/>
  <c r="F7" i="1"/>
  <c r="F41" i="67"/>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S33"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L48" i="15"/>
  <c r="C16" i="15"/>
  <c r="I54" i="15" l="1"/>
  <c r="J53" i="15"/>
  <c r="L56" i="15" s="1"/>
  <c r="L58" i="15"/>
  <c r="Q73" i="15" s="1"/>
  <c r="J57" i="15"/>
  <c r="J55" i="15" s="1"/>
  <c r="J58" i="15" s="1"/>
  <c r="Q50" i="15" s="1"/>
  <c r="G7" i="1"/>
  <c r="G16" i="1" s="1"/>
  <c r="F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Q60" i="15" l="1"/>
  <c r="Q52" i="15"/>
  <c r="F1" i="15"/>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D2" i="37"/>
  <c r="C19" i="9"/>
  <c r="D2" i="36"/>
  <c r="D19" i="9"/>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8" i="1"/>
  <c r="AO11" i="1"/>
  <c r="AO9" i="1"/>
  <c r="AO6" i="1"/>
  <c r="D20" i="9"/>
  <c r="AO7" i="1"/>
  <c r="AO10" i="1"/>
  <c r="AO12" i="1"/>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H107" i="9"/>
  <c r="H108" i="9" s="1"/>
  <c r="C104" i="9"/>
  <c r="D7" i="53"/>
  <c r="B21" i="72" s="1"/>
  <c r="D118" i="9"/>
  <c r="E4" i="52"/>
  <c r="B48" i="72" s="1"/>
  <c r="C85" i="9" l="1"/>
  <c r="C78" i="9"/>
  <c r="C73" i="9" s="1"/>
  <c r="C79" i="9" s="1"/>
  <c r="D55" i="9"/>
  <c r="M53" i="9" s="1"/>
  <c r="C64" i="9"/>
  <c r="C63" i="9" s="1"/>
  <c r="C67" i="9" s="1"/>
  <c r="C68" i="9" s="1"/>
  <c r="D54" i="9" s="1"/>
  <c r="C93" i="9"/>
  <c r="C86" i="9" s="1"/>
  <c r="D53" i="9"/>
  <c r="D5" i="53"/>
  <c r="D6" i="53" s="1"/>
  <c r="B22" i="72" s="1"/>
  <c r="D52" i="9"/>
  <c r="M48" i="9"/>
  <c r="F14" i="74"/>
  <c r="B5" i="74"/>
  <c r="D13" i="53"/>
  <c r="D14" i="53" s="1"/>
  <c r="B32" i="72" s="1"/>
  <c r="M49" i="9"/>
  <c r="L65" i="9" s="1"/>
  <c r="M65" i="9" s="1"/>
  <c r="D122" i="9"/>
  <c r="D59" i="9"/>
  <c r="M55" i="9" s="1"/>
  <c r="D15" i="53"/>
  <c r="B31" i="72" s="1"/>
  <c r="D119" i="9"/>
  <c r="D5" i="52" s="1"/>
  <c r="B49" i="72" s="1"/>
  <c r="D4" i="52"/>
  <c r="B47" i="72" s="1"/>
  <c r="C95" i="9" l="1"/>
  <c r="C96" i="9" s="1"/>
  <c r="E96" i="9" s="1"/>
  <c r="E97" i="9" s="1"/>
  <c r="B20" i="72"/>
  <c r="B30" i="72"/>
  <c r="D123" i="9"/>
  <c r="D9" i="52" s="1"/>
  <c r="G14" i="74"/>
  <c r="B6" i="74" s="1"/>
  <c r="D5" i="74"/>
  <c r="C5" i="74"/>
  <c r="L66" i="9"/>
  <c r="M66" i="9" s="1"/>
  <c r="L67" i="9"/>
  <c r="M67" i="9" s="1"/>
  <c r="L64" i="9"/>
  <c r="M64" i="9" s="1"/>
  <c r="D8" i="52"/>
  <c r="L63" i="9"/>
  <c r="M63" i="9" s="1"/>
  <c r="L68" i="9"/>
  <c r="M68" i="9" s="1"/>
  <c r="C80" i="9"/>
  <c r="E80" i="9" s="1"/>
  <c r="E81" i="9" s="1"/>
  <c r="C97" i="9"/>
  <c r="D58" i="9" s="1"/>
  <c r="D56" i="9" s="1"/>
  <c r="M54" i="9" s="1"/>
  <c r="N57" i="9" s="1"/>
  <c r="D6" i="74" l="1"/>
  <c r="C6" i="74"/>
  <c r="M69" i="9"/>
  <c r="N69" i="9" s="1"/>
  <c r="P57" i="9"/>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<sst xmlns="http://schemas.openxmlformats.org/spreadsheetml/2006/main" count="7920" uniqueCount="3467">
  <si>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</si>
  <si>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</si>
  <si>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</si>
  <si>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</si>
  <si>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</si>
  <si>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</si>
  <si>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</si>
  <si>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</si>
  <si>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</si>
  <si>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</si>
  <si>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</si>
  <si>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</si>
  <si>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</si>
  <si>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</si>
  <si>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</si>
  <si>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</si>
  <si>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</si>
  <si>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</si>
  <si>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</si>
  <si>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</si>
  <si>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</si>
  <si>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</si>
  <si>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</si>
  <si>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</si>
  <si>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</si>
  <si>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</si>
  <si>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</si>
  <si>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</si>
  <si>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</si>
  <si>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</si>
  <si>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</si>
  <si>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</si>
  <si>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</si>
  <si>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</si>
  <si>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</si>
  <si>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</si>
  <si>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</si>
  <si>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</si>
  <si>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</si>
  <si>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</si>
  <si>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</si>
  <si>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</si>
  <si>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</si>
  <si>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</si>
  <si>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</si>
  <si>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</si>
  <si>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</si>
  <si>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</si>
  <si>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</si>
  <si>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</si>
  <si>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</si>
  <si>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</si>
  <si>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</si>
  <si>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</si>
  <si>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</si>
  <si>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</si>
  <si>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</si>
  <si>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</si>
  <si>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</si>
  <si>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</si>
  <si>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</si>
  <si>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</si>
  <si>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</si>
  <si>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</si>
  <si>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</si>
  <si>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</si>
  <si>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</si>
  <si>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</si>
  <si>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</si>
  <si>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</si>
  <si>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</si>
  <si>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</si>
  <si>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</si>
  <si>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</si>
  <si>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</si>
  <si>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</si>
  <si>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</si>
  <si>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</si>
  <si>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</si>
  <si>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</si>
  <si>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</si>
  <si>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</si>
  <si>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</si>
  <si>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</si>
  <si>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</si>
  <si>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</si>
  <si>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</si>
  <si>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</si>
  <si>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</si>
  <si>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</si>
  <si>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</si>
  <si>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</si>
  <si>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</si>
  <si>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</si>
  <si>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</si>
  <si>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</si>
  <si>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</si>
  <si>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</si>
  <si>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</si>
  <si>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</si>
  <si>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</si>
  <si>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</si>
  <si>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</si>
  <si>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</si>
  <si>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</si>
  <si>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</si>
  <si>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</si>
  <si>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</si>
  <si>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</si>
  <si>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</si>
  <si>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</si>
  <si>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</si>
  <si>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</si>
  <si>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</si>
  <si>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</si>
  <si>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</si>
  <si>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</si>
  <si>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</si>
  <si>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</si>
  <si>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</si>
  <si>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</si>
  <si>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</si>
  <si>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</si>
  <si>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</si>
  <si>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</si>
  <si>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</si>
  <si>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</si>
  <si>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</si>
  <si>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</si>
  <si>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</si>
  <si>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</si>
  <si>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</si>
  <si>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</si>
  <si>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</si>
  <si>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</si>
  <si>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</si>
  <si>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</si>
  <si>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</si>
  <si>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</si>
  <si>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</si>
  <si>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</si>
  <si>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</si>
  <si>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</si>
  <si>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</si>
  <si>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</si>
  <si>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</si>
  <si>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</si>
  <si>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</si>
  <si>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</si>
  <si>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</si>
  <si>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</si>
  <si>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</si>
  <si>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</si>
  <si>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</si>
  <si>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</si>
  <si>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</si>
  <si>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</si>
  <si>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</si>
  <si>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</si>
  <si>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</si>
  <si>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</si>
  <si>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</si>
  <si>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</si>
  <si>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</si>
  <si>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</si>
  <si>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</si>
  <si>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</si>
  <si>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</si>
  <si>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</si>
  <si>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</si>
  <si>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</si>
  <si>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</si>
  <si>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</si>
  <si>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</si>
  <si>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</si>
  <si>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</si>
  <si>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</si>
  <si>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</si>
  <si>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</si>
  <si>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</si>
  <si>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</si>
  <si>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</si>
  <si>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</si>
  <si>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</si>
  <si>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</si>
  <si>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</si>
  <si>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</si>
  <si>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</si>
  <si>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</si>
  <si>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</si>
  <si>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</si>
  <si>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</si>
  <si>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</si>
  <si>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</si>
  <si>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</si>
  <si>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</si>
  <si>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</si>
  <si>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</si>
  <si>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</si>
  <si>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</si>
  <si>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</si>
  <si>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</si>
  <si>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</si>
  <si>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</si>
  <si>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</si>
  <si>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</si>
  <si>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</si>
  <si>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</si>
  <si>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</si>
  <si>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</si>
  <si>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</si>
  <si>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</si>
  <si>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</si>
  <si>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</si>
  <si>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</si>
  <si>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</si>
  <si>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</si>
  <si>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</si>
  <si>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</si>
  <si>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</si>
  <si>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</si>
  <si>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</si>
  <si>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</si>
  <si>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</si>
  <si>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</si>
  <si>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</si>
  <si>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</si>
  <si>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</si>
  <si>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</si>
  <si>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</si>
  <si>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</si>
  <si>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</si>
  <si>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</si>
  <si>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</si>
  <si>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</si>
  <si>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</si>
  <si>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</si>
  <si>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</si>
  <si>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</si>
  <si>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</si>
  <si>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</si>
  <si>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</si>
  <si>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</si>
  <si>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</si>
  <si>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</si>
  <si>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</si>
  <si>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</si>
  <si>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</si>
  <si>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</si>
  <si>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</si>
  <si>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</si>
  <si>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</si>
  <si>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</si>
  <si>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</si>
  <si>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</si>
  <si>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</si>
  <si>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</si>
  <si>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</si>
  <si>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</si>
  <si>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</si>
  <si>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</si>
  <si>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</si>
  <si>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</si>
  <si>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</si>
  <si>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</si>
  <si>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</si>
  <si>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</si>
  <si>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</si>
  <si>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</si>
  <si>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</si>
  <si>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</si>
  <si>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</si>
  <si>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</si>
  <si>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</si>
  <si>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</si>
  <si>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</si>
  <si>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</si>
  <si>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</si>
  <si>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</si>
  <si>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</si>
  <si>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</si>
  <si>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</si>
  <si>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</si>
  <si>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</si>
  <si>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</si>
  <si>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</si>
  <si>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</si>
  <si>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</si>
  <si>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</si>
  <si>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</si>
  <si>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</si>
  <si>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</si>
  <si>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</si>
  <si>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</si>
  <si>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</si>
  <si>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</si>
  <si>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</si>
  <si>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</si>
  <si>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</si>
  <si>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</si>
  <si>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</si>
  <si>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</si>
  <si>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</si>
  <si>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</si>
  <si>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</si>
  <si>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</si>
  <si>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</si>
  <si>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</si>
  <si>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</si>
  <si>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</si>
  <si>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</si>
  <si>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</si>
  <si>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</si>
  <si>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</si>
  <si>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</si>
  <si>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</si>
  <si>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</si>
  <si>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</si>
  <si>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</si>
  <si>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</si>
  <si>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</si>
  <si>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</si>
  <si>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</si>
  <si>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</si>
  <si>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</si>
  <si>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</si>
  <si>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</si>
  <si>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</si>
  <si>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</si>
  <si>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</si>
  <si>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</si>
  <si>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</si>
  <si>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</si>
  <si>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</si>
  <si>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</si>
  <si>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</si>
  <si>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</si>
  <si>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</si>
  <si>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</si>
  <si>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</si>
  <si>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</si>
  <si>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</si>
  <si>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</si>
  <si>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</si>
  <si>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</si>
  <si>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</si>
  <si>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</si>
  <si>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</si>
  <si>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</si>
  <si>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</si>
  <si>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</si>
  <si>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</si>
  <si>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</si>
  <si>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</si>
  <si>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</si>
  <si>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</si>
  <si>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</si>
  <si>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</si>
  <si>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</si>
  <si>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</si>
  <si>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</si>
  <si>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</si>
  <si>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</si>
  <si>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</si>
  <si>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</si>
  <si>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</si>
  <si>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</si>
  <si>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</si>
  <si>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</si>
  <si>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</si>
  <si>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</si>
  <si>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</si>
  <si>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</si>
  <si>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</si>
  <si>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</si>
  <si>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</si>
  <si>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</si>
  <si>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</si>
  <si>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</si>
  <si>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</si>
  <si>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</si>
  <si>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</si>
  <si>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</si>
  <si>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</si>
  <si>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</si>
  <si>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</si>
  <si>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</si>
  <si>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</si>
  <si>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</si>
  <si>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</si>
  <si>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</si>
  <si>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</si>
  <si>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</si>
  <si>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</si>
  <si>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</si>
  <si>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</si>
  <si>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</si>
  <si>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</si>
  <si>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</si>
  <si>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</si>
  <si>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</si>
  <si>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</si>
  <si>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</si>
  <si>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</si>
  <si>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</si>
  <si>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</si>
  <si>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</si>
  <si>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</si>
  <si>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</si>
  <si>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</si>
  <si>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</si>
  <si>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</si>
  <si>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</si>
  <si>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</si>
  <si>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</si>
  <si>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</si>
  <si>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</si>
  <si>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</si>
  <si>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</si>
  <si>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</si>
  <si>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</si>
  <si>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</si>
  <si>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</si>
  <si>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</si>
  <si>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</si>
  <si>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</si>
  <si>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</si>
  <si>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</si>
  <si>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</si>
  <si>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</si>
  <si>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</si>
  <si>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</si>
  <si>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</si>
  <si>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</si>
  <si>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</si>
  <si>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</si>
  <si>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</si>
  <si>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</si>
  <si>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</si>
  <si>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</si>
  <si>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</si>
  <si>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</si>
  <si>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</si>
  <si>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</si>
  <si>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</si>
  <si>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</si>
  <si>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</si>
  <si>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</si>
  <si>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</si>
  <si>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</si>
  <si>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</si>
  <si>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</si>
  <si>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</si>
  <si>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</si>
  <si>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</si>
  <si>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</si>
  <si>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</si>
  <si>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</si>
  <si>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</si>
  <si>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</si>
  <si>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</si>
  <si>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</si>
  <si>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</si>
  <si>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</si>
  <si>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</si>
  <si>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</si>
  <si>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</si>
  <si>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</si>
  <si>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</si>
  <si>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</si>
  <si>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</si>
  <si>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</si>
  <si>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</si>
  <si>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</si>
  <si>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</si>
  <si>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</si>
  <si>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</si>
  <si>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</si>
  <si>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</si>
  <si>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</si>
  <si>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</si>
  <si>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</si>
  <si>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</si>
  <si>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</si>
  <si>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</si>
  <si>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</si>
  <si>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</si>
  <si>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</si>
  <si>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</si>
  <si>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</si>
  <si>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</si>
  <si>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</si>
  <si>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</si>
  <si>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</si>
  <si>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</si>
  <si>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</si>
  <si>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</si>
  <si>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</si>
  <si>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</si>
  <si>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</si>
  <si>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</si>
  <si>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</si>
  <si>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</si>
  <si>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</si>
  <si>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</si>
  <si>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</si>
  <si>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</si>
  <si>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</si>
  <si>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</si>
  <si>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</si>
  <si>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</si>
  <si>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</si>
  <si>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</si>
  <si>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</si>
  <si>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</si>
  <si>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</si>
  <si>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</si>
  <si>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</si>
  <si>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</si>
  <si>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</si>
  <si>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</si>
  <si>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</si>
  <si>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</si>
  <si>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</si>
  <si>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</si>
  <si>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</si>
  <si>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</si>
  <si>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</si>
  <si>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</si>
  <si>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</si>
  <si>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</si>
  <si>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</si>
  <si>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</si>
  <si>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</si>
  <si>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</si>
  <si>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</si>
  <si>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</si>
  <si>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</si>
  <si>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</si>
  <si>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</si>
  <si>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</si>
  <si>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</si>
  <si>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</si>
  <si>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</si>
  <si>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</si>
  <si>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</si>
  <si>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</si>
  <si>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</si>
  <si>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</si>
  <si>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</si>
  <si>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</si>
  <si>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</si>
  <si>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</si>
  <si>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</si>
  <si>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</si>
  <si>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</si>
  <si>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</si>
  <si>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</si>
  <si>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</si>
  <si>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</si>
  <si>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</si>
  <si>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</si>
  <si>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</si>
  <si>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</si>
  <si>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</si>
  <si>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</si>
  <si>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</si>
  <si>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</si>
  <si>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</si>
  <si>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</si>
  <si>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</si>
  <si>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</si>
  <si>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</si>
  <si>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</si>
  <si>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</si>
  <si>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</si>
  <si>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</si>
  <si>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</si>
  <si>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</si>
  <si>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</si>
  <si>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</si>
  <si>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</si>
  <si>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</si>
  <si>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</si>
  <si>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</si>
  <si>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</si>
  <si>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</si>
  <si>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</si>
  <si>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</si>
  <si>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</si>
  <si>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</si>
  <si>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</si>
  <si>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</si>
  <si>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</si>
  <si>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</si>
  <si>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</si>
  <si>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</si>
  <si>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</si>
  <si>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</si>
  <si>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</si>
  <si>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</si>
  <si>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</si>
  <si>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</si>
  <si>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</si>
  <si>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</si>
  <si>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</si>
  <si>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</si>
  <si>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</si>
  <si>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</si>
  <si>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</si>
  <si>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</si>
  <si>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</si>
  <si>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</si>
  <si>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</si>
  <si>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</si>
  <si>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</si>
  <si>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</si>
  <si>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</si>
  <si>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</si>
  <si>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</si>
  <si>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</si>
  <si>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</si>
  <si>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</si>
  <si>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</si>
  <si>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</si>
  <si>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</si>
  <si>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</si>
  <si>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</si>
  <si>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</si>
  <si>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</si>
  <si>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</si>
  <si>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</si>
  <si>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</si>
  <si>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</si>
  <si>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</si>
  <si>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</si>
  <si>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</si>
  <si>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</si>
  <si>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</si>
  <si>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</si>
  <si>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</si>
  <si>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</si>
  <si>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</si>
  <si>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</si>
  <si>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</si>
  <si>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</si>
  <si>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</si>
  <si>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</si>
  <si>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</si>
  <si>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</si>
  <si>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</si>
  <si>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</si>
  <si>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</si>
  <si>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</si>
  <si>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</si>
  <si>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</si>
  <si>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</si>
  <si>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</si>
  <si>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</si>
  <si>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</si>
  <si>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</si>
  <si>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</si>
  <si>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</si>
  <si>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</si>
  <si>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</si>
  <si>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</si>
  <si>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</si>
  <si>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</si>
  <si>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</si>
  <si>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</si>
  <si>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</si>
  <si>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</si>
  <si>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</si>
  <si>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</si>
  <si>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</si>
  <si>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</si>
  <si>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</si>
  <si>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</si>
  <si>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</si>
  <si>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</si>
  <si>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</si>
  <si>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</si>
  <si>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</si>
  <si>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</si>
  <si>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</si>
  <si>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</si>
  <si>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</si>
  <si>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</si>
  <si>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</si>
  <si>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</si>
  <si>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</si>
  <si>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</si>
  <si>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</si>
  <si>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</si>
  <si>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</si>
  <si>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</si>
  <si>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</si>
  <si>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</si>
  <si>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</si>
  <si>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</si>
  <si>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</si>
  <si>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</si>
  <si>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</si>
  <si>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</si>
  <si>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</si>
  <si>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</si>
  <si>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</si>
  <si>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</si>
  <si>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</si>
  <si>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</si>
  <si>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</si>
  <si>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</si>
  <si>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</si>
  <si>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</si>
  <si>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</si>
  <si>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</si>
  <si>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</si>
  <si>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</si>
  <si>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</si>
  <si>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</si>
  <si>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</si>
  <si>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</si>
  <si>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</si>
  <si>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</si>
  <si>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</si>
  <si>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</si>
  <si>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</si>
  <si>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</si>
  <si>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</si>
  <si>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</si>
  <si>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</si>
  <si>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</si>
  <si>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</si>
  <si>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</si>
  <si>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</si>
  <si>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</si>
  <si>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</si>
  <si>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</si>
  <si>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</si>
  <si>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</si>
  <si>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</si>
  <si>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</si>
  <si>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</si>
  <si>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</si>
  <si>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</si>
  <si>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</si>
  <si>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</si>
  <si>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</si>
  <si>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</si>
  <si>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</si>
  <si>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</si>
  <si>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</si>
  <si>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</si>
  <si>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</si>
  <si>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</si>
  <si>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</si>
  <si>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</si>
  <si>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</si>
  <si>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</si>
  <si>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</si>
  <si>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</si>
  <si>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</si>
  <si>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</si>
  <si>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</si>
  <si>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</si>
  <si>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</si>
  <si>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</si>
  <si>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</si>
  <si>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</si>
  <si>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</si>
  <si>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</si>
  <si>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</si>
  <si>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</si>
  <si>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</si>
  <si>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</si>
  <si>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</si>
  <si>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</si>
  <si>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</si>
  <si>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</si>
  <si>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</si>
  <si>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</si>
  <si>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</si>
  <si>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</si>
  <si>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</si>
  <si>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</si>
  <si>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</si>
  <si>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</si>
  <si>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</si>
  <si>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</si>
  <si>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</si>
  <si>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</si>
  <si>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</si>
  <si>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</si>
  <si>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</si>
  <si>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</si>
  <si>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</si>
  <si>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</si>
  <si>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</si>
  <si>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</si>
  <si>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</si>
  <si>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</si>
  <si>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</si>
  <si>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</si>
  <si>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</si>
  <si>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</si>
  <si>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</si>
  <si>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</si>
  <si>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</si>
  <si>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</si>
  <si>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</si>
  <si>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</si>
  <si>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</si>
  <si>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</si>
  <si>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</si>
  <si>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</si>
  <si>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</si>
  <si>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</si>
  <si>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</si>
  <si>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</si>
  <si>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</si>
  <si>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</si>
  <si>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</si>
  <si>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</si>
  <si>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</si>
  <si>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</si>
  <si>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</si>
  <si>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</si>
  <si>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</si>
  <si>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</si>
  <si>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</si>
  <si>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</si>
  <si>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</si>
  <si>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</si>
  <si>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</si>
  <si>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</si>
  <si>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</si>
  <si>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</si>
  <si>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</si>
  <si>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</si>
  <si>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</si>
  <si>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</si>
  <si>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</si>
  <si>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</si>
  <si>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</si>
  <si>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</si>
  <si>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</si>
  <si>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</si>
  <si>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</si>
  <si>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</si>
  <si>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</si>
  <si>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</si>
  <si>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</si>
  <si>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</si>
  <si>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</si>
  <si>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</si>
  <si>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</si>
  <si>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</si>
  <si>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</si>
  <si>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</si>
  <si>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</si>
  <si>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</si>
  <si>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</si>
  <si>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</si>
  <si>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</si>
  <si>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</si>
  <si>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</si>
  <si>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</si>
  <si>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</si>
  <si>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</si>
  <si>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</si>
  <si>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</si>
  <si>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</si>
  <si>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</si>
  <si>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</si>
  <si>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</si>
  <si>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</si>
  <si>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</si>
  <si>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</si>
  <si>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</si>
  <si>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</si>
  <si>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</si>
  <si>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</si>
  <si>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</si>
  <si>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</si>
  <si>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</si>
  <si>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</si>
  <si>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</si>
  <si>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</si>
  <si>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</si>
  <si>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</si>
  <si>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</si>
  <si>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</si>
  <si>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</si>
  <si>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</si>
  <si>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</si>
  <si>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</si>
  <si>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</si>
  <si>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</si>
  <si>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</si>
  <si>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</si>
  <si>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</si>
  <si>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</si>
  <si>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</si>
  <si>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</si>
  <si>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</si>
  <si>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</si>
  <si>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</si>
  <si>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</si>
  <si>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</si>
  <si>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</si>
  <si>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</si>
  <si>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</si>
  <si>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</si>
  <si>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</si>
  <si>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</si>
  <si>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</si>
  <si>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</si>
  <si>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</si>
  <si>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</si>
  <si>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</si>
  <si>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</si>
  <si>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</si>
  <si>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</si>
  <si>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</si>
  <si>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</si>
  <si>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</si>
  <si>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</si>
  <si>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</si>
  <si>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</si>
  <si>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</si>
  <si>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</si>
  <si>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</si>
  <si>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</si>
  <si>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</si>
  <si>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</si>
  <si>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</si>
  <si>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</si>
  <si>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</si>
  <si>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</si>
  <si>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</si>
  <si>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</si>
  <si>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</si>
  <si>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</si>
  <si>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</si>
  <si>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</si>
  <si>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</si>
  <si>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</si>
  <si>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</si>
  <si>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</si>
  <si>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</si>
  <si>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</si>
  <si>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</si>
  <si>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</si>
  <si>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</si>
  <si>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</si>
  <si>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</si>
  <si>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</si>
  <si>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</si>
  <si>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</si>
  <si>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</si>
  <si>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</si>
  <si>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</si>
  <si>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</si>
  <si>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</si>
  <si>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</si>
  <si>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</si>
  <si>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</si>
  <si>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</si>
  <si>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</si>
  <si>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</si>
  <si>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</si>
  <si>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</si>
  <si>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</si>
  <si>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</si>
  <si>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</si>
  <si>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</si>
  <si>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</si>
  <si>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</si>
  <si>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</si>
  <si>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</si>
  <si>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</si>
  <si>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</si>
  <si>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</si>
  <si>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</si>
  <si>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</si>
  <si>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</si>
  <si>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</si>
  <si>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</si>
  <si>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</si>
  <si>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</si>
  <si>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</si>
  <si>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</si>
  <si>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</si>
  <si>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</si>
  <si>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</si>
  <si>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</si>
  <si>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</si>
  <si>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</si>
  <si>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</si>
  <si>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</si>
  <si>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</si>
  <si>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</si>
  <si>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</si>
  <si>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</si>
  <si>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</si>
  <si>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</si>
  <si>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</si>
  <si>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</si>
  <si>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</si>
  <si>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</si>
  <si>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</si>
  <si>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</si>
  <si>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</si>
  <si>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</si>
  <si>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</si>
  <si>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</si>
  <si>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</si>
  <si>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</si>
  <si>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</si>
  <si>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</si>
  <si>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</si>
  <si>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</si>
  <si>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</si>
  <si>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</si>
  <si>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</si>
  <si>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</si>
  <si>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</si>
  <si>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</si>
  <si>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</si>
  <si>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</si>
  <si>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</si>
  <si>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</si>
  <si>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</si>
  <si>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</si>
  <si>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</si>
  <si>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</si>
  <si>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</si>
  <si>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</si>
  <si>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</si>
  <si>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</si>
  <si>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</si>
  <si>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</si>
  <si>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</si>
  <si>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</si>
  <si>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</si>
  <si>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</si>
  <si>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</si>
  <si>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</si>
  <si>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</si>
  <si>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</si>
  <si>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</si>
  <si>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</si>
  <si>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</si>
  <si>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</si>
  <si>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</si>
  <si>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</si>
  <si>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</si>
  <si>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</si>
  <si>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</si>
  <si>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</si>
  <si>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</si>
  <si>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</si>
  <si>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</si>
  <si>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</si>
  <si>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</si>
  <si>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</si>
  <si>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</si>
  <si>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</si>
  <si>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</si>
  <si>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</si>
  <si>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</si>
  <si>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</si>
  <si>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</si>
  <si>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</si>
  <si>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</si>
  <si>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</si>
  <si>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</si>
  <si>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</si>
  <si>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</si>
  <si>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</si>
  <si>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</si>
  <si>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</si>
  <si>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</si>
  <si>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</si>
  <si>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</si>
  <si>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</si>
  <si>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</si>
  <si>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</si>
  <si>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</si>
  <si>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</si>
  <si>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</si>
  <si>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</si>
  <si>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</si>
  <si>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</si>
  <si>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</si>
  <si>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</si>
  <si>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</si>
  <si>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</si>
  <si>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</si>
  <si>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</si>
  <si>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</si>
  <si>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</si>
  <si>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</si>
  <si>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</si>
  <si>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</si>
  <si>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</si>
  <si>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</si>
  <si>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</si>
  <si>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</si>
  <si>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</si>
  <si>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</si>
  <si>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</si>
  <si>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</si>
  <si>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</si>
  <si>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</si>
  <si>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</si>
  <si>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</si>
  <si>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</si>
  <si>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</si>
  <si>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</si>
  <si>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</si>
  <si>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</si>
  <si>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</si>
  <si>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</si>
  <si>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</si>
  <si>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</si>
  <si>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</si>
  <si>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</si>
  <si>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</si>
  <si>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</si>
  <si>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</si>
  <si>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</si>
  <si>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</si>
  <si>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</si>
  <si>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</si>
  <si>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</si>
  <si>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</si>
  <si>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</si>
  <si>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</si>
  <si>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</si>
  <si>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</si>
  <si>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</si>
  <si>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</si>
  <si>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</si>
  <si>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</si>
  <si>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</si>
  <si>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</si>
  <si>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</si>
  <si>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</si>
  <si>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</si>
  <si>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</si>
  <si>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</si>
  <si>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</si>
  <si>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</si>
  <si>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</si>
  <si>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</si>
  <si>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</si>
  <si>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</si>
  <si>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</si>
  <si>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</si>
  <si>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</si>
  <si>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</si>
  <si>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</si>
  <si>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</si>
  <si>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</si>
  <si>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</si>
  <si>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</si>
  <si>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</si>
  <si>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</si>
  <si>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</si>
  <si>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</si>
  <si>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</si>
  <si>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</si>
  <si>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</si>
  <si>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</si>
  <si>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</si>
  <si>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</si>
  <si>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</si>
  <si>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</si>
  <si>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</si>
  <si>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</si>
  <si>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</si>
  <si>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</si>
  <si>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</si>
  <si>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</si>
  <si>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</si>
  <si>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</si>
  <si>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</si>
  <si>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</si>
  <si>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</si>
  <si>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</si>
  <si>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</si>
  <si>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</si>
  <si>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</si>
  <si>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</si>
  <si>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</si>
  <si>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</si>
  <si>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</si>
  <si>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</si>
  <si>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</si>
  <si>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</si>
  <si>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</si>
  <si>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</si>
  <si>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</si>
  <si>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</si>
  <si>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</si>
  <si>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</si>
  <si>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</si>
  <si>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</si>
  <si>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</si>
  <si>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</si>
  <si>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</si>
  <si>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</si>
  <si>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</si>
  <si>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</si>
  <si>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</si>
  <si>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</si>
  <si>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</si>
  <si>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</si>
  <si>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</si>
  <si>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</si>
  <si>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</si>
  <si>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</si>
  <si>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</si>
  <si>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</si>
  <si>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</si>
  <si>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</si>
  <si>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</si>
  <si>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</si>
  <si>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</si>
  <si>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</si>
  <si>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</si>
  <si>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</si>
  <si>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</si>
  <si>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</si>
  <si>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</si>
  <si>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</si>
  <si>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</si>
  <si>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</si>
  <si>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</si>
  <si>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</si>
  <si>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</si>
  <si>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</si>
  <si>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</si>
  <si>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</si>
  <si>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</si>
  <si>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</si>
  <si>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</si>
  <si>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</si>
  <si>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</si>
  <si>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</si>
  <si>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</si>
  <si>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</si>
  <si>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</si>
  <si>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</si>
  <si>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</si>
  <si>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</si>
  <si>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</si>
  <si>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</si>
  <si>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</si>
  <si>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</si>
  <si>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</si>
  <si>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</si>
  <si>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</si>
  <si>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</si>
  <si>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</si>
  <si>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</si>
  <si>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</si>
  <si>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</si>
  <si>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</si>
  <si>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</si>
  <si>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</si>
  <si>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</si>
  <si>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</si>
  <si>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</si>
  <si>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</si>
  <si>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</si>
  <si>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</si>
  <si>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</si>
  <si>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</si>
  <si>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</si>
  <si>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</si>
  <si>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</si>
  <si>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</si>
  <si>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</si>
  <si>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</si>
  <si>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</si>
  <si>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</si>
  <si>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</si>
  <si>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</si>
  <si>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</si>
  <si>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</si>
  <si>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</si>
  <si>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</si>
  <si>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</si>
  <si>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</si>
  <si>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</si>
  <si>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</si>
  <si>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</si>
  <si>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</si>
  <si>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</si>
  <si>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</si>
  <si>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</si>
  <si>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</si>
  <si>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</si>
  <si>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</si>
  <si>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</si>
  <si>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</si>
  <si>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</si>
  <si>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</si>
  <si>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</si>
  <si>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</si>
  <si>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</si>
  <si>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</si>
  <si>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</si>
  <si>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</si>
  <si>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</si>
  <si>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</si>
  <si>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</si>
  <si>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</si>
  <si>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</si>
  <si>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</si>
  <si>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</si>
  <si>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</si>
  <si>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</si>
  <si>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</si>
  <si>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</si>
  <si>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</si>
  <si>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</si>
  <si>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</si>
  <si>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</si>
  <si>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</si>
  <si>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</si>
  <si>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</si>
  <si>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</si>
  <si>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</si>
  <si>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</si>
  <si>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</si>
  <si>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</si>
  <si>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</si>
  <si>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</si>
  <si>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</si>
  <si>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</si>
  <si>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</si>
  <si>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</si>
  <si>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</si>
  <si>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</si>
  <si>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</si>
  <si>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</si>
  <si>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</si>
  <si>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</si>
  <si>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</si>
  <si>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</si>
  <si>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</si>
  <si>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</si>
  <si>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</si>
  <si>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</si>
  <si>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</si>
  <si>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</si>
  <si>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</si>
  <si>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</si>
  <si>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</si>
  <si>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</si>
  <si>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</si>
  <si>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</si>
  <si>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</si>
  <si>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</si>
  <si>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</si>
  <si>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</si>
  <si>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</si>
  <si>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</si>
  <si>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</si>
  <si>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</si>
  <si>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</si>
  <si>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</si>
  <si>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</si>
  <si>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</si>
  <si>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</si>
  <si>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</si>
  <si>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</si>
  <si>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</si>
  <si>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</si>
  <si>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</si>
  <si>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</si>
  <si>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</si>
  <si>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</si>
  <si>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</si>
  <si>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</si>
  <si>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</si>
  <si>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</si>
  <si>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</si>
  <si>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</si>
  <si>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</si>
  <si>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</si>
  <si>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</si>
  <si>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</si>
  <si>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</si>
  <si>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</si>
  <si>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</si>
  <si>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</si>
  <si>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</si>
  <si>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</si>
  <si>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</si>
  <si>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</si>
  <si>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</si>
  <si>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</si>
  <si>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</si>
  <si>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</si>
  <si>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</si>
  <si>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</si>
  <si>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</si>
  <si>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</si>
  <si>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</si>
  <si>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</si>
  <si>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</si>
  <si>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</si>
  <si>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</si>
  <si>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</si>
  <si>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</si>
  <si>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</si>
  <si>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</si>
  <si>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</si>
  <si>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</si>
  <si>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</si>
  <si>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</si>
  <si>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</si>
  <si>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</si>
  <si>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</si>
  <si>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</si>
  <si>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</si>
  <si>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</si>
  <si>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</si>
  <si>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</si>
  <si>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</si>
  <si>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</si>
  <si>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</si>
  <si>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</si>
  <si>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</si>
  <si>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</si>
  <si>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</si>
  <si>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</si>
  <si>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</si>
  <si>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</si>
  <si>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</si>
  <si>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</si>
  <si>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</si>
  <si>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</si>
  <si>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</si>
  <si>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</si>
  <si>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</si>
  <si>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</si>
  <si>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</si>
  <si>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</si>
  <si>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</si>
  <si>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</si>
  <si>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</si>
  <si>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</si>
  <si>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</si>
  <si>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</si>
  <si>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</si>
  <si>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</si>
  <si>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</si>
  <si>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</si>
  <si>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</si>
  <si>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</si>
  <si>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</si>
  <si>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</si>
  <si>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</si>
  <si>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</si>
  <si>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</si>
  <si>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</si>
  <si>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</si>
  <si>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</si>
  <si>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</si>
  <si>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</si>
  <si>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</si>
  <si>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</si>
  <si>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</si>
  <si>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</si>
  <si>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</si>
  <si>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</si>
  <si>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</si>
  <si>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</si>
  <si>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</si>
  <si>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</si>
  <si>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</si>
  <si>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</si>
  <si>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</si>
  <si>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</si>
  <si>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</si>
  <si>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</si>
  <si>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</si>
  <si>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</si>
  <si>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</si>
  <si>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</si>
  <si>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</si>
  <si>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</si>
  <si>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</si>
  <si>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</si>
  <si>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</si>
  <si>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</si>
  <si>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</si>
  <si>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</si>
  <si>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</si>
  <si>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</si>
  <si>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</si>
  <si>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</si>
  <si>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</si>
  <si>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</si>
  <si>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</si>
  <si>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</si>
  <si>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</si>
  <si>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</si>
  <si>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</si>
  <si>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</si>
  <si>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</si>
  <si>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</si>
  <si>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</si>
  <si>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</si>
  <si>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</si>
  <si>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</si>
  <si>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</si>
  <si>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</si>
  <si>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</si>
  <si>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</si>
  <si>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</si>
  <si>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</si>
  <si>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</si>
  <si>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</si>
  <si>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</si>
  <si>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</si>
  <si>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</si>
  <si>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</si>
  <si>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</si>
  <si>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</si>
  <si>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</si>
  <si>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</si>
  <si>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</si>
  <si>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</si>
  <si>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</si>
  <si>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</si>
  <si>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</si>
  <si>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</si>
  <si>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</si>
  <si>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</si>
  <si>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</si>
  <si>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</si>
  <si>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</si>
  <si>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</si>
  <si>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</si>
  <si>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</si>
  <si>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</si>
  <si>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</si>
  <si>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</si>
  <si>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</si>
  <si>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</si>
  <si>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</si>
  <si>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</si>
  <si>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</si>
  <si>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</si>
  <si>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</si>
  <si>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</si>
  <si>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</si>
  <si>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</si>
  <si>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</si>
  <si>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</si>
  <si>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</si>
  <si>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</si>
  <si>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</si>
  <si>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</si>
  <si>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</si>
  <si>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</si>
  <si>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</si>
  <si>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</si>
  <si>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</si>
  <si>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</si>
  <si>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</si>
  <si>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</si>
  <si>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</si>
  <si>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</si>
  <si>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</si>
  <si>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</si>
  <si>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</si>
  <si>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</si>
  <si>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</si>
  <si>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</si>
  <si>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</si>
  <si>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</si>
  <si>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</si>
  <si>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</si>
  <si>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</si>
  <si>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</si>
  <si>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</si>
  <si>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</si>
  <si>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</si>
  <si>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</si>
  <si>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</si>
  <si>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</si>
  <si>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</si>
  <si>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</si>
  <si>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</si>
  <si>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</si>
  <si>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</si>
  <si>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</si>
  <si>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</si>
  <si>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</si>
  <si>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</si>
  <si>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</si>
  <si>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</si>
  <si>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</si>
  <si>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</si>
  <si>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</si>
  <si>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</si>
  <si>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</si>
  <si>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</si>
  <si>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</si>
  <si>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</si>
  <si>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</si>
  <si>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</si>
  <si>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</si>
  <si>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</si>
  <si>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</si>
  <si>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</si>
  <si>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</si>
  <si>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</si>
  <si>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</si>
  <si>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</si>
  <si>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</si>
  <si>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</si>
  <si>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</si>
  <si>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</si>
  <si>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</si>
  <si>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</si>
  <si>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</si>
  <si>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</si>
  <si>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</si>
  <si>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</si>
  <si>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</si>
  <si>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</si>
  <si>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</si>
  <si>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</si>
  <si>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</si>
  <si>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</si>
  <si>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</si>
  <si>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</si>
  <si>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</si>
  <si>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</si>
  <si>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</si>
  <si>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</si>
  <si>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</si>
  <si>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</si>
  <si>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</si>
  <si>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</si>
  <si>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</si>
  <si>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</si>
  <si>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</si>
  <si>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</si>
  <si>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</si>
  <si>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</si>
  <si>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</si>
  <si>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</si>
  <si>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</si>
  <si>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</si>
  <si>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</si>
  <si>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</si>
  <si>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</si>
  <si>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</si>
  <si>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</si>
  <si>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</si>
  <si>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</si>
  <si>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</si>
  <si>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</si>
  <si>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</si>
  <si>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</si>
  <si>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</si>
  <si>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</si>
  <si>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</si>
  <si>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</si>
  <si>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</si>
  <si>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</si>
  <si>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</si>
  <si>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</si>
  <si>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</si>
  <si>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</si>
  <si>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</si>
  <si>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</si>
  <si>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</si>
  <si>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</si>
  <si>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</si>
  <si>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</si>
  <si>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</si>
  <si>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</si>
  <si>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</si>
  <si>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</si>
  <si>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</si>
  <si>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</si>
  <si>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</si>
  <si>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</si>
  <si>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</si>
  <si>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</si>
  <si>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</si>
  <si>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</si>
  <si>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</si>
  <si>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</si>
  <si>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</si>
  <si>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</si>
  <si>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</si>
  <si>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</si>
  <si>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</si>
  <si>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</si>
  <si>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</si>
  <si>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</si>
  <si>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</si>
  <si>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</si>
  <si>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</si>
  <si>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</si>
  <si>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</si>
  <si>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</si>
  <si>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</si>
  <si>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</si>
  <si>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</si>
  <si>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</si>
  <si>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</si>
  <si>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</si>
  <si>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</si>
  <si>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</si>
  <si>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</si>
  <si>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</si>
  <si>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</si>
  <si>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</si>
  <si>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</si>
  <si>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</si>
  <si>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</si>
  <si>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</si>
  <si>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</si>
  <si>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</si>
  <si>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</si>
  <si>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</si>
  <si>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</si>
  <si>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</si>
  <si>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</si>
  <si>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</si>
  <si>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</si>
  <si>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</si>
  <si>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</si>
  <si>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</si>
  <si>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</si>
  <si>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</si>
  <si>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</si>
  <si>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</si>
  <si>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</si>
  <si>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</si>
  <si>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</si>
  <si>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</si>
  <si>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</si>
  <si>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</si>
  <si>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</si>
  <si>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</si>
  <si>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</si>
  <si>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</si>
  <si>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</si>
  <si>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</si>
  <si>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</si>
  <si>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</si>
  <si>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</si>
  <si>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</si>
  <si>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</si>
  <si>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</si>
  <si>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</si>
  <si>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</si>
  <si>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</si>
  <si>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</si>
  <si>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</si>
  <si>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</si>
  <si>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</si>
  <si>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</si>
  <si>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</si>
  <si>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</si>
  <si>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</si>
  <si>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</si>
  <si>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</si>
  <si>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</si>
  <si>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</si>
  <si>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</si>
  <si>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</si>
  <si>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</si>
  <si>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</si>
  <si>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</si>
  <si>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</si>
  <si>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</si>
  <si>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</si>
  <si>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</si>
  <si>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</si>
  <si>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</si>
  <si>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</si>
  <si>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</si>
  <si>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</si>
  <si>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</si>
  <si>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</si>
  <si>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</si>
  <si>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</si>
  <si>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</si>
  <si>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</si>
  <si>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</si>
  <si>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</si>
  <si>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</si>
  <si>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</si>
  <si>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</si>
  <si>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</si>
  <si>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</si>
  <si>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</si>
  <si>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</si>
  <si>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</si>
  <si>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</si>
  <si>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</si>
  <si>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</si>
  <si>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</si>
  <si>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</si>
  <si>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</si>
  <si>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</si>
  <si>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</si>
  <si>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</si>
  <si>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</si>
  <si>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</si>
  <si>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</si>
  <si>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</si>
  <si>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</si>
  <si>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</si>
  <si>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</si>
  <si>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</si>
  <si>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</si>
  <si>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</si>
  <si>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</si>
  <si>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</si>
  <si>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</si>
  <si>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</si>
  <si>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</si>
  <si>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</si>
  <si>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</si>
  <si>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</si>
  <si>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</si>
  <si>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</si>
  <si>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</si>
  <si>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</si>
  <si>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</si>
  <si>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</si>
  <si>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</si>
  <si>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</si>
  <si>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</si>
  <si>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</si>
  <si>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</si>
  <si>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</si>
  <si>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</si>
  <si>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</si>
  <si>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</si>
  <si>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</si>
  <si>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</si>
  <si>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</si>
  <si>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</si>
  <si>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</si>
  <si>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</si>
  <si>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</si>
  <si>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</si>
  <si>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</si>
  <si>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</si>
  <si>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</si>
  <si>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</si>
  <si>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</si>
  <si>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</si>
  <si>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</si>
  <si>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</si>
  <si>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</si>
  <si>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</si>
  <si>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</si>
  <si>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</si>
  <si>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</si>
  <si>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</si>
  <si>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</si>
  <si>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</si>
  <si>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</si>
  <si>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</si>
  <si>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</si>
  <si>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</si>
  <si>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</si>
  <si>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</si>
  <si>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</si>
  <si>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</si>
  <si>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</si>
  <si>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</si>
  <si>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</si>
  <si>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</si>
  <si>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</si>
  <si>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</si>
  <si>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</si>
  <si>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</si>
  <si>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</si>
  <si>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</si>
  <si>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</si>
  <si>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</si>
  <si>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</si>
  <si>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</si>
  <si>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</si>
  <si>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</si>
  <si>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</si>
  <si>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</si>
  <si>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</si>
  <si>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</si>
  <si>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</si>
  <si>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</si>
  <si>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</si>
  <si>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</si>
  <si>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</si>
  <si>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</si>
  <si>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</si>
  <si>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</si>
  <si>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</si>
  <si>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</si>
  <si>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</si>
  <si>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</si>
  <si>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</si>
  <si>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</si>
  <si>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</si>
  <si>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</si>
  <si>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</si>
  <si>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</si>
  <si>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</si>
  <si>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</si>
  <si>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</si>
  <si>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</si>
  <si>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</si>
  <si>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</si>
  <si>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</si>
  <si>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</si>
  <si>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</si>
  <si>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</si>
  <si>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</si>
  <si>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</si>
  <si>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</si>
  <si>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</si>
  <si>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</si>
  <si>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</si>
  <si>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</si>
  <si>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</si>
  <si>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</si>
  <si>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</si>
  <si>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</si>
  <si>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</si>
  <si>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</si>
  <si>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</si>
  <si>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</si>
  <si>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</si>
  <si>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</si>
  <si>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</si>
  <si>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</si>
  <si>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</si>
  <si>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</si>
  <si>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</si>
  <si>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</si>
  <si>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</si>
  <si>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</si>
  <si>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</si>
  <si>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</si>
  <si>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</si>
  <si>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</si>
  <si>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</si>
  <si>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</si>
  <si>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</si>
  <si>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</si>
  <si>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</si>
  <si>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</si>
  <si>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</si>
  <si>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</si>
  <si>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</si>
  <si>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</si>
  <si>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</si>
  <si>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</si>
  <si>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</si>
  <si>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</si>
  <si>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</si>
  <si>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</si>
  <si>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</si>
  <si>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</si>
  <si>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</si>
  <si>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</si>
  <si>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</si>
  <si>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</si>
  <si>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</si>
  <si>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</si>
  <si>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</si>
  <si>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</si>
  <si>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</si>
  <si>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</si>
  <si>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</si>
  <si>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</si>
  <si>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</si>
  <si>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</si>
  <si>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</si>
  <si>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</si>
  <si>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</si>
  <si>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</si>
  <si>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</si>
  <si>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</si>
  <si>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</si>
  <si>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</si>
  <si>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</si>
  <si>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</si>
  <si>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</si>
  <si>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</si>
  <si>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</si>
  <si>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</si>
  <si>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</si>
  <si>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</si>
  <si>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</si>
  <si>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</si>
  <si>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</si>
  <si>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</si>
  <si>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</si>
  <si>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</si>
  <si>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</si>
  <si>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</si>
  <si>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</si>
  <si>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</si>
  <si>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</si>
  <si>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</si>
  <si>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</si>
  <si>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</si>
  <si>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</si>
  <si>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</si>
  <si>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</si>
  <si>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</si>
  <si>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</si>
  <si>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</si>
  <si>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</si>
  <si>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</si>
  <si>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</si>
  <si>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</si>
  <si>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</si>
  <si>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</si>
  <si>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</si>
  <si>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</si>
  <si>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</si>
  <si>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</si>
  <si>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</si>
  <si>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</si>
  <si>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</si>
  <si>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</si>
  <si>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</si>
  <si>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</si>
  <si>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</si>
  <si>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</si>
  <si>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</si>
  <si>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</si>
  <si>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</si>
  <si>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</si>
  <si>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</si>
  <si>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</si>
  <si>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</si>
  <si>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</si>
  <si>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</si>
  <si>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</si>
  <si>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</si>
  <si>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</si>
  <si>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</si>
  <si>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</si>
  <si>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</si>
  <si>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</si>
  <si>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</si>
  <si>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</si>
  <si>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</si>
  <si>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</si>
  <si>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</si>
  <si>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</si>
  <si>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</si>
  <si>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</si>
  <si>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</si>
  <si>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</si>
  <si>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</si>
  <si>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</si>
  <si>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</si>
  <si>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</si>
  <si>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</si>
  <si>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</si>
  <si>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</si>
  <si>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</si>
  <si>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</si>
  <si>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</si>
  <si>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</si>
  <si>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</si>
  <si>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</si>
  <si>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</si>
  <si>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</si>
  <si>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</si>
  <si>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</si>
  <si>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</si>
  <si>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</si>
  <si>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</si>
  <si>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</si>
  <si>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</si>
  <si>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</si>
  <si>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</si>
  <si>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</si>
  <si>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</si>
  <si>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</si>
  <si>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</si>
  <si>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</si>
  <si>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</si>
  <si>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</si>
  <si>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</si>
  <si>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</si>
  <si>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</si>
  <si>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</si>
  <si>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</si>
  <si>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</si>
  <si>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</si>
  <si>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</si>
  <si>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</si>
  <si>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</si>
  <si>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</si>
  <si>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</si>
  <si>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</si>
  <si>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</si>
  <si>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</si>
  <si>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</si>
  <si>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</si>
  <si>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</si>
  <si>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</si>
  <si>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</si>
  <si>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</si>
  <si>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</si>
  <si>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</si>
  <si>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</si>
  <si>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</si>
  <si>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</si>
  <si>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</si>
  <si>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</si>
  <si>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</si>
  <si>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</si>
  <si>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</si>
  <si>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</si>
  <si>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</si>
  <si>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</si>
  <si>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</si>
  <si>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</si>
  <si>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</si>
  <si>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</si>
  <si>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</si>
  <si>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</si>
  <si>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</si>
  <si>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</si>
  <si>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</si>
  <si>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</si>
  <si>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</si>
  <si>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</si>
  <si>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</si>
  <si>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</si>
  <si>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</si>
  <si>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</si>
  <si>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</si>
  <si>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</si>
  <si>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</si>
  <si>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</si>
  <si>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</si>
  <si>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</si>
  <si>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</si>
  <si>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</si>
  <si>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</si>
  <si>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</si>
  <si>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</si>
  <si>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</si>
  <si>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</si>
  <si>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</si>
  <si>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</si>
  <si>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</si>
  <si>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</si>
  <si>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</si>
  <si>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</si>
  <si>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</si>
  <si>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</si>
  <si>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</si>
  <si>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</si>
  <si>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</si>
  <si>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</si>
  <si>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</si>
  <si>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</si>
  <si>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</si>
  <si>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</si>
  <si>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</si>
  <si>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</si>
  <si>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</si>
  <si>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</si>
  <si>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</si>
  <si>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</si>
  <si>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</si>
  <si>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</si>
  <si>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</si>
  <si>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</si>
  <si>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</si>
  <si>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</si>
  <si>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</si>
  <si>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</si>
  <si>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</si>
  <si>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</si>
  <si>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</si>
  <si>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</si>
  <si>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</si>
  <si>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</si>
  <si>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</si>
  <si>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</si>
  <si>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</si>
  <si>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</si>
  <si>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</si>
  <si>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</si>
  <si>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</si>
  <si>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</si>
  <si>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</si>
  <si>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</si>
  <si>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</si>
  <si>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</si>
  <si>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</si>
  <si>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</si>
  <si>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</si>
  <si>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</si>
  <si>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</si>
  <si>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</si>
  <si>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</si>
  <si>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</si>
  <si>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</si>
  <si>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</si>
  <si>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</si>
  <si>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</si>
  <si>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</si>
  <si>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</si>
  <si>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</si>
  <si>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</si>
  <si>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</si>
  <si>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</si>
  <si>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</si>
  <si>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</si>
  <si>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</si>
  <si>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</si>
  <si>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</si>
  <si>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</si>
  <si>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</si>
  <si>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</si>
  <si>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</si>
  <si>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</si>
  <si>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</si>
  <si>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</si>
  <si>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</si>
  <si>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</si>
  <si>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</si>
  <si>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</si>
  <si>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</si>
  <si>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</si>
  <si>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</si>
  <si>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</si>
  <si>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</si>
  <si>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</si>
  <si>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</si>
  <si>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</si>
  <si>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</si>
  <si>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</si>
  <si>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</si>
  <si>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</si>
  <si>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</si>
  <si>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</si>
  <si>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</si>
  <si>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</si>
  <si>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</si>
  <si>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</si>
  <si>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</si>
  <si>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</si>
  <si>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</si>
  <si>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</si>
  <si>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</si>
  <si>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</si>
  <si>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</si>
  <si>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</si>
  <si>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</si>
  <si>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</si>
  <si>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</si>
  <si>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</si>
  <si>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</si>
  <si>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</si>
  <si>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</si>
  <si>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</si>
  <si>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</si>
  <si>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</si>
  <si>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</si>
  <si>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</si>
  <si>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</si>
  <si>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</si>
  <si>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</si>
  <si>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</si>
  <si>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</si>
  <si>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</si>
  <si>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</si>
  <si>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</si>
  <si>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</si>
  <si>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</si>
  <si>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</si>
  <si>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</si>
  <si>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</si>
  <si>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</si>
  <si>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</si>
  <si>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</si>
  <si>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</si>
  <si>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</si>
  <si>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</si>
  <si>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</si>
  <si>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</si>
  <si>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</si>
  <si>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</si>
  <si>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</si>
  <si>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</si>
  <si>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</si>
  <si>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</si>
  <si>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</si>
  <si>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</si>
  <si>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</si>
  <si>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</si>
  <si>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</si>
  <si>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</si>
  <si>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</si>
  <si>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</si>
  <si>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</si>
  <si>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</si>
  <si>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</si>
  <si>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</si>
  <si>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</si>
  <si>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</si>
  <si>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</si>
  <si>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</si>
  <si>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</si>
  <si>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</si>
  <si>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</si>
  <si>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</si>
  <si>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</si>
  <si>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</si>
  <si>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</si>
  <si>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</si>
  <si>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</si>
  <si>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</si>
  <si>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</si>
  <si>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</si>
  <si>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</si>
  <si>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</si>
  <si>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</si>
  <si>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</si>
  <si>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</si>
  <si>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</si>
  <si>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</si>
  <si>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</si>
  <si>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</si>
  <si>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</si>
  <si>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</si>
  <si>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</si>
  <si>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</si>
  <si>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</si>
  <si>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</si>
  <si>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</si>
  <si>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</si>
  <si>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</si>
  <si>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</si>
  <si>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</si>
  <si>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</si>
  <si>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</si>
  <si>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</si>
  <si>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</si>
  <si>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</si>
  <si>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</si>
  <si>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</si>
  <si>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</si>
  <si>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</si>
  <si>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</si>
  <si>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</si>
  <si>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</si>
  <si>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</si>
  <si>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</si>
  <si>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</si>
  <si>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</si>
  <si>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</si>
  <si>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</si>
  <si>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</si>
  <si>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</si>
  <si>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</si>
  <si>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</si>
  <si>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</si>
  <si>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</si>
  <si>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</si>
  <si>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</si>
  <si>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</si>
  <si>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</si>
  <si>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</si>
  <si>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</si>
  <si>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</si>
  <si>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</si>
  <si>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</si>
  <si>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</si>
  <si>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</si>
  <si>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</si>
  <si>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</si>
  <si>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</si>
  <si>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</si>
  <si>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</si>
  <si>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</si>
  <si>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</si>
  <si>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</si>
  <si>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</si>
  <si>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</si>
  <si>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</si>
  <si>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</si>
  <si>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</si>
  <si>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</si>
  <si>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</si>
  <si>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</si>
  <si>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</si>
  <si>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</si>
  <si>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</si>
  <si>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</si>
  <si>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</si>
  <si>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</si>
  <si>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</si>
  <si>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</si>
  <si>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</si>
  <si>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</si>
  <si>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</si>
  <si>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</si>
  <si>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</si>
  <si>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</si>
  <si>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</si>
  <si>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</si>
  <si>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</si>
  <si>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</si>
  <si>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</si>
  <si>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</si>
  <si>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</si>
  <si>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</si>
  <si>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</si>
  <si>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</si>
  <si>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</si>
  <si>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</si>
  <si>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</si>
  <si>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</si>
  <si>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</si>
  <si>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</si>
  <si>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</si>
  <si>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</si>
  <si>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</si>
  <si>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</si>
  <si>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</si>
  <si>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</si>
  <si>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</si>
  <si>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</si>
  <si>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</si>
  <si>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</si>
  <si>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</si>
  <si>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</si>
  <si>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</si>
  <si>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</si>
  <si>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</si>
  <si>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</si>
  <si>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</si>
  <si>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</si>
  <si>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</si>
  <si>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</si>
  <si>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</si>
  <si>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</si>
  <si>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</si>
  <si>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</si>
  <si>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</si>
  <si>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</si>
  <si>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</si>
  <si>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</si>
  <si>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</si>
  <si>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</si>
  <si>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</si>
  <si>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</si>
  <si>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</si>
  <si>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</si>
  <si>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</si>
  <si>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</si>
  <si>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</si>
  <si>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</si>
  <si>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</si>
  <si>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</si>
  <si>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</si>
  <si>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</si>
  <si>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</si>
  <si>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</si>
  <si>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</si>
  <si>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</si>
  <si>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</si>
  <si>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</si>
  <si>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</si>
  <si>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</si>
  <si>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</si>
  <si>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</si>
  <si>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</si>
  <si>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</si>
  <si>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</si>
  <si>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</si>
  <si>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</si>
  <si>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</si>
  <si>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</si>
  <si>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</si>
  <si>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</si>
  <si>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</si>
  <si>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</si>
  <si>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</si>
  <si>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</si>
  <si>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</si>
  <si>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</si>
  <si>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</si>
  <si>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</si>
  <si>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</si>
  <si>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</si>
  <si>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</si>
  <si>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</si>
  <si>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</si>
  <si>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</si>
  <si>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</si>
  <si>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</si>
  <si>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</si>
  <si>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</si>
  <si>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</si>
  <si>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</si>
  <si>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</si>
  <si>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</si>
  <si>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</si>
  <si>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</si>
  <si>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</si>
  <si>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</si>
  <si>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</si>
  <si>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</si>
  <si>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</si>
  <si>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</si>
  <si>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</si>
  <si>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</si>
  <si>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</si>
  <si>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</si>
  <si>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</si>
  <si>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</si>
  <si>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</si>
  <si>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</si>
  <si>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</si>
  <si>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</si>
  <si>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</si>
  <si>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</si>
  <si>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</si>
  <si>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</si>
  <si>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</si>
  <si>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</si>
  <si>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</si>
  <si>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</si>
  <si>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</si>
  <si>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</si>
  <si>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</si>
  <si>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</si>
  <si>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</si>
  <si>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</si>
  <si>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</si>
  <si>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</si>
  <si>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</si>
  <si>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</si>
  <si>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</si>
  <si>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</si>
  <si>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</si>
  <si>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</si>
  <si>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</si>
  <si>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</si>
  <si>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</si>
  <si>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</si>
  <si>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</si>
  <si>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</si>
  <si>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</si>
  <si>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</si>
  <si>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</si>
  <si>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</si>
  <si>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</si>
  <si>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</si>
  <si>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</si>
  <si>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</si>
  <si>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</si>
  <si>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</si>
  <si>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</si>
  <si>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</si>
  <si>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</si>
  <si>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</si>
  <si>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</si>
  <si>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</si>
  <si>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</si>
  <si>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</si>
  <si>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</si>
  <si>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</si>
  <si>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</si>
  <si>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</si>
  <si>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</si>
  <si>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</si>
  <si>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</si>
  <si>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</si>
  <si>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</si>
  <si>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</si>
  <si>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</si>
  <si>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</si>
  <si>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</si>
  <si>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</si>
  <si>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</si>
  <si>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</si>
  <si>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</si>
  <si>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</si>
  <si>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</si>
  <si>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</si>
  <si>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</si>
  <si>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</si>
  <si>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</si>
  <si>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</si>
  <si>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</si>
  <si>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</si>
  <si>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</si>
  <si>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</si>
  <si>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</si>
  <si>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</si>
  <si>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</si>
  <si>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</si>
  <si>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</si>
  <si>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</si>
  <si>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</si>
  <si>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</si>
  <si>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</si>
  <si>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</si>
  <si>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</si>
  <si>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</si>
  <si>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</si>
  <si>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</si>
  <si>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</si>
  <si>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</si>
  <si>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</si>
  <si>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</si>
  <si>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</si>
  <si>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</si>
  <si>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</si>
  <si>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</si>
  <si>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</si>
  <si>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</si>
  <si>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</si>
  <si>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</si>
  <si>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</si>
  <si>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</si>
  <si>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</si>
  <si>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</si>
  <si>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</si>
  <si>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</si>
  <si>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</si>
  <si>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</si>
  <si>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</si>
  <si>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</si>
  <si>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</si>
  <si>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</si>
  <si>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</si>
  <si>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</si>
  <si>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</si>
  <si>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</si>
  <si>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</si>
  <si>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</si>
  <si>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</si>
  <si>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</si>
  <si>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</si>
  <si>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</si>
  <si>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</si>
  <si>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</si>
  <si>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</si>
  <si>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</si>
  <si>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</si>
  <si>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</si>
  <si>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</si>
  <si>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</si>
  <si>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</si>
  <si>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</si>
  <si>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</si>
  <si>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</si>
  <si>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</si>
  <si>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</si>
  <si>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</si>
  <si>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</si>
  <si>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</si>
  <si>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</si>
  <si>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</si>
  <si>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</si>
  <si>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</si>
  <si>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</si>
  <si>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</si>
  <si>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</si>
  <si>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</si>
  <si>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</si>
  <si>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</si>
  <si>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</si>
  <si>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</si>
  <si>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</si>
  <si>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</si>
  <si>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</si>
  <si>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</si>
  <si>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</si>
  <si>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</si>
  <si>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</si>
  <si>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</si>
  <si>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</si>
  <si>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</si>
  <si>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</si>
  <si>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</si>
  <si>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</si>
  <si>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</si>
  <si>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</si>
  <si>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</si>
  <si>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</si>
  <si>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</si>
  <si>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</si>
  <si>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</si>
  <si>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</si>
  <si>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</si>
  <si>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</si>
  <si>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</si>
  <si>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</si>
  <si>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</si>
  <si>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</si>
  <si>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</si>
  <si>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</si>
  <si>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</si>
  <si>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</si>
  <si>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</si>
  <si>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</si>
  <si>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</si>
  <si>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</si>
  <si>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</si>
  <si>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</si>
  <si>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</si>
  <si>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</si>
  <si>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</si>
  <si>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</si>
  <si>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</si>
  <si>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</si>
  <si>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</si>
  <si>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</si>
  <si>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</si>
  <si>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</si>
  <si>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</si>
  <si>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</si>
  <si>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</si>
  <si>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</si>
  <si>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</si>
  <si>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</si>
  <si>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</si>
  <si>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</si>
  <si>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</si>
  <si>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</si>
  <si>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</si>
  <si>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</si>
  <si>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</si>
  <si>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</si>
  <si>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</si>
  <si>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</si>
  <si>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</si>
  <si>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</si>
  <si>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</si>
  <si>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</si>
  <si>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</si>
  <si>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</si>
  <si>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</si>
  <si>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</si>
  <si>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</si>
  <si>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</si>
  <si>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</si>
  <si>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</si>
  <si>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</si>
  <si>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</si>
  <si>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</si>
  <si>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</si>
  <si>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</si>
  <si>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</si>
  <si>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</si>
  <si>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</si>
  <si>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</si>
  <si>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</si>
  <si>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</si>
  <si>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</si>
  <si>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</si>
  <si>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</si>
  <si>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</si>
  <si>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</si>
  <si>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</si>
  <si>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</si>
  <si>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</si>
  <si>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</si>
  <si>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</si>
  <si>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</si>
  <si>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</si>
  <si>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</si>
  <si>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</si>
  <si>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</si>
  <si>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</si>
  <si>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</si>
  <si>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</si>
  <si>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</si>
  <si>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</si>
  <si>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</si>
  <si>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</si>
  <si>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</si>
  <si>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</si>
  <si>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</si>
  <si>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</si>
  <si>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</si>
  <si>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</si>
  <si>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</si>
  <si>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</si>
  <si>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</si>
  <si>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</si>
  <si>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</si>
  <si>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</si>
  <si>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</si>
  <si>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</si>
  <si>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</si>
  <si>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</si>
  <si>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</si>
  <si>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</si>
  <si>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</si>
  <si>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</si>
  <si>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</si>
  <si>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</si>
  <si>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</si>
  <si>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</si>
  <si>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</si>
  <si>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</si>
  <si>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</si>
  <si>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</si>
  <si>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</si>
  <si>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</si>
  <si>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</si>
  <si>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</si>
  <si>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</si>
  <si>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</si>
  <si>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</si>
  <si>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</si>
  <si>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</si>
  <si>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</si>
  <si>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</si>
  <si>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</si>
  <si>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</si>
  <si>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</si>
  <si>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</si>
  <si>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</si>
  <si>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</si>
  <si>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</si>
  <si>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</si>
  <si>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</si>
  <si>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</si>
  <si>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</si>
  <si>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</si>
  <si>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</si>
  <si>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</si>
  <si>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</si>
  <si>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</si>
  <si>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</si>
  <si>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</si>
  <si>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</si>
  <si>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</si>
  <si>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</si>
  <si>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</si>
  <si>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</si>
  <si>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</si>
  <si>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</si>
  <si>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</si>
  <si>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</si>
  <si>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</si>
  <si>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</si>
  <si>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</si>
  <si>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</si>
  <si>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</si>
  <si>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</si>
  <si>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</si>
  <si>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</si>
  <si>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</si>
  <si>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</si>
  <si>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</si>
  <si>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</si>
  <si>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</si>
  <si>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</si>
  <si>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</si>
  <si>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</si>
  <si>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</si>
  <si>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</si>
  <si>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</si>
  <si>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</si>
  <si>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</si>
  <si>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</si>
  <si>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</si>
  <si>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</si>
  <si>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</si>
  <si>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</si>
  <si>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</si>
  <si>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</si>
  <si>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</si>
  <si>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</si>
  <si>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</si>
  <si>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</si>
  <si>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</si>
  <si>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</si>
  <si>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</si>
  <si>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</si>
  <si>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</si>
  <si>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</si>
  <si>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</si>
  <si>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</si>
  <si>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</si>
  <si>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</si>
  <si>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</si>
  <si>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</si>
  <si>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</si>
  <si>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</si>
  <si>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</si>
  <si>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</si>
  <si>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</si>
  <si>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</si>
  <si>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</si>
  <si>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</si>
  <si>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</si>
  <si>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</si>
  <si>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</si>
  <si>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</si>
  <si>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</si>
  <si>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</si>
  <si>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</si>
  <si>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</si>
  <si>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</si>
  <si>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</si>
  <si>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</si>
  <si>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</si>
  <si>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</si>
  <si>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</si>
  <si>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</si>
  <si>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</si>
  <si>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</si>
  <si>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</si>
  <si>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</si>
  <si>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</si>
  <si>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</si>
  <si>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</si>
  <si>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</si>
  <si>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</si>
  <si>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</si>
  <si>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</si>
  <si>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</si>
  <si>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</si>
  <si>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</si>
  <si>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</si>
  <si>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</si>
  <si>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</si>
  <si>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</si>
  <si>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</si>
  <si>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</si>
  <si>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</si>
  <si>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</si>
  <si>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</si>
  <si>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</si>
  <si>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</si>
  <si>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</si>
  <si>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</si>
  <si>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</si>
  <si>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</si>
  <si>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</si>
  <si>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</si>
  <si>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</si>
  <si>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</si>
  <si>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</si>
  <si>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</si>
  <si>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</si>
  <si>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</si>
  <si>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</si>
  <si>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</si>
  <si>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</si>
  <si>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</si>
  <si>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</si>
  <si>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</si>
  <si>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</si>
  <si>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</si>
  <si>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</si>
  <si>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</si>
  <si>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</si>
  <si>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</si>
  <si>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</si>
  <si>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</si>
  <si>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</si>
  <si>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</si>
  <si>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</si>
  <si>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</si>
  <si>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</si>
  <si>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</si>
  <si>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</si>
  <si>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</si>
  <si>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</si>
  <si>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</si>
  <si>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</si>
  <si>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</si>
  <si>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</si>
  <si>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</si>
  <si>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</si>
  <si>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</si>
  <si>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</si>
  <si>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</si>
  <si>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</si>
  <si>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</si>
  <si>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</si>
  <si>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</si>
  <si>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</si>
  <si>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</si>
  <si>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</si>
  <si>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</si>
  <si>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</si>
  <si>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</si>
  <si>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</si>
  <si>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</si>
  <si>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</si>
  <si>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</si>
  <si>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</si>
  <si>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</si>
  <si>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</si>
  <si>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</si>
  <si>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</si>
  <si>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</si>
  <si>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</si>
  <si>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</si>
  <si>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</si>
  <si>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</si>
  <si>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</si>
  <si>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</si>
  <si>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</si>
  <si>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</si>
  <si>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</si>
  <si>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</si>
  <si>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</si>
  <si>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</si>
  <si>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</si>
  <si>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</si>
  <si>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</si>
  <si>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</si>
  <si>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</si>
  <si>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</si>
  <si>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</si>
  <si>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</si>
  <si>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</si>
  <si>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</si>
  <si>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</si>
  <si>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</si>
  <si>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</si>
  <si>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</si>
  <si>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</si>
  <si>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</si>
  <si>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</si>
  <si>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</si>
  <si>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</si>
  <si>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</si>
  <si>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</si>
  <si>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</si>
  <si>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</si>
  <si>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</si>
  <si>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</si>
  <si>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</si>
  <si>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</si>
  <si>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</si>
  <si>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</si>
  <si>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</si>
  <si>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</si>
  <si>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</si>
  <si>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</si>
  <si>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</si>
  <si>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</si>
  <si>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</si>
  <si>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</si>
  <si>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</si>
  <si>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</si>
  <si>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</si>
  <si>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</si>
  <si>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</si>
  <si>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</si>
  <si>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</si>
  <si>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</si>
  <si>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</si>
  <si>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</si>
  <si>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</si>
  <si>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</si>
  <si>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</si>
  <si>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</si>
  <si>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</si>
  <si>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</si>
  <si>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</si>
  <si>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</si>
  <si>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</si>
  <si>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</si>
  <si>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</si>
  <si>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</si>
  <si>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</si>
  <si>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</si>
  <si>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</si>
  <si>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</si>
  <si>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</si>
  <si>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</si>
  <si>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</si>
  <si>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</si>
  <si>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</si>
  <si>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</si>
  <si>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</si>
  <si>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</si>
  <si>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</si>
  <si>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</si>
  <si>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</si>
  <si>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</si>
  <si>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</si>
  <si>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</si>
  <si>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</si>
  <si>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</si>
  <si>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</si>
  <si>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</si>
  <si>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</si>
  <si>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</si>
  <si>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</si>
  <si>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</si>
  <si>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</si>
  <si>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</si>
  <si>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</si>
  <si>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</si>
  <si>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</si>
  <si>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</si>
  <si>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</si>
  <si>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</si>
  <si>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</si>
  <si>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</si>
  <si>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</si>
  <si>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</si>
  <si>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</si>
  <si>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</si>
  <si>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</si>
  <si>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</si>
  <si>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</si>
  <si>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</si>
  <si>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</si>
  <si>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</si>
  <si>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</si>
  <si>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</si>
  <si>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</si>
  <si>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</si>
  <si>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</si>
  <si>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</si>
  <si>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</si>
  <si>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</si>
  <si>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</si>
  <si>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</si>
  <si>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</si>
  <si>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</si>
  <si>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</si>
  <si>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</si>
  <si>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</si>
  <si>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</si>
  <si>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</si>
  <si>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</si>
  <si>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</si>
  <si>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</si>
  <si>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</si>
  <si>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</si>
  <si>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</si>
  <si>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</si>
  <si>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</si>
  <si>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</si>
  <si>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</si>
  <si>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</si>
  <si>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</si>
  <si>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</si>
  <si>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</si>
  <si>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</si>
  <si>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</si>
  <si>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</si>
  <si>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</si>
  <si>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</si>
  <si>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</si>
  <si>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</si>
  <si>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</si>
  <si>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</si>
  <si>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</si>
  <si>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</si>
  <si>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</si>
  <si>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</si>
  <si>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</si>
  <si>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</si>
  <si>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</si>
  <si>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</si>
  <si>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</si>
  <si>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</si>
  <si>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</si>
  <si>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</si>
  <si>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</si>
  <si>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</si>
  <si>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</si>
  <si>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</si>
  <si>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</si>
  <si>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</si>
  <si>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</si>
  <si>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</si>
  <si>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</si>
  <si>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</si>
  <si>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</si>
  <si>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</si>
  <si>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</si>
  <si>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</si>
  <si>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</si>
  <si>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</si>
  <si>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</si>
  <si>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</si>
  <si>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</si>
  <si>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</si>
  <si>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</si>
  <si>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</si>
  <si>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</si>
  <si>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</si>
  <si>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</si>
  <si>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</si>
  <si>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</si>
  <si>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</si>
  <si>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</si>
  <si>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</si>
  <si>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</si>
  <si>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</si>
  <si>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</si>
  <si>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</si>
  <si>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</si>
  <si>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</si>
  <si>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</si>
  <si>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</si>
  <si>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</si>
  <si>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</si>
  <si>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</si>
  <si>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</si>
  <si>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</si>
  <si>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</si>
  <si>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</si>
  <si>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</si>
  <si>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</si>
  <si>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</si>
  <si>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</si>
  <si>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</si>
  <si>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</si>
  <si>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</si>
  <si>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</si>
  <si>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</si>
  <si>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</si>
  <si>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</si>
  <si>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</si>
  <si>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</si>
  <si>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</si>
  <si>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</si>
  <si>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</si>
  <si>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</si>
  <si>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</si>
  <si>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</si>
  <si>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</si>
  <si>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</si>
  <si>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</si>
  <si>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</si>
  <si>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</si>
  <si>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</si>
  <si>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</si>
  <si>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</si>
  <si>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</si>
  <si>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</si>
  <si>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</si>
  <si>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</si>
  <si>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</si>
  <si>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</si>
  <si>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</si>
  <si>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</si>
  <si>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</si>
  <si>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</si>
  <si>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</si>
  <si>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</si>
  <si>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</si>
  <si>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</si>
  <si>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</si>
  <si>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</si>
  <si>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</si>
  <si>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</si>
  <si>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</si>
  <si>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</si>
  <si>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</si>
  <si>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</si>
  <si>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</si>
  <si>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</si>
  <si>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</si>
  <si>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</si>
  <si>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</si>
  <si>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</si>
  <si>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</si>
  <si>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</si>
  <si>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</si>
  <si>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</si>
  <si>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</si>
  <si>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</si>
  <si>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</si>
  <si>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</si>
  <si>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</si>
  <si>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</si>
  <si>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</si>
  <si>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</si>
  <si>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</si>
  <si>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</si>
  <si>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</si>
  <si>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</si>
  <si>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</si>
  <si>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</si>
  <si>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</si>
  <si>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</si>
  <si>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</si>
  <si>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</si>
  <si>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</si>
  <si>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</si>
  <si>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</si>
  <si>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</si>
  <si>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</si>
  <si>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</si>
  <si>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</si>
  <si>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</si>
  <si>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</si>
  <si>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</si>
  <si>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</si>
  <si>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</si>
  <si>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</si>
  <si>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</si>
  <si>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</si>
  <si>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</si>
  <si>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</si>
  <si>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</si>
  <si>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</si>
  <si>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</si>
  <si>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</si>
  <si>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</si>
  <si>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</si>
  <si>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</si>
  <si>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</si>
  <si>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</si>
  <si>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</si>
  <si>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</si>
  <si>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</si>
  <si>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</si>
  <si>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</si>
  <si>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</si>
  <si>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</si>
  <si>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</si>
  <si>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</si>
  <si>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</si>
  <si>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</si>
  <si>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</si>
  <si>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</si>
  <si>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</si>
  <si>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</si>
  <si>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</si>
  <si>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</si>
  <si>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</si>
  <si>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</si>
  <si>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</si>
  <si>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</si>
  <si>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</si>
  <si>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</si>
  <si>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</si>
  <si>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</si>
  <si>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</si>
  <si>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</si>
  <si>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</si>
  <si>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</si>
  <si>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</si>
  <si>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</si>
  <si>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</si>
  <si>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</si>
  <si>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</si>
  <si>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</si>
  <si>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</si>
  <si>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</si>
  <si>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</si>
  <si>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</si>
  <si>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</si>
  <si>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</si>
  <si>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</si>
  <si>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</si>
  <si>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</si>
  <si>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</si>
  <si>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</si>
  <si>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</si>
  <si>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砖混</t>
  </si>
  <si>
    <t>非生产用房</t>
  </si>
  <si>
    <r>
      <rPr>
        <sz val="10"/>
        <color rgb="FFFF0000"/>
        <rFont val="宋体"/>
        <family val="3"/>
        <charset val="134"/>
      </rPr>
      <t>收益年期</t>
    </r>
    <r>
      <rPr>
        <sz val="10"/>
        <color rgb="FFFF0000"/>
        <rFont val="Arial"/>
        <family val="2"/>
      </rPr>
      <t>(n)</t>
    </r>
    <phoneticPr fontId="3" type="noConversion"/>
  </si>
  <si>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</si>
  <si>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</si>
  <si>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</si>
  <si>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</si>
  <si>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</si>
  <si>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</si>
  <si>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</si>
  <si>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</si>
  <si>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</si>
  <si>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</si>
  <si>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</si>
  <si>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</si>
  <si>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</si>
  <si>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</si>
  <si>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</si>
  <si>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</si>
  <si>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</si>
  <si>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</si>
  <si>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</si>
  <si>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</si>
  <si>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</si>
  <si>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Ⅷ-平1</t>
  </si>
  <si>
    <t>不临65条商业街</t>
  </si>
  <si>
    <t>通路</t>
  </si>
  <si>
    <t>通电</t>
  </si>
  <si>
    <t>通讯</t>
  </si>
  <si>
    <t>通上水</t>
  </si>
  <si>
    <t>通下水</t>
  </si>
  <si>
    <t>平整</t>
  </si>
  <si>
    <t>未包含在土地购买价格中</t>
  </si>
  <si>
    <t>已包含在土地取得成本中</t>
  </si>
  <si>
    <t>楼面单价</t>
  </si>
  <si>
    <t>自定义</t>
  </si>
  <si>
    <t>旧城街45号</t>
    <phoneticPr fontId="3" type="noConversion"/>
  </si>
  <si>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</si>
  <si>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</si>
  <si>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</si>
  <si>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</si>
  <si>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</si>
  <si>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</si>
  <si>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</si>
  <si>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</si>
  <si>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</si>
  <si>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</si>
  <si>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</si>
  <si>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</si>
  <si>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</si>
  <si>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</si>
  <si>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</si>
  <si>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</si>
  <si>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</si>
  <si>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</si>
  <si>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一版</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</si>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</sst>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13" fillId="5" borderId="1" xfId="0" applyFont="1" applyFill="1" applyBorder="1" applyAlignment="1" applyProtection="1">
      <alignment horizontal="left" vertical="center"/>
    </xf>
    <xf numFmtId="179" fontId="139" fillId="5" borderId="24"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274647</xdr:colOff>
      <xdr:row>19</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2647" cy="3419475"/>
        </a:xfrm>
        <a:prstGeom prst="rect">
          <a:avLst/>
        </a:prstGeom>
      </xdr:spPr>
    </xdr:pic>
    <xdr:clientData/>
  </xdr:twoCellAnchor>
  <xdr:twoCellAnchor editAs="oneCell">
    <xdr:from>
      <xdr:col>0</xdr:col>
      <xdr:colOff>107882</xdr:colOff>
      <xdr:row>20</xdr:row>
      <xdr:rowOff>85725</xdr:rowOff>
    </xdr:from>
    <xdr:to>
      <xdr:col>10</xdr:col>
      <xdr:colOff>532037</xdr:colOff>
      <xdr:row>48</xdr:row>
      <xdr:rowOff>122920</xdr:rowOff>
    </xdr:to>
    <xdr:pic>
      <xdr:nvPicPr>
        <xdr:cNvPr id="3" name="图片 2"/>
        <xdr:cNvPicPr>
          <a:picLocks noChangeAspect="1"/>
        </xdr:cNvPicPr>
      </xdr:nvPicPr>
      <xdr:blipFill>
        <a:blip xmlns:r="http://schemas.openxmlformats.org/officeDocument/2006/relationships" r:embed="rId2"/>
        <a:stretch>
          <a:fillRect/>
        </a:stretch>
      </xdr:blipFill>
      <xdr:spPr>
        <a:xfrm>
          <a:off x="107882" y="3514725"/>
          <a:ext cx="7282155" cy="48377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2024年5月24日（评估专业人员实地查勘之日）</v>
      </c>
    </row>
    <row r="13" spans="1:2" s="1203" customFormat="1">
      <c r="A13" s="1201" t="s">
        <v>529</v>
      </c>
      <c r="B13" s="1202" t="str">
        <f>'预评函-1'!A18</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351</v>
      </c>
    </row>
    <row r="21" spans="1:2" s="1203" customFormat="1">
      <c r="A21" s="1201" t="s">
        <v>537</v>
      </c>
      <c r="B21" s="1202">
        <f ca="1">'预评函-2'!D7</f>
        <v>15020</v>
      </c>
    </row>
    <row r="22" spans="1:2" s="1203" customFormat="1">
      <c r="A22" s="1201" t="s">
        <v>538</v>
      </c>
      <c r="B22" s="1202" t="str">
        <f ca="1">'预评函-2'!D6</f>
        <v>叁佰伍拾壹万元整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351</v>
      </c>
    </row>
    <row r="31" spans="1:2" s="1203" customFormat="1">
      <c r="A31" s="1201" t="s">
        <v>576</v>
      </c>
      <c r="B31" s="1202">
        <f ca="1">'预评函-2'!D15</f>
        <v>15020</v>
      </c>
    </row>
    <row r="32" spans="1:2" s="1203" customFormat="1">
      <c r="A32" s="1201" t="s">
        <v>543</v>
      </c>
      <c r="B32" s="1202" t="str">
        <f ca="1">'预评函-2'!D14</f>
        <v>叁佰伍拾壹万元整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45436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7" sqref="E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45436</v>
      </c>
      <c r="C3" s="2374" t="s">
        <v>2171</v>
      </c>
      <c r="D3" s="2373">
        <f>B3</f>
        <v>45436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51428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16.41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233.9</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233.9</v>
      </c>
      <c r="H5" s="13">
        <f t="shared" ref="H5:AT5" si="0">SUM(H13:H656)</f>
        <v>233.9</v>
      </c>
      <c r="I5" s="13">
        <f t="shared" si="0"/>
        <v>233.9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233.9</v>
      </c>
      <c r="BA5" s="15">
        <f t="shared" si="1"/>
        <v>233.9</v>
      </c>
      <c r="BB5" s="15">
        <f t="shared" si="1"/>
        <v>233.9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233.9</v>
      </c>
      <c r="H13" s="17">
        <f>SUMIF(I$12:AB$12,"总值",I13:AB13)</f>
        <v>233.9</v>
      </c>
      <c r="I13" s="1626">
        <v>233.9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233.9</v>
      </c>
      <c r="BA13" s="13">
        <f>SUM(BB13:BK13)</f>
        <v>233.9</v>
      </c>
      <c r="BB13" s="13">
        <f>IF($D13="是",I13-J13,0)</f>
        <v>233.9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4" sqref="C3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233.9</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233.9</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233.9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233.9</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233.9</v>
      </c>
      <c r="F19" s="2795">
        <v>233.9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233.9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233.9</v>
      </c>
      <c r="F27" s="1140">
        <f>IF(SUM(F19:F26)=E8,SUM(F19:F26),"地上面积有误")</f>
        <v>233.9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233.9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233.9</v>
      </c>
      <c r="F31" s="677">
        <f>F27+F30</f>
        <v>233.9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51428</v>
      </c>
      <c r="F6" s="64">
        <f>SUMIF(项目基本情况!C$12:I$12,C6,项目基本情况!C$15:I$15)</f>
        <v>16.41</v>
      </c>
      <c r="G6" s="65">
        <f>IF(ISERROR(ROUND(POWER(1+H6,D6-F6)*(POWER(1+H6,F6)-1)/(POWER(1+H6,D6)-1),3)),0,ROUND(POWER(1+H6,D6-F6)*(POWER(1+H6,F6)-1)/(POWER(1+H6,D6)-1),3))</f>
        <v>0.66200000000000003</v>
      </c>
      <c r="H6" s="732">
        <v>5.5E-2</v>
      </c>
      <c r="I6" s="732">
        <v>0.06</v>
      </c>
      <c r="J6" s="66">
        <v>7.0000000000000007E-2</v>
      </c>
      <c r="K6" s="1030">
        <f>SUMIF('数据-汇总表'!C$19:C$33,A6,'数据-汇总表'!E$19:E$33)</f>
        <v>233.9</v>
      </c>
      <c r="L6" s="733">
        <v>2800</v>
      </c>
      <c r="M6" s="67">
        <f t="shared" ref="M6:M14" si="0">ROUND(K6*L6/10000,0)</f>
        <v>65</v>
      </c>
      <c r="N6" s="731">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0.7</v>
      </c>
      <c r="Z6" s="72"/>
      <c r="AA6" s="66"/>
      <c r="AB6" s="66"/>
      <c r="AC6" s="1040"/>
      <c r="AD6" s="73"/>
      <c r="AE6" s="1041">
        <f ca="1">IF(AN6="",0,SUMIF(INDIRECT("'"&amp;AN6&amp;"'"&amp;"!E:E"),$AE$5,INDIRECT("'"&amp;AN6&amp;"'"&amp;"!F:F")))</f>
        <v>15</v>
      </c>
      <c r="AF6" s="1348"/>
      <c r="AG6" s="138">
        <f>IF(AF6="",0,AE6-AF6)</f>
        <v>0</v>
      </c>
      <c r="AH6" s="74"/>
      <c r="AI6" s="76">
        <v>365</v>
      </c>
      <c r="AJ6" s="77"/>
      <c r="AK6" s="78">
        <v>0.01</v>
      </c>
      <c r="AL6" s="79">
        <v>1E-3</v>
      </c>
      <c r="AM6" s="80">
        <v>0.01</v>
      </c>
      <c r="AN6" s="1715" t="s">
        <v>3390</v>
      </c>
      <c r="AO6" s="52">
        <f ca="1">SUMIF(INDIRECT("'"&amp;AN6&amp;"'"&amp;"!A:A"),"总价",INDIRECT("'"&amp;AN6&amp;"'"&amp;"!B:B"))</f>
        <v>246.22329999999999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0.66200000000000003</v>
      </c>
      <c r="H16" s="90">
        <f>ROUND(SUMPRODUCT(H6:H13,K6:K13)/SUMPRODUCT((H6:H13&gt;0)*(K6:K13)),3)</f>
        <v>5.5E-2</v>
      </c>
      <c r="I16" s="91"/>
      <c r="J16" s="91"/>
      <c r="K16" s="92">
        <f>SUM(K6:K15)</f>
        <v>233.9</v>
      </c>
      <c r="L16" s="93">
        <f>ROUND(M16*10000/SUM(K6:K14),0)</f>
        <v>2779</v>
      </c>
      <c r="M16" s="93">
        <f>SUM(M6:M14)</f>
        <v>65</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1989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3389</v>
      </c>
      <c r="N18" s="2671">
        <f>ROUND((1-2%)-(2024-N17)/50,2)</f>
        <v>0.28000000000000003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4" sqref="C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233.9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45436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351</v>
      </c>
      <c r="C5" s="2512">
        <f ca="1">IF(B5=D14,结果表!H102,ROUND(B5*10000/$B$1,0))</f>
        <v>15020</v>
      </c>
      <c r="D5" s="2512" t="e">
        <f ca="1">ROUND(B5*10000/$B$2,0)</f>
        <v>#DIV/0!</v>
      </c>
      <c r="E5" s="2686"/>
      <c r="F5" s="2687"/>
      <c r="G5" s="2687"/>
      <c r="H5" s="2688"/>
      <c r="I5" s="2688"/>
      <c r="J5" s="2688"/>
      <c r="K5" s="2688"/>
    </row>
    <row r="6" spans="1:11" ht="16.5">
      <c r="A6" s="2512" t="s">
        <v>656</v>
      </c>
      <c r="B6" s="2512">
        <f ca="1">SUM(G14:G23)</f>
        <v>351</v>
      </c>
      <c r="C6" s="2512">
        <f ca="1">IF(B6=G14,结果表!H108,ROUND(B6*10000/$B$1,0))</f>
        <v>15020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233.9</v>
      </c>
      <c r="C14" s="2518"/>
      <c r="D14" s="2518">
        <f ca="1">结果表!H118</f>
        <v>351</v>
      </c>
      <c r="E14" s="2518">
        <f ca="1">结果表!C32</f>
        <v>15020</v>
      </c>
      <c r="F14" s="2518" t="e">
        <f ca="1">ROUND(D14*10000/C14,0)</f>
        <v>#DIV/0!</v>
      </c>
      <c r="G14" s="2518">
        <f ca="1">结果表!D122</f>
        <v>351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42" sqref="M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3465</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55</v>
      </c>
      <c r="D14" s="3618">
        <v>45</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49" t="s">
        <v>2131</v>
      </c>
      <c r="F18" s="3650"/>
      <c r="G18" s="3650"/>
      <c r="H18" s="3650"/>
      <c r="I18" s="3650"/>
      <c r="J18" s="3467" t="s">
        <v>3466</v>
      </c>
      <c r="K18" s="302" t="s">
        <v>1289</v>
      </c>
      <c r="L18" s="302">
        <f>IF(C1="",'数据-汇总表'!E3,SUMIF(项目类型,C1,'数据-汇总表'!E17:E26)+SUMIF(项目类型,C1,'数据-汇总表'!I17:I26))</f>
        <v>233.9</v>
      </c>
      <c r="M18" s="302">
        <f>IF(C1="",'数据-汇总表'!E3,SUMIF(项目类型,C1,'数据-汇总表'!E17:E26))</f>
        <v>233.9</v>
      </c>
    </row>
    <row r="19" spans="1:36" ht="15">
      <c r="A19" s="1761" t="s">
        <v>1290</v>
      </c>
      <c r="B19" s="1762" t="s">
        <v>1291</v>
      </c>
      <c r="C19" s="134">
        <f ca="1">SUMIF(INDIRECT("'"&amp;C4&amp;"'"&amp;"!A:A"),结果表!B19,INDIRECT("'"&amp;C4&amp;"'"&amp;"!B:B"))</f>
        <v>437.29939999999999</v>
      </c>
      <c r="D19" s="135">
        <f ca="1">SUMIF(INDIRECT("'"&amp;D4&amp;"'"&amp;"!A:A"),结果表!B19,INDIRECT("'"&amp;D4&amp;"'"&amp;"!B:B"))</f>
        <v>246.22329999999999</v>
      </c>
      <c r="E19" s="1761" t="s">
        <v>1292</v>
      </c>
      <c r="F19" s="1762" t="s">
        <v>1291</v>
      </c>
      <c r="G19" s="136">
        <f ca="1">ROUND(C19*$C$18+D19*$D$18,0)</f>
        <v>351</v>
      </c>
      <c r="H19" s="1763" t="s">
        <v>1293</v>
      </c>
      <c r="I19" s="129"/>
      <c r="J19" s="725">
        <v>352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18696</v>
      </c>
      <c r="D20" s="138">
        <f ca="1">SUMIF(INDIRECT("'"&amp;D4&amp;"'"&amp;"!A:A"),结果表!B20,INDIRECT("'"&amp;D4&amp;"'"&amp;"!B:B"))</f>
        <v>10527</v>
      </c>
      <c r="E20" s="1764"/>
      <c r="F20" s="1026" t="s">
        <v>1295</v>
      </c>
      <c r="G20" s="139">
        <f ca="1">ROUND(C20*$C$18+D20*$D$18,0)</f>
        <v>15020</v>
      </c>
      <c r="H20" s="808" t="s">
        <v>1296</v>
      </c>
      <c r="I20" s="129"/>
      <c r="J20" s="725">
        <v>15049</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0.7760276951856302</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15020</v>
      </c>
      <c r="D32" s="1775" t="s">
        <v>3426</v>
      </c>
      <c r="E32" s="129"/>
      <c r="F32" s="129"/>
      <c r="G32" s="129"/>
      <c r="H32" s="129"/>
      <c r="I32" s="129"/>
    </row>
    <row r="33" spans="1:15" ht="15">
      <c r="A33" s="786" t="s">
        <v>1306</v>
      </c>
      <c r="B33" s="1776"/>
      <c r="C33" s="1777" t="s">
        <v>3427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351</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45436</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351</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351</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19</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19</v>
      </c>
      <c r="E53" s="2334" t="s">
        <v>1354</v>
      </c>
      <c r="F53" s="2554">
        <f>'数据-取费表'!B41</f>
        <v>5.6000000000000001E-2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19</v>
      </c>
      <c r="E54" s="327" t="s">
        <v>1359</v>
      </c>
      <c r="F54" s="2554">
        <f>'数据-取费表'!B41</f>
        <v>5.6000000000000001E-2</v>
      </c>
      <c r="G54" s="2555"/>
      <c r="H54" s="2556"/>
      <c r="I54" s="1807"/>
      <c r="J54" s="2523">
        <v>3</v>
      </c>
      <c r="K54" s="3585" t="s">
        <v>1360</v>
      </c>
      <c r="L54" s="3585"/>
      <c r="M54" s="2525">
        <f t="shared" ca="1" si="0"/>
        <v>199</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3</v>
      </c>
      <c r="N55" s="2040" t="str">
        <f>E59</f>
        <v>差额计税</v>
      </c>
      <c r="O55" s="2529">
        <f>F59</f>
        <v>0.01</v>
      </c>
    </row>
    <row r="56" spans="1:35" ht="24.75">
      <c r="A56" s="3645" t="s">
        <v>1363</v>
      </c>
      <c r="B56" s="3623"/>
      <c r="C56" s="3623"/>
      <c r="D56" s="2324">
        <f ca="1">IF(H56="个人住宅",D57,D58)</f>
        <v>199</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202</v>
      </c>
      <c r="O57" s="2533"/>
      <c r="P57" s="2690">
        <f ca="1">N57/M49</f>
        <v>0.57549857549857553</v>
      </c>
    </row>
    <row r="58" spans="1:35" ht="24.75">
      <c r="A58" s="2335" t="s">
        <v>1352</v>
      </c>
      <c r="B58" s="3609" t="s">
        <v>1369</v>
      </c>
      <c r="C58" s="3608"/>
      <c r="D58" s="2324">
        <f ca="1">IF(H58="转让取得",C81,C97)</f>
        <v>199</v>
      </c>
      <c r="E58" s="2334" t="s">
        <v>1364</v>
      </c>
      <c r="F58" s="302" t="s">
        <v>28</v>
      </c>
      <c r="G58" s="2555"/>
      <c r="H58" s="2558"/>
      <c r="I58" s="1808"/>
      <c r="J58" s="3585"/>
      <c r="K58" s="3585"/>
      <c r="L58" s="2530" t="s">
        <v>1370</v>
      </c>
      <c r="M58" s="2534"/>
      <c r="N58" s="2535" t="str">
        <f ca="1">NUMBERSTRING(INT(N57*10000),2)&amp;"元整"</f>
        <v>贰佰零贰万元整</v>
      </c>
      <c r="O58" s="2536"/>
    </row>
    <row r="59" spans="1:35" ht="24.75" thickBot="1">
      <c r="A59" s="3589" t="s">
        <v>1371</v>
      </c>
      <c r="B59" s="3590"/>
      <c r="C59" s="3590"/>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149</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壹佰肆拾玖万元整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6370</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334</v>
      </c>
      <c r="D63" s="167"/>
      <c r="E63" s="168"/>
      <c r="F63" s="1808"/>
      <c r="G63" s="1808"/>
      <c r="H63" s="1810"/>
      <c r="I63" s="129"/>
      <c r="J63" s="3568" t="s">
        <v>1379</v>
      </c>
      <c r="K63" s="1332" t="s">
        <v>1380</v>
      </c>
      <c r="L63" s="1332">
        <f ca="1">IF(M49&gt;10000,M49*0.5%,IF(AND(M49&gt;1000,M49&lt;=10000),M49*1%,IF(AND(M49&gt;100,M49&lt;=1000),M49*3%,IF(AND(M49&gt;10,M49&lt;=100),M49*5%,M49*8%))))</f>
        <v>10.53</v>
      </c>
      <c r="M63" s="302">
        <f ca="1">ROUND(L63,1)</f>
        <v>10.5</v>
      </c>
      <c r="N63" s="2543"/>
      <c r="Z63" s="1752"/>
      <c r="AI63" s="1753"/>
    </row>
    <row r="64" spans="1:35" ht="14.25" customHeight="1">
      <c r="A64" s="169" t="s">
        <v>325</v>
      </c>
      <c r="B64" s="170" t="s">
        <v>1381</v>
      </c>
      <c r="C64" s="2565">
        <f ca="1">D45</f>
        <v>351</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2.8080000000000003</v>
      </c>
      <c r="M64" s="302">
        <f t="shared" ref="M64:M65" ca="1" si="1">ROUND(L64,1)</f>
        <v>2.8</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3.5100000000000002</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1.7550000000000001</v>
      </c>
      <c r="M66" s="302">
        <f ca="1">IF(L66&gt;0.5,0.5,ROUND(L66,0))</f>
        <v>0.5</v>
      </c>
      <c r="N66" s="2544" t="s">
        <v>1388</v>
      </c>
      <c r="Z66" s="1752"/>
      <c r="AI66" s="1753"/>
    </row>
    <row r="67" spans="1:35" ht="14.25" customHeight="1">
      <c r="A67" s="173" t="s">
        <v>328</v>
      </c>
      <c r="B67" s="174" t="s">
        <v>1389</v>
      </c>
      <c r="C67" s="2568">
        <f ca="1">C63-C66</f>
        <v>334</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1.1274999999999999</v>
      </c>
      <c r="M67" s="302">
        <f ca="1">ROUND(L67*0.9,1)</f>
        <v>1</v>
      </c>
      <c r="N67" s="2543"/>
      <c r="Z67" s="1752"/>
      <c r="AI67" s="1753"/>
    </row>
    <row r="68" spans="1:35" ht="14.25" customHeight="1" thickBot="1">
      <c r="A68" s="176" t="s">
        <v>329</v>
      </c>
      <c r="B68" s="177" t="s">
        <v>1391</v>
      </c>
      <c r="C68" s="2569">
        <f ca="1">IF(C67&lt;=0,0,ROUND(C67*D68,0))</f>
        <v>19</v>
      </c>
      <c r="D68" s="2570">
        <f>'数据-取费表'!B41</f>
        <v>5.6000000000000001E-2</v>
      </c>
      <c r="E68" s="178"/>
      <c r="F68" s="1808"/>
      <c r="G68" s="1808"/>
      <c r="H68" s="1810"/>
      <c r="I68" s="129"/>
      <c r="J68" s="3568"/>
      <c r="K68" s="1332" t="s">
        <v>1392</v>
      </c>
      <c r="L68" s="1332">
        <f ca="1">IF(M49&gt;10000,M49*0.5%,IF(AND(M49&gt;5000,M49&lt;=10000),M49*1%,IF(AND(M49&gt;1000,M49&lt;=5000),M49*2%,IF(AND(M49&gt;200,M49&lt;=1000),M49*3%,M49*5%))))</f>
        <v>10.53</v>
      </c>
      <c r="M68" s="302">
        <f ca="1">ROUND(L68,1)</f>
        <v>10.5</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29</v>
      </c>
      <c r="N69" s="2545">
        <f ca="1">M69/M49</f>
        <v>8.2621082621082614E-2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351</v>
      </c>
      <c r="I101" s="129"/>
    </row>
    <row r="102" spans="1:35" ht="18.75" customHeight="1">
      <c r="A102" s="3596" t="s">
        <v>1433</v>
      </c>
      <c r="B102" s="2584" t="s">
        <v>1432</v>
      </c>
      <c r="C102" s="2585">
        <f ca="1">IF(D32="楼面单价",ROUND(C19,0),C19)</f>
        <v>437</v>
      </c>
      <c r="D102" s="2586">
        <f ca="1">IF(D32="楼面单价",ROUND(D19,0),D19)</f>
        <v>246</v>
      </c>
      <c r="E102" s="3564"/>
      <c r="F102" s="3565"/>
      <c r="G102" s="1827" t="s">
        <v>1434</v>
      </c>
      <c r="H102" s="2555">
        <f ca="1">I118</f>
        <v>15020</v>
      </c>
      <c r="I102" s="129"/>
    </row>
    <row r="103" spans="1:35" ht="42.75" customHeight="1">
      <c r="A103" s="3596"/>
      <c r="B103" s="2584" t="s">
        <v>1434</v>
      </c>
      <c r="C103" s="2587">
        <f ca="1">C20</f>
        <v>18696</v>
      </c>
      <c r="D103" s="2588">
        <f ca="1">D20</f>
        <v>10527</v>
      </c>
      <c r="E103" s="3557" t="s">
        <v>1435</v>
      </c>
      <c r="F103" s="3558"/>
      <c r="G103" s="1828" t="s">
        <v>1436</v>
      </c>
      <c r="H103" s="2595">
        <f>IF(D36="正常操作",H104+H105+H106,H105+H106)</f>
        <v>0</v>
      </c>
      <c r="I103" s="129"/>
    </row>
    <row r="104" spans="1:35" ht="18.75" customHeight="1">
      <c r="A104" s="3596" t="s">
        <v>1437</v>
      </c>
      <c r="B104" s="2589" t="s">
        <v>1432</v>
      </c>
      <c r="C104" s="2590">
        <f ca="1">H118</f>
        <v>351</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15020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351</v>
      </c>
      <c r="I107" s="129"/>
    </row>
    <row r="108" spans="1:35" ht="18.75" customHeight="1">
      <c r="A108" s="129"/>
      <c r="B108" s="129"/>
      <c r="C108" s="129"/>
      <c r="D108" s="129"/>
      <c r="E108" s="3597"/>
      <c r="F108" s="3565"/>
      <c r="G108" s="1827" t="s">
        <v>1434</v>
      </c>
      <c r="H108" s="2555">
        <f ca="1">IF(H107=H101,H102,ROUND(H107*10000/'数据-汇总表'!E3,0))</f>
        <v>15020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233.9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351</v>
      </c>
      <c r="I118" s="2329">
        <f ca="1">ROUND(IF(D32="楼面单价",C32,H118*10000/B118),0)</f>
        <v>15020</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叁佰伍拾壹万元整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351</v>
      </c>
      <c r="E122" s="3574"/>
      <c r="F122" s="3574"/>
      <c r="G122" s="3574"/>
      <c r="H122" s="3574"/>
      <c r="I122" s="3575"/>
      <c r="AA122" s="725"/>
    </row>
    <row r="123" spans="1:27" ht="18.75" customHeight="1">
      <c r="A123" s="3572" t="s">
        <v>1452</v>
      </c>
      <c r="B123" s="3572"/>
      <c r="C123" s="3572"/>
      <c r="D123" s="3578" t="str">
        <f ca="1">NUMBERSTRING(INT(D122*10000),2)&amp;"元整"</f>
        <v>叁佰伍拾壹万元整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233.9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233.9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7</v>
      </c>
      <c r="D45" s="235">
        <f ca="1">C47</f>
        <v>2E-3</v>
      </c>
      <c r="E45" s="236" t="s">
        <v>1539</v>
      </c>
      <c r="F45" s="246">
        <f ca="1">F27</f>
        <v>0.1</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68</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298.33179999999999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12755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1877433</v>
      </c>
      <c r="D5" s="211" t="s">
        <v>1469</v>
      </c>
      <c r="E5" s="212" t="s">
        <v>1470</v>
      </c>
      <c r="F5" s="212" t="s">
        <v>1471</v>
      </c>
      <c r="G5" s="213"/>
    </row>
    <row r="6" spans="1:8" s="214" customFormat="1" ht="13.5" customHeight="1">
      <c r="A6" s="778" t="s">
        <v>1472</v>
      </c>
      <c r="B6" s="215" t="s">
        <v>1473</v>
      </c>
      <c r="C6" s="216">
        <f>ROUND(基准地价修正!C33*基准地价修正!D33,0)</f>
        <v>1776471</v>
      </c>
      <c r="D6" s="217"/>
      <c r="E6" s="218"/>
      <c r="F6" s="218"/>
      <c r="G6" s="219"/>
    </row>
    <row r="7" spans="1:8" s="214" customFormat="1" ht="13.5" customHeight="1">
      <c r="A7" s="778" t="s">
        <v>1474</v>
      </c>
      <c r="B7" s="215" t="s">
        <v>1475</v>
      </c>
      <c r="C7" s="220">
        <f>ROUND(C6*F7,0)</f>
        <v>54182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46780</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46780</v>
      </c>
      <c r="D10" s="845">
        <f ca="1">IF(B1="",'数据-汇总表'!E6,IF(INDIRECT("'数据-取费表'!c"&amp;$G$1)="住宅",INDIRECT("'数据-取费表'!s"&amp;$G$1),INDIRECT("'数据-取费表'!k"&amp;$G$1)+INDIRECT("'数据-取费表'!s"&amp;$G$1)))</f>
        <v>233.9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233.9</v>
      </c>
      <c r="E19" s="211">
        <f>'数据-取费表'!B31</f>
        <v>200</v>
      </c>
      <c r="F19" s="231"/>
      <c r="G19" s="1856" t="s">
        <v>3425</v>
      </c>
    </row>
    <row r="20" spans="1:7" s="214" customFormat="1" ht="13.5" customHeight="1">
      <c r="A20" s="255" t="s">
        <v>1574</v>
      </c>
      <c r="B20" s="210" t="s">
        <v>1575</v>
      </c>
      <c r="C20" s="232">
        <f ca="1">ROUND((C5+C19)*F20,0)</f>
        <v>37549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65419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64771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648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191498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191498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2349523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734446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654920</v>
      </c>
      <c r="D34" s="217"/>
      <c r="E34" s="220"/>
      <c r="F34" s="257"/>
      <c r="G34" s="219"/>
    </row>
    <row r="35" spans="1:7" ht="13.5" customHeight="1">
      <c r="A35" s="780" t="s">
        <v>351</v>
      </c>
      <c r="B35" s="215" t="s">
        <v>1527</v>
      </c>
      <c r="C35" s="220">
        <f ca="1">ROUND(C34*F35,0)</f>
        <v>19648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46780</v>
      </c>
      <c r="D37" s="217">
        <f ca="1">D19</f>
        <v>233.9</v>
      </c>
      <c r="E37" s="249">
        <f>'数据-取费表'!B35</f>
        <v>200</v>
      </c>
      <c r="F37" s="259"/>
      <c r="G37" s="261"/>
    </row>
    <row r="38" spans="1:7" ht="13.5" customHeight="1">
      <c r="A38" s="780" t="s">
        <v>354</v>
      </c>
      <c r="B38" s="215" t="s">
        <v>1533</v>
      </c>
      <c r="C38" s="220">
        <f ca="1">ROUND(C34*F38,0)</f>
        <v>13098</v>
      </c>
      <c r="D38" s="220"/>
      <c r="E38" s="220"/>
      <c r="F38" s="259">
        <f>'数据-取费表'!B36</f>
        <v>0.02</v>
      </c>
      <c r="G38" s="219" t="s">
        <v>1528</v>
      </c>
    </row>
    <row r="39" spans="1:7" s="214" customFormat="1" ht="13.5" customHeight="1">
      <c r="A39" s="255" t="s">
        <v>1534</v>
      </c>
      <c r="B39" s="210" t="s">
        <v>1535</v>
      </c>
      <c r="C39" s="232">
        <f ca="1">ROUND(C33*F20,0)</f>
        <v>14689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12922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12669</v>
      </c>
      <c r="D42" s="238"/>
      <c r="E42" s="238"/>
      <c r="F42" s="239"/>
      <c r="G42" s="3651" t="s">
        <v>1591</v>
      </c>
    </row>
    <row r="43" spans="1:7" ht="13.5" customHeight="1">
      <c r="A43" s="780" t="s">
        <v>347</v>
      </c>
      <c r="B43" s="215" t="s">
        <v>1545</v>
      </c>
      <c r="C43" s="238">
        <f ca="1">ROUND(IF('数据-取费表'!B22&lt;=1,C39*F22*'数据-取费表'!B20/2,C39*(POWER((1+F22),'数据-取费表'!B20/2)-1)),0)</f>
        <v>253</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74914</v>
      </c>
      <c r="D45" s="235">
        <f ca="1">C47</f>
        <v>2E-3</v>
      </c>
      <c r="E45" s="236" t="s">
        <v>1539</v>
      </c>
      <c r="F45" s="246">
        <f ca="1">F27</f>
        <v>0.1</v>
      </c>
      <c r="G45" s="247" t="s">
        <v>1548</v>
      </c>
    </row>
    <row r="46" spans="1:7" s="214" customFormat="1" ht="13.5" customHeight="1">
      <c r="A46" s="780" t="s">
        <v>346</v>
      </c>
      <c r="B46" s="248" t="s">
        <v>1549</v>
      </c>
      <c r="C46" s="249">
        <f ca="1">ROUND((C33+C39)*F27,0)</f>
        <v>74914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905421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633795</v>
      </c>
      <c r="D51" s="232"/>
      <c r="E51" s="232"/>
      <c r="F51" s="264"/>
      <c r="G51" s="234" t="s">
        <v>1560</v>
      </c>
    </row>
    <row r="52" spans="1:7" s="208" customFormat="1" ht="16.5" thickBot="1">
      <c r="A52" s="265" t="s">
        <v>1561</v>
      </c>
      <c r="B52" s="266"/>
      <c r="C52" s="267">
        <f ca="1">C31+C51</f>
        <v>2983318</v>
      </c>
      <c r="D52" s="266"/>
      <c r="E52" s="266"/>
      <c r="F52" s="266"/>
      <c r="G52" s="268"/>
    </row>
    <row r="55" spans="1:7" ht="15">
      <c r="B55" s="270" t="s">
        <v>1562</v>
      </c>
      <c r="C55" s="271"/>
    </row>
    <row r="56" spans="1:7">
      <c r="B56" s="273" t="s">
        <v>802</v>
      </c>
      <c r="C56" s="275">
        <f ca="1">1-C57</f>
        <v>0.78800000000000003</v>
      </c>
    </row>
    <row r="57" spans="1:7">
      <c r="B57" s="273" t="s">
        <v>803</v>
      </c>
      <c r="C57" s="274">
        <f ca="1">ROUND(C51/C52,3)</f>
        <v>0.21199999999999999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v>
      </c>
      <c r="C2" s="276" t="s">
        <v>1595</v>
      </c>
      <c r="D2" s="276"/>
      <c r="E2" s="2806"/>
      <c r="F2" s="2806"/>
      <c r="G2" s="2806"/>
      <c r="H2" s="2806"/>
      <c r="I2" s="2806"/>
      <c r="J2" s="2806"/>
      <c r="K2" s="2806"/>
    </row>
    <row r="3" spans="1:33" ht="18" customHeight="1" thickBot="1">
      <c r="A3" s="203" t="s">
        <v>1464</v>
      </c>
      <c r="B3" s="204">
        <f ca="1">ROUND(B2*10000/IF(C1="",'数据-汇总表'!E3,INDIRECT("'数据-取费表'!K"&amp;$K$1)),0)</f>
        <v>-257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233.9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233.9</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9" t="s">
        <v>3410</v>
      </c>
      <c r="D1" s="1362" t="s">
        <v>43</v>
      </c>
      <c r="E1" s="1363" t="s">
        <v>678</v>
      </c>
      <c r="F1" s="1062">
        <f ca="1">J53</f>
        <v>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246.22329999999999</v>
      </c>
      <c r="C2" s="1387" t="s">
        <v>879</v>
      </c>
      <c r="D2" s="1471">
        <f ca="1">C40+J29+L46</f>
        <v>2462233</v>
      </c>
      <c r="E2" s="1388" t="s">
        <v>880</v>
      </c>
      <c r="F2" s="1389"/>
      <c r="G2" s="2706"/>
      <c r="H2" s="2695"/>
      <c r="I2" s="2695"/>
      <c r="J2" s="2695"/>
      <c r="K2" s="2696"/>
      <c r="L2" s="2695"/>
      <c r="M2" s="2695"/>
    </row>
    <row r="3" spans="1:37" ht="18" customHeight="1" thickBot="1">
      <c r="A3" s="1390" t="s">
        <v>881</v>
      </c>
      <c r="B3" s="1391">
        <f ca="1">IF(ISERROR(D2/F43),0,ROUND(D2/F43,0))</f>
        <v>10527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230796</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230508</v>
      </c>
      <c r="D6" s="155" t="s">
        <v>2106</v>
      </c>
      <c r="E6" s="302" t="s">
        <v>696</v>
      </c>
      <c r="F6" s="303">
        <f ca="1">INDIRECT("'数据-取费表'!u"&amp;$G$1)</f>
        <v>3</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233.9</v>
      </c>
      <c r="G7" s="1384"/>
      <c r="H7" s="304"/>
      <c r="I7" s="3657"/>
      <c r="J7" s="306"/>
      <c r="K7" s="307"/>
      <c r="L7" s="302" t="s">
        <v>697</v>
      </c>
      <c r="M7" s="303">
        <f ca="1">F7</f>
        <v>233.9</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288</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633795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654920</v>
      </c>
      <c r="D14" s="1345" t="s">
        <v>708</v>
      </c>
      <c r="E14" s="1342"/>
      <c r="F14" s="319"/>
      <c r="G14" s="1384"/>
      <c r="H14" s="982" t="s">
        <v>398</v>
      </c>
      <c r="I14" s="302" t="s">
        <v>709</v>
      </c>
      <c r="J14" s="21">
        <f ca="1">C29</f>
        <v>905421</v>
      </c>
      <c r="K14" s="12"/>
      <c r="L14" s="807"/>
      <c r="M14" s="808"/>
    </row>
    <row r="15" spans="1:37" s="1397" customFormat="1" ht="18" customHeight="1" thickBot="1">
      <c r="A15" s="982" t="s">
        <v>399</v>
      </c>
      <c r="B15" s="302" t="s">
        <v>710</v>
      </c>
      <c r="C15" s="21">
        <f ca="1">ROUND(C14*F15,0)</f>
        <v>19648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9054</v>
      </c>
      <c r="K16" s="1087" t="s">
        <v>715</v>
      </c>
      <c r="L16" s="1088"/>
      <c r="M16" s="1072"/>
    </row>
    <row r="17" spans="1:37" s="1397" customFormat="1" ht="18" customHeight="1">
      <c r="A17" s="982" t="s">
        <v>681</v>
      </c>
      <c r="B17" s="302" t="s">
        <v>716</v>
      </c>
      <c r="C17" s="21">
        <f ca="1">ROUND(F17*(F43+INDIRECT("'数据-取费表'!S"&amp;$G$1)),0)</f>
        <v>46780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734446</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14689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9054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12922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-9054</v>
      </c>
      <c r="K25" s="1095" t="s">
        <v>753</v>
      </c>
      <c r="L25" s="1096"/>
      <c r="M25" s="1097"/>
    </row>
    <row r="26" spans="1:37" ht="18" customHeight="1">
      <c r="A26" s="982" t="s">
        <v>397</v>
      </c>
      <c r="B26" s="302" t="s">
        <v>754</v>
      </c>
      <c r="C26" s="21">
        <f ca="1">ROUND((C19+C20)*F26,0)</f>
        <v>74914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905421</v>
      </c>
      <c r="D29" s="1092"/>
      <c r="E29" s="1090"/>
      <c r="F29" s="1093"/>
      <c r="G29" s="1396"/>
      <c r="H29" s="334" t="s">
        <v>396</v>
      </c>
      <c r="I29" s="335" t="s">
        <v>768</v>
      </c>
      <c r="J29" s="336">
        <f ca="1">ROUND(J26/(1+F40)^F41,0)</f>
        <v>0</v>
      </c>
      <c r="K29" s="337" t="s">
        <v>769</v>
      </c>
      <c r="L29" s="338"/>
      <c r="M29" s="339">
        <f ca="1">INDIRECT("'数据-取费表'!k"&amp;$G$1)</f>
        <v>233.9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27363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15367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9054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2308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203433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2462233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50" t="s">
        <v>3394</v>
      </c>
      <c r="F41" s="3451">
        <f>项目基本情况!D15</f>
        <v>16.41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10527</v>
      </c>
      <c r="D43" s="337" t="s">
        <v>777</v>
      </c>
      <c r="E43" s="338" t="s">
        <v>778</v>
      </c>
      <c r="F43" s="339">
        <f ca="1">INDIRECT("'数据-取费表'!k"&amp;$G$1)</f>
        <v>233.9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-256.16390000000001</v>
      </c>
      <c r="D45" s="3432" t="s">
        <v>3355</v>
      </c>
      <c r="E45" s="1400"/>
      <c r="F45" s="1400"/>
      <c r="O45" s="1403" t="s">
        <v>808</v>
      </c>
      <c r="P45" s="1461"/>
      <c r="Q45" s="1461"/>
      <c r="R45" s="1461"/>
    </row>
    <row r="46" spans="1:18" s="1384" customFormat="1" ht="13.5" thickBot="1">
      <c r="A46" s="1404" t="s">
        <v>809</v>
      </c>
      <c r="C46" s="1405">
        <f ca="1">ROUND(C45,0)</f>
        <v>-256</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2462233</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16.41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1989</v>
      </c>
      <c r="K49" s="1423" t="s">
        <v>824</v>
      </c>
      <c r="L49" s="1427"/>
      <c r="O49" s="1428" t="s">
        <v>405</v>
      </c>
      <c r="P49" s="1419" t="s">
        <v>825</v>
      </c>
      <c r="Q49" s="1420">
        <f ca="1">C29</f>
        <v>905421</v>
      </c>
      <c r="R49" s="1420" t="s">
        <v>818</v>
      </c>
    </row>
    <row r="50" spans="1:18" s="1384" customFormat="1" ht="13.5" thickBot="1">
      <c r="A50" s="976"/>
      <c r="B50" s="979"/>
      <c r="C50" s="980"/>
      <c r="D50" s="953"/>
      <c r="E50" s="1056" t="s">
        <v>697</v>
      </c>
      <c r="F50" s="1057">
        <f ca="1">F7</f>
        <v>233.9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15</v>
      </c>
      <c r="K51" s="1434" t="s">
        <v>830</v>
      </c>
      <c r="L51" s="1435">
        <f ca="1">ROUND(-PV(INDIRECT("'数据-取费表'!h"&amp;$G$1),J51,(C39-C13*C76),0),0)</f>
        <v>1596651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15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15</v>
      </c>
      <c r="K53" s="3654" t="s">
        <v>837</v>
      </c>
      <c r="L53" s="3655"/>
      <c r="O53" s="1418" t="s">
        <v>409</v>
      </c>
      <c r="P53" s="1419" t="s">
        <v>838</v>
      </c>
      <c r="Q53" s="1420">
        <f ca="1">Q47+Q48</f>
        <v>2462233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3411</v>
      </c>
      <c r="O55" s="1411" t="s">
        <v>811</v>
      </c>
      <c r="P55" s="1412" t="s">
        <v>812</v>
      </c>
      <c r="Q55" s="1413" t="s">
        <v>813</v>
      </c>
      <c r="R55" s="1413" t="s">
        <v>814</v>
      </c>
    </row>
    <row r="56" spans="1:18" s="1384" customFormat="1" ht="36" customHeight="1" thickTop="1" thickBot="1">
      <c r="A56" s="957">
        <v>2</v>
      </c>
      <c r="B56" s="958" t="s">
        <v>704</v>
      </c>
      <c r="C56" s="232">
        <f ca="1">C13</f>
        <v>633795</v>
      </c>
      <c r="D56" s="1447"/>
      <c r="E56" s="1448"/>
      <c r="F56" s="1440"/>
      <c r="I56" s="1449" t="s">
        <v>842</v>
      </c>
      <c r="J56" s="1450" t="s">
        <v>3385</v>
      </c>
      <c r="K56" s="1421" t="s">
        <v>843</v>
      </c>
      <c r="L56" s="1424">
        <f ca="1">IF(L48&lt;J51,"——",L48-J51)</f>
        <v>1.4100000000000001</v>
      </c>
      <c r="O56" s="1418" t="s">
        <v>403</v>
      </c>
      <c r="P56" s="1419" t="s">
        <v>817</v>
      </c>
      <c r="Q56" s="1420">
        <f ca="1">C40+J29</f>
        <v>2462233</v>
      </c>
      <c r="R56" s="1420" t="s">
        <v>818</v>
      </c>
    </row>
    <row r="57" spans="1:18" s="1384" customFormat="1" ht="24.75" thickBot="1">
      <c r="A57" s="1451"/>
      <c r="B57" s="950" t="s">
        <v>767</v>
      </c>
      <c r="C57" s="238">
        <f ca="1">C29</f>
        <v>905421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9688</v>
      </c>
      <c r="D58" s="960" t="s">
        <v>715</v>
      </c>
      <c r="E58" s="961"/>
      <c r="F58" s="962"/>
      <c r="I58" s="1455" t="s">
        <v>848</v>
      </c>
      <c r="J58" s="1457" t="e">
        <f ca="1">IF(J55&lt;0.4,0.4,J55)</f>
        <v>#VALUE!</v>
      </c>
      <c r="K58" s="1434" t="s">
        <v>895</v>
      </c>
      <c r="L58" s="1424">
        <f ca="1">ROUND(POWER(1+L52,L47-L48)*(POWER(1+L52,L48)-1)/(POWER(1+L52,L47)-1),4)</f>
        <v>0.66249999999999998</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0.62549999999999994</v>
      </c>
      <c r="M59" s="1381">
        <f ca="1">ROUND(POWER(1+L52,L47-(J51+'数据-取费表'!B24))*(POWER(1+L52,(J51+'数据-取费表'!B24))-1)/(POWER(1+L52,L47)-1),4)</f>
        <v>0.62549999999999994</v>
      </c>
      <c r="N59" s="1381">
        <f ca="1">ROUND(POWER(1+L52,L47-(J51+'数据-取费表'!B20))*(POWER(1+L52,(J51+'数据-取费表'!B20))-1)/(POWER(1+L52,L47)-1),4)</f>
        <v>0.65200000000000002</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0.66249999999999998</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0.62549999999999994</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2462233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9054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634</v>
      </c>
      <c r="D65" s="964" t="s">
        <v>743</v>
      </c>
      <c r="E65" s="950" t="s">
        <v>744</v>
      </c>
      <c r="F65" s="330">
        <f t="shared" ca="1" si="0"/>
        <v>1E-3</v>
      </c>
      <c r="I65" s="1462" t="s">
        <v>867</v>
      </c>
      <c r="J65" s="1463">
        <v>40</v>
      </c>
      <c r="K65" s="1463">
        <v>30</v>
      </c>
      <c r="L65" s="1463">
        <v>50</v>
      </c>
      <c r="M65" s="1465">
        <v>0.02</v>
      </c>
      <c r="O65" s="1418" t="s">
        <v>403</v>
      </c>
      <c r="P65" s="1419" t="s">
        <v>868</v>
      </c>
      <c r="Q65" s="1420">
        <f ca="1">C40+J29</f>
        <v>2462233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-9688</v>
      </c>
      <c r="D67" s="963" t="s">
        <v>753</v>
      </c>
      <c r="E67" s="968"/>
      <c r="F67" s="969"/>
      <c r="O67" s="1428" t="s">
        <v>405</v>
      </c>
      <c r="P67" s="1419" t="s">
        <v>850</v>
      </c>
      <c r="Q67" s="1466">
        <f ca="1">L51</f>
        <v>1596651</v>
      </c>
      <c r="R67" s="1420" t="s">
        <v>870</v>
      </c>
    </row>
    <row r="68" spans="1:18" s="1384" customFormat="1" ht="16.5" thickBot="1">
      <c r="A68" s="947" t="s">
        <v>395</v>
      </c>
      <c r="B68" s="948" t="s">
        <v>774</v>
      </c>
      <c r="C68" s="301">
        <f ca="1">ROUND(C67*(1-((1+F70)/(1+F68))^F69)/(F68-F70),0)</f>
        <v>-99406</v>
      </c>
      <c r="D68" s="965" t="s">
        <v>758</v>
      </c>
      <c r="E68" s="950" t="s">
        <v>759</v>
      </c>
      <c r="F68" s="312">
        <f ca="1">F40</f>
        <v>0.06</v>
      </c>
      <c r="O68" s="1428" t="s">
        <v>406</v>
      </c>
      <c r="P68" s="1467" t="s">
        <v>871</v>
      </c>
      <c r="Q68" s="1420">
        <f ca="1">ROUND(Q69-Q70*Q71,0)</f>
        <v>159067</v>
      </c>
      <c r="R68" s="1420" t="s">
        <v>414</v>
      </c>
    </row>
    <row r="69" spans="1:18" s="1384" customFormat="1" ht="13.5" thickBot="1">
      <c r="A69" s="951"/>
      <c r="B69" s="952"/>
      <c r="C69" s="306"/>
      <c r="D69" s="970" t="s">
        <v>762</v>
      </c>
      <c r="E69" s="950" t="s">
        <v>763</v>
      </c>
      <c r="F69" s="333">
        <f>F41</f>
        <v>16.41</v>
      </c>
      <c r="O69" s="1428" t="s">
        <v>411</v>
      </c>
      <c r="P69" s="1467" t="s">
        <v>872</v>
      </c>
      <c r="Q69" s="1420">
        <f ca="1">C39</f>
        <v>203433</v>
      </c>
      <c r="R69" s="1420" t="s">
        <v>818</v>
      </c>
    </row>
    <row r="70" spans="1:18" s="1384" customFormat="1" ht="13.5" thickBot="1">
      <c r="A70" s="954"/>
      <c r="B70" s="955"/>
      <c r="C70" s="310"/>
      <c r="D70" s="966"/>
      <c r="E70" s="950" t="s">
        <v>766</v>
      </c>
      <c r="F70" s="1054"/>
      <c r="O70" s="1428" t="s">
        <v>412</v>
      </c>
      <c r="P70" s="1467" t="s">
        <v>873</v>
      </c>
      <c r="Q70" s="1420">
        <f ca="1">C13</f>
        <v>633795</v>
      </c>
      <c r="R70" s="1420" t="s">
        <v>818</v>
      </c>
    </row>
    <row r="71" spans="1:18" s="1384" customFormat="1" ht="13.5" thickBot="1">
      <c r="A71" s="971" t="s">
        <v>396</v>
      </c>
      <c r="B71" s="972" t="s">
        <v>776</v>
      </c>
      <c r="C71" s="336">
        <f ca="1">ROUND(C68/F71,0)</f>
        <v>-425</v>
      </c>
      <c r="D71" s="973" t="s">
        <v>777</v>
      </c>
      <c r="E71" s="974" t="s">
        <v>778</v>
      </c>
      <c r="F71" s="339">
        <f ca="1">F43</f>
        <v>233.9</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0.66249999999999998</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0.62549999999999994</v>
      </c>
      <c r="R74" s="1420" t="s">
        <v>857</v>
      </c>
    </row>
    <row r="75" spans="1:18" ht="13.5" thickBot="1">
      <c r="A75" s="1384"/>
      <c r="B75" s="340" t="s">
        <v>795</v>
      </c>
      <c r="C75" s="341">
        <f ca="1">ROUND(C13*C76,0)</f>
        <v>44366</v>
      </c>
      <c r="D75" s="1384"/>
      <c r="E75" s="1384"/>
      <c r="F75" s="1384"/>
      <c r="K75" s="1402"/>
      <c r="L75" s="1384"/>
      <c r="O75" s="1418" t="s">
        <v>409</v>
      </c>
      <c r="P75" s="1419" t="s">
        <v>838</v>
      </c>
      <c r="Q75" s="1420">
        <f ca="1">Q65+Q66</f>
        <v>2462233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0.74299999999999999</v>
      </c>
    </row>
    <row r="83" spans="2:3">
      <c r="B83" s="273" t="s">
        <v>803</v>
      </c>
      <c r="C83" s="274">
        <f ca="1">ROUND(C13/C40,3)</f>
        <v>0.25700000000000001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59" t="s">
        <v>2321</v>
      </c>
      <c r="K2" s="366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1" t="s">
        <v>2331</v>
      </c>
      <c r="K3" s="366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1" t="s">
        <v>2333</v>
      </c>
      <c r="K4" s="366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3" t="s">
        <v>2337</v>
      </c>
      <c r="B6" s="3664"/>
      <c r="C6" s="3665"/>
      <c r="D6" s="2870"/>
      <c r="E6" s="2871"/>
      <c r="F6" s="2872"/>
      <c r="G6" s="2873"/>
      <c r="H6" s="2848"/>
      <c r="I6" s="2849"/>
      <c r="J6" s="3666">
        <v>1</v>
      </c>
      <c r="K6" s="366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6"/>
      <c r="K7" s="366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0" t="s">
        <v>2351</v>
      </c>
      <c r="C8" s="3671"/>
      <c r="D8" s="2889" t="s">
        <v>2352</v>
      </c>
      <c r="E8" s="2890" t="s">
        <v>2353</v>
      </c>
      <c r="F8" s="2891" t="s">
        <v>2354</v>
      </c>
      <c r="G8" s="2892"/>
      <c r="H8" s="2848"/>
      <c r="I8" s="2849"/>
      <c r="J8" s="3666"/>
      <c r="K8" s="366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0" t="s">
        <v>2357</v>
      </c>
      <c r="C9" s="3671"/>
      <c r="D9" s="2889">
        <f>ROUND(D6*E9,0)</f>
        <v>0</v>
      </c>
      <c r="E9" s="2893"/>
      <c r="F9" s="2894" t="s">
        <v>2358</v>
      </c>
      <c r="G9" s="2873"/>
      <c r="H9" s="2848"/>
      <c r="I9" s="2849"/>
      <c r="J9" s="3666"/>
      <c r="K9" s="3668"/>
      <c r="L9" s="2883" t="s">
        <v>2359</v>
      </c>
      <c r="M9" s="2884"/>
      <c r="N9" s="2860"/>
      <c r="O9" s="2885"/>
      <c r="P9" s="2885"/>
      <c r="Q9" s="2886">
        <v>365</v>
      </c>
      <c r="R9" s="2887">
        <f t="shared" si="0"/>
        <v>0</v>
      </c>
      <c r="S9" s="2841"/>
      <c r="T9" s="2841"/>
      <c r="U9" s="2841"/>
      <c r="V9" s="2849"/>
    </row>
    <row r="10" spans="1:22" s="2853" customFormat="1" ht="13.15" customHeight="1">
      <c r="A10" s="2888">
        <v>2</v>
      </c>
      <c r="B10" s="3670" t="s">
        <v>2360</v>
      </c>
      <c r="C10" s="3671"/>
      <c r="D10" s="2889">
        <f>ROUND(D6*E10,0)</f>
        <v>0</v>
      </c>
      <c r="E10" s="2893"/>
      <c r="F10" s="2894" t="s">
        <v>2361</v>
      </c>
      <c r="G10" s="2873"/>
      <c r="H10" s="2848"/>
      <c r="I10" s="2849"/>
      <c r="J10" s="3666"/>
      <c r="K10" s="3668"/>
      <c r="L10" s="2883" t="s">
        <v>2362</v>
      </c>
      <c r="M10" s="2884"/>
      <c r="N10" s="2860"/>
      <c r="O10" s="2885"/>
      <c r="P10" s="2885"/>
      <c r="Q10" s="2886">
        <v>365</v>
      </c>
      <c r="R10" s="2887">
        <f t="shared" si="0"/>
        <v>0</v>
      </c>
      <c r="S10" s="2841"/>
      <c r="T10" s="2841"/>
      <c r="U10" s="2841"/>
      <c r="V10" s="2849"/>
    </row>
    <row r="11" spans="1:22" s="2853" customFormat="1" ht="13.15" customHeight="1">
      <c r="A11" s="2888">
        <v>3</v>
      </c>
      <c r="B11" s="3670" t="s">
        <v>2363</v>
      </c>
      <c r="C11" s="3671"/>
      <c r="D11" s="2889">
        <f>D12+D14+D15+D16</f>
        <v>0</v>
      </c>
      <c r="E11" s="2895" t="e">
        <f>D11/D6</f>
        <v>#DIV/0!</v>
      </c>
      <c r="F11" s="2891"/>
      <c r="G11" s="2892"/>
      <c r="H11" s="2848"/>
      <c r="I11" s="2849"/>
      <c r="J11" s="3666"/>
      <c r="K11" s="366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2" t="s">
        <v>2366</v>
      </c>
      <c r="C12" s="3673"/>
      <c r="D12" s="2897">
        <f>ROUND(D13*1.2%*(1-30%),0)</f>
        <v>0</v>
      </c>
      <c r="E12" s="2898">
        <v>1.2E-2</v>
      </c>
      <c r="F12" s="2891" t="s">
        <v>2367</v>
      </c>
      <c r="G12" s="2892"/>
      <c r="H12" s="2848"/>
      <c r="I12" s="2849"/>
      <c r="J12" s="3666"/>
      <c r="K12" s="366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6"/>
      <c r="K13" s="366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2" t="s">
        <v>2372</v>
      </c>
      <c r="C14" s="3673"/>
      <c r="D14" s="2897">
        <f>ROUND(E14*B5/10000,0)</f>
        <v>0</v>
      </c>
      <c r="E14" s="2886"/>
      <c r="F14" s="2891" t="s">
        <v>2373</v>
      </c>
      <c r="G14" s="2892"/>
      <c r="H14" s="2848"/>
      <c r="I14" s="2849"/>
      <c r="J14" s="3666"/>
      <c r="K14" s="366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2" t="s">
        <v>2376</v>
      </c>
      <c r="C15" s="3673"/>
      <c r="D15" s="2897">
        <f>ROUND(D6*E15,0)</f>
        <v>0</v>
      </c>
      <c r="E15" s="2898">
        <v>5.5E-2</v>
      </c>
      <c r="F15" s="2891" t="s">
        <v>2377</v>
      </c>
      <c r="G15" s="2873"/>
      <c r="H15" s="2848"/>
      <c r="I15" s="2849"/>
      <c r="J15" s="3666">
        <v>2</v>
      </c>
      <c r="K15" s="366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2" t="s">
        <v>2385</v>
      </c>
      <c r="C16" s="3673"/>
      <c r="D16" s="2908">
        <f>D6*E16</f>
        <v>0</v>
      </c>
      <c r="E16" s="2909"/>
      <c r="F16" s="2894" t="s">
        <v>2386</v>
      </c>
      <c r="G16" s="2873"/>
      <c r="H16" s="2848"/>
      <c r="I16" s="2849"/>
      <c r="J16" s="3666"/>
      <c r="K16" s="366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2388</v>
      </c>
      <c r="C17" s="3675"/>
      <c r="D17" s="2911">
        <f>ROUND(D6*E17,0)</f>
        <v>0</v>
      </c>
      <c r="E17" s="2912"/>
      <c r="F17" s="2913" t="s">
        <v>2389</v>
      </c>
      <c r="G17" s="2873"/>
      <c r="H17" s="2848"/>
      <c r="I17" s="2849"/>
      <c r="J17" s="3666"/>
      <c r="K17" s="366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6"/>
      <c r="K18" s="366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6"/>
      <c r="K19" s="366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6"/>
      <c r="K21" s="366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6"/>
      <c r="K22" s="366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6"/>
      <c r="K23" s="366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6"/>
      <c r="K24" s="366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9" t="s">
        <v>2321</v>
      </c>
      <c r="K32" s="366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1" t="s">
        <v>2331</v>
      </c>
      <c r="K33" s="366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1" t="s">
        <v>2333</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6">
        <v>1</v>
      </c>
      <c r="K36" s="366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6"/>
      <c r="K40" s="366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246.22329999999999</v>
      </c>
      <c r="C2" s="1872" t="s">
        <v>1651</v>
      </c>
      <c r="D2" s="1873" t="s">
        <v>1652</v>
      </c>
      <c r="E2" s="2607">
        <f>SUM(E6:E13)</f>
        <v>233.9</v>
      </c>
      <c r="F2" s="2707"/>
      <c r="G2" s="1489"/>
      <c r="H2" s="1489"/>
      <c r="I2" s="1489"/>
      <c r="J2" s="1489"/>
      <c r="K2" s="1489"/>
      <c r="L2" s="1489"/>
      <c r="M2" s="1489"/>
      <c r="N2" s="1489"/>
      <c r="O2" s="1489"/>
      <c r="P2" s="1489"/>
      <c r="Q2" s="1489"/>
      <c r="R2" s="1489"/>
      <c r="S2" s="1489"/>
    </row>
    <row r="3" spans="1:22" ht="15.75">
      <c r="A3" s="1870" t="s">
        <v>686</v>
      </c>
      <c r="B3" s="2601">
        <f ca="1">ROUND(B2*10000/E2,0)</f>
        <v>10527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246.22329999999999</v>
      </c>
      <c r="C6" s="1872" t="s">
        <v>1651</v>
      </c>
      <c r="D6" s="2709"/>
      <c r="E6" s="2606">
        <f>IF(OR(A6=0,F6="否"),0,'数据-取费表'!K6+'数据-取费表'!S6)</f>
        <v>233.9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8" zoomScale="85" zoomScaleNormal="70" zoomScaleSheetLayoutView="85" workbookViewId="0">
      <selection activeCell="I35" sqref="I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3395</v>
      </c>
      <c r="F1" s="1879" t="s">
        <v>3396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437.29939999999999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18696</v>
      </c>
      <c r="C3" s="354" t="s">
        <v>1768</v>
      </c>
      <c r="D3" s="353">
        <f>IF(D1="",'数据-汇总表'!E3,SUMIF('数据-汇总表'!$C19:$C33,D1,'数据-汇总表'!$E19:$E33))</f>
        <v>233.9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3428</v>
      </c>
      <c r="D5" s="3692"/>
      <c r="E5" s="3726" t="s">
        <v>3430</v>
      </c>
      <c r="F5" s="3692"/>
      <c r="G5" s="3726" t="s">
        <v>3429</v>
      </c>
      <c r="H5" s="3692"/>
      <c r="I5" s="3726" t="s">
        <v>3430</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3431</v>
      </c>
      <c r="F6" s="3696"/>
      <c r="G6" s="3693" t="s">
        <v>3431</v>
      </c>
      <c r="H6" s="3694"/>
      <c r="I6" s="3693" t="s">
        <v>3431</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45436</v>
      </c>
      <c r="D7" s="365">
        <v>100</v>
      </c>
      <c r="E7" s="366">
        <v>45352</v>
      </c>
      <c r="F7" s="367">
        <f>SUMIF(58:58,YEAR(E7)&amp;"-"&amp;MONTH(E7),59:59)</f>
        <v>100</v>
      </c>
      <c r="G7" s="366">
        <f>C7</f>
        <v>45436</v>
      </c>
      <c r="H7" s="365">
        <f>SUMIF(58:58,YEAR(G7)&amp;"-"&amp;MONTH(G7),59:59)</f>
        <v>100</v>
      </c>
      <c r="I7" s="366">
        <v>45047</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3432</v>
      </c>
      <c r="D8" s="365">
        <v>100</v>
      </c>
      <c r="E8" s="368" t="s">
        <v>3432</v>
      </c>
      <c r="F8" s="367">
        <f>SUMIF(61:61,E8,62:62)-SUMIF(61:61,C8,62:62)+100</f>
        <v>100</v>
      </c>
      <c r="G8" s="368" t="s">
        <v>3433</v>
      </c>
      <c r="H8" s="365">
        <f>SUMIF(61:61,G8,62:62)-SUMIF(61:61,C8,62:62)+100</f>
        <v>105</v>
      </c>
      <c r="I8" s="368" t="s">
        <v>3432</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60" t="s">
        <v>3434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4" t="s">
        <v>3435</v>
      </c>
      <c r="D10" s="127">
        <v>100</v>
      </c>
      <c r="E10" s="3434" t="s">
        <v>3436</v>
      </c>
      <c r="F10" s="376">
        <f>SUMIF(65:65,E10,66:66)-SUMIF(65:65,C10,66:66)+100</f>
        <v>102</v>
      </c>
      <c r="G10" s="3434" t="s">
        <v>3436</v>
      </c>
      <c r="H10" s="127">
        <f>SUMIF(65:65,G10,66:66)-SUMIF(65:65,C10,66:66)+100</f>
        <v>102</v>
      </c>
      <c r="I10" s="3434" t="s">
        <v>3436</v>
      </c>
      <c r="J10" s="127">
        <f>SUMIF(65:65,I10,66:66)-SUMIF(65:65,C10,66:66)+100</f>
        <v>102</v>
      </c>
      <c r="K10" s="560"/>
      <c r="L10" s="2719"/>
      <c r="M10" s="2720"/>
      <c r="N10" s="2720"/>
      <c r="O10" s="2720"/>
      <c r="P10" s="3697"/>
      <c r="Q10" s="1343" t="str">
        <f t="shared" si="6"/>
        <v>土地使用年限（年）</v>
      </c>
      <c r="R10" s="701" t="s">
        <v>14</v>
      </c>
      <c r="S10" s="702">
        <f t="shared" si="0"/>
        <v>102</v>
      </c>
      <c r="T10" s="701" t="s">
        <v>14</v>
      </c>
      <c r="U10" s="702">
        <f t="shared" si="1"/>
        <v>102</v>
      </c>
      <c r="V10" s="701" t="s">
        <v>14</v>
      </c>
      <c r="W10" s="702">
        <f t="shared" si="2"/>
        <v>102</v>
      </c>
      <c r="X10" s="703"/>
      <c r="Y10" s="3627"/>
      <c r="Z10" s="52" t="str">
        <f t="shared" si="7"/>
        <v>土地使用年限（年）</v>
      </c>
      <c r="AA10" s="704">
        <f t="shared" si="3"/>
        <v>0.98039215686274506</v>
      </c>
      <c r="AB10" s="704">
        <f t="shared" si="4"/>
        <v>0.98039215686274506</v>
      </c>
      <c r="AC10" s="704">
        <f t="shared" si="5"/>
        <v>0.98039215686274506</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98</v>
      </c>
      <c r="G15" s="395"/>
      <c r="H15" s="392">
        <f>SUMIF(76:76,G16,77:77)-SUMIF(76:76,C16,77:77)+100</f>
        <v>98</v>
      </c>
      <c r="I15" s="393"/>
      <c r="J15" s="392">
        <f>SUMIF(76:76,I16,77:77)-SUMIF(76:76,C16,77:77)+100</f>
        <v>98</v>
      </c>
      <c r="K15" s="563">
        <v>2</v>
      </c>
      <c r="L15" s="2722"/>
      <c r="M15" s="2716"/>
      <c r="N15" s="2716"/>
      <c r="O15" s="2716"/>
      <c r="P15" s="3724" t="s">
        <v>1691</v>
      </c>
      <c r="Q15" s="1352" t="str">
        <f t="shared" si="6"/>
        <v>商业繁华度</v>
      </c>
      <c r="R15" s="705" t="s">
        <v>14</v>
      </c>
      <c r="S15" s="706">
        <f t="shared" si="0"/>
        <v>98</v>
      </c>
      <c r="T15" s="705" t="s">
        <v>14</v>
      </c>
      <c r="U15" s="706">
        <f t="shared" si="1"/>
        <v>98</v>
      </c>
      <c r="V15" s="705" t="s">
        <v>14</v>
      </c>
      <c r="W15" s="706">
        <f t="shared" si="2"/>
        <v>98</v>
      </c>
      <c r="X15" s="1355"/>
      <c r="Y15" s="3717" t="s">
        <v>1691</v>
      </c>
      <c r="Z15" s="1356" t="str">
        <f t="shared" si="7"/>
        <v>商业繁华度</v>
      </c>
      <c r="AA15" s="1353">
        <f t="shared" si="3"/>
        <v>1.0204081632653061</v>
      </c>
      <c r="AB15" s="1353">
        <f t="shared" si="4"/>
        <v>1.0204081632653061</v>
      </c>
      <c r="AC15" s="1353">
        <f t="shared" si="5"/>
        <v>1.0204081632653061</v>
      </c>
    </row>
    <row r="16" spans="1:29" ht="15">
      <c r="A16" s="379"/>
      <c r="B16" s="397"/>
      <c r="C16" s="398" t="s">
        <v>3437</v>
      </c>
      <c r="D16" s="399"/>
      <c r="E16" s="398" t="s">
        <v>3438</v>
      </c>
      <c r="F16" s="400"/>
      <c r="G16" s="398" t="s">
        <v>3438</v>
      </c>
      <c r="H16" s="401"/>
      <c r="I16" s="398" t="s">
        <v>3438</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3438</v>
      </c>
      <c r="D18" s="401"/>
      <c r="E18" s="1903" t="s">
        <v>3438</v>
      </c>
      <c r="F18" s="404"/>
      <c r="G18" s="1903" t="s">
        <v>3438</v>
      </c>
      <c r="H18" s="399"/>
      <c r="I18" s="1903" t="s">
        <v>3438</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98</v>
      </c>
      <c r="G19" s="410"/>
      <c r="H19" s="401">
        <f>SUMIF(80:80,G20,81:81)-SUMIF(80:80,C20,81:81)+100</f>
        <v>98</v>
      </c>
      <c r="I19" s="408"/>
      <c r="J19" s="401">
        <f>SUMIF(80:80,I20,81:81)-SUMIF(80:80,C20,81:81)+100</f>
        <v>98</v>
      </c>
      <c r="K19" s="563">
        <v>2</v>
      </c>
      <c r="L19" s="2722"/>
      <c r="M19" s="2716"/>
      <c r="N19" s="2716"/>
      <c r="O19" s="2716"/>
      <c r="P19" s="3725"/>
      <c r="Q19" s="1352" t="str">
        <f>B19</f>
        <v>公共配套设施</v>
      </c>
      <c r="R19" s="705" t="s">
        <v>14</v>
      </c>
      <c r="S19" s="706">
        <f>F19</f>
        <v>98</v>
      </c>
      <c r="T19" s="705" t="s">
        <v>14</v>
      </c>
      <c r="U19" s="706">
        <f>H19</f>
        <v>98</v>
      </c>
      <c r="V19" s="705" t="s">
        <v>14</v>
      </c>
      <c r="W19" s="706">
        <f>J19</f>
        <v>98</v>
      </c>
      <c r="X19" s="1355"/>
      <c r="Y19" s="3718"/>
      <c r="Z19" s="1356" t="str">
        <f>Q19</f>
        <v>公共配套设施</v>
      </c>
      <c r="AA19" s="1353">
        <f t="shared" si="3"/>
        <v>1.0204081632653061</v>
      </c>
      <c r="AB19" s="1353">
        <f t="shared" si="4"/>
        <v>1.0204081632653061</v>
      </c>
      <c r="AC19" s="1353">
        <f t="shared" si="5"/>
        <v>1.0204081632653061</v>
      </c>
    </row>
    <row r="20" spans="1:29" ht="15">
      <c r="A20" s="379"/>
      <c r="B20" s="407"/>
      <c r="C20" s="398" t="s">
        <v>3437</v>
      </c>
      <c r="D20" s="399"/>
      <c r="E20" s="1903" t="s">
        <v>3438</v>
      </c>
      <c r="F20" s="400"/>
      <c r="G20" s="1903" t="s">
        <v>3438</v>
      </c>
      <c r="H20" s="399"/>
      <c r="I20" s="1903" t="s">
        <v>3438</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1901" t="s">
        <v>3439</v>
      </c>
      <c r="F22" s="400"/>
      <c r="G22" s="1901" t="s">
        <v>3439</v>
      </c>
      <c r="H22" s="399"/>
      <c r="I22" s="1901" t="s">
        <v>3439</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3438</v>
      </c>
      <c r="D24" s="399"/>
      <c r="E24" s="398" t="s">
        <v>3438</v>
      </c>
      <c r="F24" s="400"/>
      <c r="G24" s="398" t="s">
        <v>3438</v>
      </c>
      <c r="H24" s="399"/>
      <c r="I24" s="398" t="s">
        <v>3438</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3442</v>
      </c>
      <c r="D25" s="386">
        <v>100</v>
      </c>
      <c r="E25" s="565" t="s">
        <v>3442</v>
      </c>
      <c r="F25" s="412">
        <f>SUMIF(86:86,E25,87:87)-SUMIF(86:86,C25,87:87)+100</f>
        <v>100</v>
      </c>
      <c r="G25" s="565" t="s">
        <v>3442</v>
      </c>
      <c r="H25" s="386">
        <f>SUMIF(86:86,G25,87:87)-SUMIF(86:86,C25,87:87)+100</f>
        <v>100</v>
      </c>
      <c r="I25" s="565" t="s">
        <v>3442</v>
      </c>
      <c r="J25" s="386">
        <f>SUMIF(86:86,I25,87:87)-SUMIF(86:86,C25,87:87)+100</f>
        <v>100</v>
      </c>
      <c r="K25" s="561">
        <v>5</v>
      </c>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463" t="s">
        <v>3456</v>
      </c>
      <c r="D26" s="386">
        <v>100</v>
      </c>
      <c r="E26" s="3463" t="s">
        <v>3456</v>
      </c>
      <c r="F26" s="412">
        <f>SUMIF(88:88,E26,89:89)-SUMIF(88:88,C26,89:89)+100</f>
        <v>100</v>
      </c>
      <c r="G26" s="3463" t="s">
        <v>3456</v>
      </c>
      <c r="H26" s="386">
        <f>SUMIF(88:88,G26,89:89)-SUMIF(88:88,C26,89:89)+100</f>
        <v>100</v>
      </c>
      <c r="I26" s="3463" t="s">
        <v>3456</v>
      </c>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3465" t="s">
        <v>3462</v>
      </c>
      <c r="D27" s="413">
        <v>100</v>
      </c>
      <c r="E27" s="3465" t="s">
        <v>3462</v>
      </c>
      <c r="F27" s="415">
        <f>SUMIF(90:90,E27,91:91)-SUMIF(90:90,C27,91:91)+100</f>
        <v>100</v>
      </c>
      <c r="G27" s="3465" t="s">
        <v>3462</v>
      </c>
      <c r="H27" s="413">
        <f>SUMIF(90:90,G27,91:91)-SUMIF(90:90,C27,91:91)+100</f>
        <v>100</v>
      </c>
      <c r="I27" s="3465" t="s">
        <v>3462</v>
      </c>
      <c r="J27" s="413">
        <f>SUMIF(90:90,I27,91:91)-SUMIF(90:90,C27,91:91)+100</f>
        <v>100</v>
      </c>
      <c r="K27" s="561">
        <v>2</v>
      </c>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75" thickBot="1">
      <c r="A28" s="379"/>
      <c r="B28" s="375" t="s">
        <v>1783</v>
      </c>
      <c r="C28" s="565">
        <v>1</v>
      </c>
      <c r="D28" s="386">
        <v>100</v>
      </c>
      <c r="E28" s="565" t="s">
        <v>3463</v>
      </c>
      <c r="F28" s="412">
        <f>SUMIF(92:92,E28,93:93)-SUMIF(92:92,C28,93:93)+100</f>
        <v>85</v>
      </c>
      <c r="G28" s="565" t="s">
        <v>3457</v>
      </c>
      <c r="H28" s="386">
        <f>SUMIF(92:92,G28,93:93)-SUMIF(92:92,C28,93:93)+100</f>
        <v>80</v>
      </c>
      <c r="I28" s="565">
        <v>1</v>
      </c>
      <c r="J28" s="386">
        <f>SUMIF(92:92,I28,93:93)-SUMIF(92:92,C28,93:93)+100</f>
        <v>100</v>
      </c>
      <c r="K28" s="562"/>
      <c r="L28" s="2722"/>
      <c r="M28" s="2716"/>
      <c r="N28" s="2716"/>
      <c r="O28" s="2716"/>
      <c r="P28" s="3725"/>
      <c r="Q28" s="1352" t="str">
        <f t="shared" si="11"/>
        <v>楼层</v>
      </c>
      <c r="R28" s="705" t="s">
        <v>14</v>
      </c>
      <c r="S28" s="706">
        <f t="shared" ref="S28:S46" si="12">F28</f>
        <v>85</v>
      </c>
      <c r="T28" s="705" t="s">
        <v>14</v>
      </c>
      <c r="U28" s="706">
        <f t="shared" ref="U28:U46" si="13">H28</f>
        <v>80</v>
      </c>
      <c r="V28" s="705" t="s">
        <v>14</v>
      </c>
      <c r="W28" s="706">
        <f t="shared" ref="W28:W46" si="14">J28</f>
        <v>100</v>
      </c>
      <c r="X28" s="1355"/>
      <c r="Y28" s="3718"/>
      <c r="Z28" s="1356" t="str">
        <f t="shared" ref="Z28:Z46" si="15">Q28</f>
        <v>楼层</v>
      </c>
      <c r="AA28" s="1353">
        <f t="shared" si="3"/>
        <v>1.1764705882352942</v>
      </c>
      <c r="AB28" s="1353">
        <f t="shared" si="4"/>
        <v>1.25</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3458</v>
      </c>
      <c r="D32" s="418">
        <v>100</v>
      </c>
      <c r="E32" s="1910" t="s">
        <v>3459</v>
      </c>
      <c r="F32" s="412">
        <f>SUMIF(100:100,E32,101:101)-SUMIF(100:100,C32,101:101)+100</f>
        <v>98</v>
      </c>
      <c r="G32" s="1910" t="s">
        <v>3458</v>
      </c>
      <c r="H32" s="386">
        <f>SUMIF(100:100,G32,101:101)-SUMIF(100:100,C32,101:101)+100</f>
        <v>100</v>
      </c>
      <c r="I32" s="1910" t="s">
        <v>3459</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233.9</v>
      </c>
      <c r="D33" s="127">
        <v>100</v>
      </c>
      <c r="E33" s="381">
        <v>76.66</v>
      </c>
      <c r="F33" s="376">
        <f>LOOKUP(E33,103:103,104:104)-LOOKUP(C33,103:103,104:104)+100</f>
        <v>102</v>
      </c>
      <c r="G33" s="380">
        <v>196.81</v>
      </c>
      <c r="H33" s="127">
        <f>LOOKUP(G33,103:103,104:104)-LOOKUP(C33,103:103,104:104)+100</f>
        <v>101</v>
      </c>
      <c r="I33" s="380">
        <v>668.54</v>
      </c>
      <c r="J33" s="127">
        <f>LOOKUP(I33,103:103,104:104)-LOOKUP(C33,103:103,104:104)+100</f>
        <v>96</v>
      </c>
      <c r="K33" s="562"/>
      <c r="L33" s="2721"/>
      <c r="M33" s="2723"/>
      <c r="N33" s="2723"/>
      <c r="O33" s="2723"/>
      <c r="P33" s="3720"/>
      <c r="Q33" s="707" t="str">
        <f t="shared" si="11"/>
        <v>项目建筑规模</v>
      </c>
      <c r="R33" s="708" t="s">
        <v>14</v>
      </c>
      <c r="S33" s="709">
        <f t="shared" si="12"/>
        <v>102</v>
      </c>
      <c r="T33" s="708" t="s">
        <v>14</v>
      </c>
      <c r="U33" s="709">
        <f t="shared" si="13"/>
        <v>101</v>
      </c>
      <c r="V33" s="708" t="s">
        <v>14</v>
      </c>
      <c r="W33" s="709">
        <f t="shared" si="14"/>
        <v>96</v>
      </c>
      <c r="X33" s="710"/>
      <c r="Y33" s="3722"/>
      <c r="Z33" s="711" t="str">
        <f t="shared" si="15"/>
        <v>项目建筑规模</v>
      </c>
      <c r="AA33" s="1353">
        <f t="shared" si="3"/>
        <v>0.98039215686274506</v>
      </c>
      <c r="AB33" s="1353">
        <f t="shared" si="4"/>
        <v>0.99009900990099009</v>
      </c>
      <c r="AC33" s="1353">
        <f t="shared" si="5"/>
        <v>1.0416666666666667</v>
      </c>
    </row>
    <row r="34" spans="1:29" ht="15">
      <c r="A34" s="423"/>
      <c r="B34" s="375" t="s">
        <v>1698</v>
      </c>
      <c r="C34" s="1912" t="s">
        <v>3451</v>
      </c>
      <c r="D34" s="386">
        <v>100</v>
      </c>
      <c r="E34" s="1912" t="s">
        <v>3450</v>
      </c>
      <c r="F34" s="412">
        <f>SUMIF(105:105,E34,106:106)-SUMIF(105:105,C34,106:106)+100</f>
        <v>102</v>
      </c>
      <c r="G34" s="1912" t="s">
        <v>3450</v>
      </c>
      <c r="H34" s="386">
        <f>SUMIF(105:105,G34,106:106)-SUMIF(105:105,C34,106:106)+100</f>
        <v>102</v>
      </c>
      <c r="I34" s="1912" t="s">
        <v>3450</v>
      </c>
      <c r="J34" s="386">
        <f>SUMIF(105:105,I34,106:106)-SUMIF(105:105,C34,106:106)+100</f>
        <v>102</v>
      </c>
      <c r="K34" s="561">
        <v>2</v>
      </c>
      <c r="L34" s="2722"/>
      <c r="M34" s="2716"/>
      <c r="N34" s="2716"/>
      <c r="O34" s="2716"/>
      <c r="P34" s="3720"/>
      <c r="Q34" s="1352" t="str">
        <f t="shared" si="11"/>
        <v>建筑结构</v>
      </c>
      <c r="R34" s="705" t="s">
        <v>14</v>
      </c>
      <c r="S34" s="706">
        <f t="shared" si="12"/>
        <v>102</v>
      </c>
      <c r="T34" s="705" t="s">
        <v>14</v>
      </c>
      <c r="U34" s="706">
        <f t="shared" si="13"/>
        <v>102</v>
      </c>
      <c r="V34" s="705" t="s">
        <v>14</v>
      </c>
      <c r="W34" s="706">
        <f t="shared" si="14"/>
        <v>102</v>
      </c>
      <c r="X34" s="1355"/>
      <c r="Y34" s="3722"/>
      <c r="Z34" s="1356" t="str">
        <f t="shared" si="15"/>
        <v>建筑结构</v>
      </c>
      <c r="AA34" s="1353">
        <f t="shared" si="3"/>
        <v>0.98039215686274506</v>
      </c>
      <c r="AB34" s="1353">
        <f t="shared" si="4"/>
        <v>0.98039215686274506</v>
      </c>
      <c r="AC34" s="1353">
        <f t="shared" si="5"/>
        <v>0.98039215686274506</v>
      </c>
    </row>
    <row r="35" spans="1:29" ht="15">
      <c r="A35" s="423"/>
      <c r="B35" s="375" t="s">
        <v>1785</v>
      </c>
      <c r="C35" s="1906" t="s">
        <v>3449</v>
      </c>
      <c r="D35" s="386">
        <v>100</v>
      </c>
      <c r="E35" s="1906" t="s">
        <v>3448</v>
      </c>
      <c r="F35" s="412">
        <f>SUMIF(107:107,E35,108:108)-SUMIF(107:107,C35,108:108)+100</f>
        <v>101</v>
      </c>
      <c r="G35" s="1906" t="s">
        <v>3449</v>
      </c>
      <c r="H35" s="386">
        <f>SUMIF(107:107,G35,108:108)-SUMIF(107:107,C35,108:108)+100</f>
        <v>100</v>
      </c>
      <c r="I35" s="1906" t="s">
        <v>3449</v>
      </c>
      <c r="J35" s="386">
        <f>SUMIF(107:107,I35,108:108)-SUMIF(107:107,C35,108:108)+100</f>
        <v>100</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100</v>
      </c>
      <c r="X35" s="1355"/>
      <c r="Y35" s="3722"/>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104</v>
      </c>
      <c r="G36" s="425">
        <v>0.8</v>
      </c>
      <c r="H36" s="412">
        <f>LOOKUP(G36,110:110,111:111)-LOOKUP(C36,110:110,111:111)+100</f>
        <v>102</v>
      </c>
      <c r="I36" s="425">
        <v>0.8</v>
      </c>
      <c r="J36" s="386">
        <f>LOOKUP(I36,110:110,111:111)-LOOKUP(C36,110:110,111:111)+100</f>
        <v>102</v>
      </c>
      <c r="K36" s="561">
        <v>2</v>
      </c>
      <c r="L36" s="2722"/>
      <c r="M36" s="2716"/>
      <c r="N36" s="2716"/>
      <c r="O36" s="2716"/>
      <c r="P36" s="3720"/>
      <c r="Q36" s="1352" t="str">
        <f t="shared" si="11"/>
        <v>成新度</v>
      </c>
      <c r="R36" s="705" t="s">
        <v>14</v>
      </c>
      <c r="S36" s="706">
        <f t="shared" si="12"/>
        <v>104</v>
      </c>
      <c r="T36" s="705" t="s">
        <v>14</v>
      </c>
      <c r="U36" s="706">
        <f t="shared" si="13"/>
        <v>102</v>
      </c>
      <c r="V36" s="705" t="s">
        <v>14</v>
      </c>
      <c r="W36" s="706">
        <f t="shared" si="14"/>
        <v>102</v>
      </c>
      <c r="X36" s="1355"/>
      <c r="Y36" s="3722"/>
      <c r="Z36" s="1356" t="str">
        <f t="shared" si="15"/>
        <v>成新度</v>
      </c>
      <c r="AA36" s="1353">
        <f t="shared" si="3"/>
        <v>0.96153846153846156</v>
      </c>
      <c r="AB36" s="1353">
        <f t="shared" si="4"/>
        <v>0.98039215686274506</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3453</v>
      </c>
      <c r="D38" s="386">
        <v>100</v>
      </c>
      <c r="E38" s="1906" t="s">
        <v>3453</v>
      </c>
      <c r="F38" s="412">
        <f>SUMIF(114:114,E38,115:115)-SUMIF(114:114,C38,115:115)+100</f>
        <v>100</v>
      </c>
      <c r="G38" s="1906" t="s">
        <v>3452</v>
      </c>
      <c r="H38" s="386">
        <f>SUMIF(114:114,G38,115:115)-SUMIF(114:114,C38,115:115)+100</f>
        <v>102</v>
      </c>
      <c r="I38" s="1906" t="s">
        <v>3453</v>
      </c>
      <c r="J38" s="386">
        <f>SUMIF(114:114,I38,115:115)-SUMIF(114:114,C38,115:115)+100</f>
        <v>100</v>
      </c>
      <c r="K38" s="561">
        <v>2</v>
      </c>
      <c r="L38" s="2722"/>
      <c r="M38" s="2716"/>
      <c r="N38" s="2716"/>
      <c r="O38" s="2716"/>
      <c r="P38" s="3720" t="s">
        <v>1696</v>
      </c>
      <c r="Q38" s="1352" t="str">
        <f t="shared" si="11"/>
        <v>业态</v>
      </c>
      <c r="R38" s="705" t="s">
        <v>14</v>
      </c>
      <c r="S38" s="706">
        <f t="shared" si="12"/>
        <v>100</v>
      </c>
      <c r="T38" s="705" t="s">
        <v>14</v>
      </c>
      <c r="U38" s="706">
        <f t="shared" si="13"/>
        <v>102</v>
      </c>
      <c r="V38" s="705" t="s">
        <v>14</v>
      </c>
      <c r="W38" s="706">
        <f t="shared" si="14"/>
        <v>100</v>
      </c>
      <c r="X38" s="1355"/>
      <c r="Y38" s="3722" t="s">
        <v>1696</v>
      </c>
      <c r="Z38" s="1356" t="str">
        <f t="shared" si="15"/>
        <v>业态</v>
      </c>
      <c r="AA38" s="1353">
        <f t="shared" si="3"/>
        <v>1</v>
      </c>
      <c r="AB38" s="1353">
        <f t="shared" si="4"/>
        <v>0.98039215686274506</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3449</v>
      </c>
      <c r="D42" s="386">
        <v>100</v>
      </c>
      <c r="E42" s="1906" t="s">
        <v>3449</v>
      </c>
      <c r="F42" s="412">
        <f>SUMIF(122:122,E42,123:123)-SUMIF(122:122,C42,123:123)+100</f>
        <v>100</v>
      </c>
      <c r="G42" s="1906" t="s">
        <v>3449</v>
      </c>
      <c r="H42" s="386">
        <f>SUMIF(122:122,G42,123:123)-SUMIF(122:122,C42,123:123)+100</f>
        <v>100</v>
      </c>
      <c r="I42" s="1906" t="s">
        <v>3460</v>
      </c>
      <c r="J42" s="386">
        <f>SUMIF(122:122,I42,123:123)-SUMIF(122:122,C42,123:123)+100</f>
        <v>98</v>
      </c>
      <c r="K42" s="561">
        <v>1</v>
      </c>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98</v>
      </c>
      <c r="X42" s="1355"/>
      <c r="Y42" s="3722"/>
      <c r="Z42" s="1356" t="str">
        <f t="shared" si="15"/>
        <v>内部装修</v>
      </c>
      <c r="AA42" s="1353">
        <f t="shared" si="3"/>
        <v>1</v>
      </c>
      <c r="AB42" s="1353">
        <f t="shared" si="4"/>
        <v>1</v>
      </c>
      <c r="AC42" s="1353">
        <f t="shared" si="5"/>
        <v>1.0204081632653061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18696</v>
      </c>
      <c r="D48" s="2317" t="s">
        <v>2138</v>
      </c>
      <c r="E48" s="1161">
        <f>R48</f>
        <v>19063</v>
      </c>
      <c r="F48" s="2318"/>
      <c r="G48" s="1160">
        <f>T48</f>
        <v>19388</v>
      </c>
      <c r="H48" s="2318"/>
      <c r="I48" s="1161">
        <f>V48</f>
        <v>17637</v>
      </c>
      <c r="J48" s="2318"/>
      <c r="K48" s="2320">
        <f>F48+H48+J48</f>
        <v>0</v>
      </c>
      <c r="L48" s="2724"/>
      <c r="M48" s="2725"/>
      <c r="N48" s="2716"/>
      <c r="O48" s="2725"/>
      <c r="P48" s="3715" t="str">
        <f>A48</f>
        <v>比较价值（元/平方米）</v>
      </c>
      <c r="Q48" s="3715"/>
      <c r="R48" s="3716">
        <f>IF(F1="售价",ROUND(PRODUCT(R47,AA7:AA46),0),ROUND(PRODUCT(R47,AA7:AA46),1))</f>
        <v>19063</v>
      </c>
      <c r="S48" s="3716"/>
      <c r="T48" s="3716">
        <f>IF(F1="售价",ROUND(PRODUCT(T47,AB7:AB46),0),ROUND(PRODUCT(T47,AB7:AB46),1))</f>
        <v>19388</v>
      </c>
      <c r="U48" s="3716"/>
      <c r="V48" s="3716">
        <f>IF(F1="售价",ROUND(PRODUCT(V47,AC7:AC46),0),ROUND(PRODUCT(V47,AC7:AC46),1))</f>
        <v>17637</v>
      </c>
      <c r="W48" s="3716"/>
      <c r="X48" s="690"/>
      <c r="Y48" s="690"/>
      <c r="Z48" s="690"/>
      <c r="AA48" s="690"/>
      <c r="AB48" s="690"/>
      <c r="AC48" s="690"/>
    </row>
    <row r="49" spans="1:29" ht="15.75" thickBot="1">
      <c r="A49" s="441" t="s">
        <v>1794</v>
      </c>
      <c r="B49" s="442"/>
      <c r="C49" s="1163">
        <f>R49</f>
        <v>18696</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18696</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0.12135294117647066</v>
      </c>
      <c r="F52" s="449" t="str">
        <f>IF(OR(E52&gt;=0.3,E52&lt;=-0.3),"超过30%","")</f>
        <v/>
      </c>
      <c r="G52" s="448">
        <f>IF(G47&lt;G48,G48/G47-1,G47/G48-1)</f>
        <v>0.13380116959064337</v>
      </c>
      <c r="H52" s="449" t="str">
        <f>IF(OR(G52&gt;=0.3,G52&lt;=-0.3),"超过30%","")</f>
        <v/>
      </c>
      <c r="I52" s="448">
        <f>IF(I47&lt;I48,I48/I47-1,I47/I48-1)</f>
        <v>6.4200808544017329E-2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1.7048733147982942E-2</v>
      </c>
      <c r="F53" s="449" t="str">
        <f>IF(OR(E53&gt;=0.2,E53&lt;=-0.2),"超过20%","")</f>
        <v/>
      </c>
      <c r="G53" s="448">
        <f>IF(G48&lt;I48,I48/G48-1,G48/I48-1)</f>
        <v>9.9279922889380368E-2</v>
      </c>
      <c r="H53" s="449" t="str">
        <f>IF(OR(G53&gt;=0.2,G53&lt;=-0.2),"超过20%","")</f>
        <v/>
      </c>
      <c r="I53" s="448">
        <f>IF(I48&lt;E48,E48/I48-1,I48/E48-1)</f>
        <v>8.0852752735726119E-2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2"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53" t="s">
        <v>3398</v>
      </c>
      <c r="D65" s="3453" t="s">
        <v>3399</v>
      </c>
      <c r="E65" s="3453" t="s">
        <v>3400</v>
      </c>
      <c r="F65" s="3453" t="s">
        <v>3401</v>
      </c>
      <c r="G65" s="3453" t="s">
        <v>3402</v>
      </c>
      <c r="H65" s="3453" t="s">
        <v>3403</v>
      </c>
      <c r="I65" s="3453" t="s">
        <v>3404</v>
      </c>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3454" t="s">
        <v>3405</v>
      </c>
      <c r="D66" s="3454" t="s">
        <v>3405</v>
      </c>
      <c r="E66" s="3454" t="s">
        <v>3405</v>
      </c>
      <c r="F66" s="3454">
        <v>100</v>
      </c>
      <c r="G66" s="3454">
        <v>98</v>
      </c>
      <c r="H66" s="3454">
        <v>96</v>
      </c>
      <c r="I66" s="3454">
        <v>94</v>
      </c>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61" t="s">
        <v>3440</v>
      </c>
      <c r="D86" s="3461" t="s">
        <v>3441</v>
      </c>
      <c r="E86" s="3461" t="s">
        <v>3443</v>
      </c>
      <c r="F86" s="3461" t="s">
        <v>3444</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5" t="s">
        <v>3406</v>
      </c>
      <c r="D88" s="3455" t="s">
        <v>3407</v>
      </c>
      <c r="E88" s="3455" t="s">
        <v>3408</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3456">
        <v>100</v>
      </c>
      <c r="D89" s="3457">
        <v>95</v>
      </c>
      <c r="E89" s="3457">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1" t="s">
        <v>3445</v>
      </c>
      <c r="D90" s="3461" t="s">
        <v>3446</v>
      </c>
      <c r="E90" s="3461" t="s">
        <v>3447</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29">
        <v>1</v>
      </c>
      <c r="D92" s="529" t="s">
        <v>3461</v>
      </c>
      <c r="E92" s="529" t="s">
        <v>3409</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3457">
        <v>100</v>
      </c>
      <c r="D93" s="3457">
        <v>85</v>
      </c>
      <c r="E93" s="3457">
        <v>80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4" t="s">
        <v>3458</v>
      </c>
      <c r="D100" s="3464" t="s">
        <v>3459</v>
      </c>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61" t="s">
        <v>3450</v>
      </c>
      <c r="D105" s="3461" t="s">
        <v>3451</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61" t="s">
        <v>3448</v>
      </c>
      <c r="D107" s="3461" t="s">
        <v>3449</v>
      </c>
      <c r="E107" s="3458"/>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61" t="s">
        <v>3452</v>
      </c>
      <c r="D114" s="3461" t="s">
        <v>3453</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61" t="s">
        <v>3448</v>
      </c>
      <c r="D122" s="3461" t="s">
        <v>3449</v>
      </c>
      <c r="E122" s="3461" t="s">
        <v>3454</v>
      </c>
      <c r="F122" s="3462" t="s">
        <v>3455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20"/>
      <c r="L10" s="2719"/>
      <c r="M10" s="2720"/>
      <c r="N10" s="2720"/>
      <c r="O10" s="2773"/>
      <c r="P10" s="3715"/>
      <c r="Q10" s="1343" t="str">
        <f t="shared" si="6"/>
        <v>土地使用年限（年）</v>
      </c>
      <c r="R10" s="701" t="s">
        <v>14</v>
      </c>
      <c r="S10" s="702">
        <f t="shared" si="0"/>
        <v>151</v>
      </c>
      <c r="T10" s="701" t="s">
        <v>14</v>
      </c>
      <c r="U10" s="702">
        <f t="shared" si="1"/>
        <v>151</v>
      </c>
      <c r="V10" s="701" t="s">
        <v>14</v>
      </c>
      <c r="W10" s="702">
        <f t="shared" si="2"/>
        <v>151</v>
      </c>
      <c r="X10" s="703"/>
      <c r="Y10" s="3627"/>
      <c r="Z10" s="52" t="str">
        <f t="shared" si="7"/>
        <v>土地使用年限（年）</v>
      </c>
      <c r="AA10" s="704">
        <f t="shared" si="3"/>
        <v>0.66225165562913912</v>
      </c>
      <c r="AB10" s="704">
        <f t="shared" si="4"/>
        <v>0.66225165562913912</v>
      </c>
      <c r="AC10" s="704">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233.9</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20"/>
      <c r="L10" s="2719"/>
      <c r="M10" s="2720"/>
      <c r="N10" s="2720"/>
      <c r="O10" s="2773"/>
      <c r="P10" s="3715"/>
      <c r="Q10" s="1343" t="str">
        <f t="shared" si="6"/>
        <v>土地使用年限（年）</v>
      </c>
      <c r="R10" s="701" t="s">
        <v>14</v>
      </c>
      <c r="S10" s="702">
        <f t="shared" si="0"/>
        <v>151</v>
      </c>
      <c r="T10" s="701" t="s">
        <v>14</v>
      </c>
      <c r="U10" s="702">
        <f t="shared" si="1"/>
        <v>151</v>
      </c>
      <c r="V10" s="701" t="s">
        <v>14</v>
      </c>
      <c r="W10" s="702">
        <f t="shared" si="2"/>
        <v>151</v>
      </c>
      <c r="X10" s="703"/>
      <c r="Y10" s="3627"/>
      <c r="Z10" s="52" t="str">
        <f t="shared" si="7"/>
        <v>土地使用年限（年）</v>
      </c>
      <c r="AA10" s="704">
        <f t="shared" si="3"/>
        <v>0.66225165562913912</v>
      </c>
      <c r="AB10" s="704">
        <f t="shared" si="4"/>
        <v>0.66225165562913912</v>
      </c>
      <c r="AC10" s="704">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233.9</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233.9</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233.9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7595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2443</v>
      </c>
      <c r="F3" s="2004" t="s">
        <v>3412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5854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4775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6920</v>
      </c>
      <c r="D5" s="1339">
        <f>ROUND(C6*C17+C20,0)</f>
        <v>6920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4054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6920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3694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0</v>
      </c>
      <c r="AA7" s="1216"/>
      <c r="AB7" s="1216"/>
      <c r="AC7" s="1217"/>
      <c r="AD7" s="1218"/>
      <c r="AE7" s="1218"/>
      <c r="AF7" s="1218"/>
      <c r="AG7" s="1218"/>
      <c r="AH7" s="1218"/>
      <c r="AI7" s="1218"/>
      <c r="AJ7" s="1219"/>
    </row>
    <row r="8" spans="1:36" ht="25.5">
      <c r="A8" s="3299"/>
      <c r="B8" s="170" t="s">
        <v>1957</v>
      </c>
      <c r="C8" s="2026" t="s">
        <v>3417</v>
      </c>
      <c r="D8" s="756" t="s">
        <v>112</v>
      </c>
      <c r="E8" s="757" t="e">
        <f>ROUND(C11/E7,4)</f>
        <v>#DIV/0!</v>
      </c>
      <c r="F8" s="2027" t="s">
        <v>1958</v>
      </c>
      <c r="G8" s="2028"/>
      <c r="H8" s="2028"/>
      <c r="I8" s="2028"/>
      <c r="J8" s="2029"/>
      <c r="K8" s="1119"/>
      <c r="L8" s="2003" t="s">
        <v>1959</v>
      </c>
      <c r="M8" s="864">
        <f>SUMPRODUCT((区片价!B234:B276=I2)*(区片价!C3:G3=E2)*(区片价!C234:G276))</f>
        <v>6920</v>
      </c>
      <c r="N8" s="866">
        <f>SUMPRODUCT((因素修正幅度!B234:B276=I2)*(因素修正幅度!C3:G3=E2)*(因素修正幅度!C234:G276))</f>
        <v>0.109</v>
      </c>
      <c r="O8" s="1119"/>
      <c r="P8" s="1119"/>
      <c r="Q8" s="1119"/>
      <c r="R8" s="1212">
        <v>7</v>
      </c>
      <c r="S8" s="1213"/>
      <c r="T8" s="3361">
        <f t="shared" si="0"/>
        <v>0</v>
      </c>
      <c r="U8" s="1213"/>
      <c r="V8" s="3361">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3258</v>
      </c>
      <c r="B20" s="167" t="s">
        <v>1994</v>
      </c>
      <c r="C20" s="3325">
        <f>ROUND(IF(F21="与级别开发程度一致",0,(G21-E21)/C21),0)</f>
        <v>0</v>
      </c>
      <c r="D20" s="3341" t="s">
        <v>1998</v>
      </c>
      <c r="E20" s="3342"/>
      <c r="F20" s="3774" t="s">
        <v>1995</v>
      </c>
      <c r="G20" s="3775"/>
      <c r="H20" s="3326" t="s">
        <v>3418</v>
      </c>
      <c r="I20" s="3326" t="s">
        <v>3419</v>
      </c>
      <c r="J20" s="3327" t="s">
        <v>3420</v>
      </c>
      <c r="K20" s="2047" t="s">
        <v>3421</v>
      </c>
      <c r="L20" s="2047" t="s">
        <v>3422</v>
      </c>
      <c r="M20" s="2047" t="s">
        <v>3423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3415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45436</v>
      </c>
      <c r="H23" s="3343" t="s">
        <v>3259</v>
      </c>
      <c r="I23" s="3344" t="str">
        <f>IF(H23="季度增幅（自定义）",SUMIF(N25:N28,E2,O25:O28),"")</f>
        <v/>
      </c>
      <c r="J23" s="3446" t="s">
        <v>3414</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0.66249999999999998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16.41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3413</v>
      </c>
      <c r="C25" s="771">
        <f>IF(B25="容积率修正",IF(G3&lt;10,D26,J26),C27)</f>
        <v>1.5418000000000001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7595</v>
      </c>
      <c r="D33" s="2098">
        <f>'数据-汇总表'!F19</f>
        <v>233.9</v>
      </c>
      <c r="E33" s="773">
        <f>ROUND(C33*D33/10000,0)</f>
        <v>178</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2463</v>
      </c>
      <c r="D37" s="2098"/>
      <c r="E37" s="171">
        <f>ROUND(C37*D37/10000,0)</f>
        <v>0</v>
      </c>
      <c r="F37" s="171">
        <f>SUMIF(修正!A57:A68,G2,修正!B57:B68)</f>
        <v>0.5</v>
      </c>
      <c r="G37" s="171">
        <f>ROUND(IF(E2="工业",C37*$M$42,C37*$M$41),0)</f>
        <v>616</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985</v>
      </c>
      <c r="D38" s="2098"/>
      <c r="E38" s="171">
        <f t="shared" ref="E38:E42" si="4">ROUND(C38*D38/10000,0)</f>
        <v>0</v>
      </c>
      <c r="F38" s="171">
        <f>SUMIF(修正!A57:A68,G2,修正!C57:C68)</f>
        <v>0.2</v>
      </c>
      <c r="G38" s="171">
        <f>ROUND(IF(E2="工业",C38*$M$42,C38*$M$41),0)</f>
        <v>246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985</v>
      </c>
      <c r="D39" s="2098"/>
      <c r="E39" s="171">
        <f t="shared" si="4"/>
        <v>0</v>
      </c>
      <c r="F39" s="171">
        <f>SUMIF(修正!A57:A68,G2,修正!D57:D68)</f>
        <v>0.2</v>
      </c>
      <c r="G39" s="171">
        <f>ROUND(IF(E2="工业",C39*$M$42,C39*$M$41),0)</f>
        <v>246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985</v>
      </c>
      <c r="D40" s="2098"/>
      <c r="E40" s="171">
        <f t="shared" si="4"/>
        <v>0</v>
      </c>
      <c r="F40" s="175">
        <f>SUMIF(修正!A57:A68,G2,修正!E57:E68)</f>
        <v>0.2</v>
      </c>
      <c r="G40" s="171">
        <f>ROUND(IF(E2="工业",C40*$M$42,C40*$M$41),0)</f>
        <v>246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6" t="s">
        <v>3437</v>
      </c>
      <c r="D50" s="1065">
        <f t="shared" ref="D50:D58" si="7">SUMIF($J$49:$N$49,C50,J50:N50)</f>
        <v>1.6299999999999999E-2</v>
      </c>
      <c r="E50" s="744">
        <f>ROUND(SUM(D50:D58),4)</f>
        <v>2.93E-2</v>
      </c>
      <c r="F50" s="1814">
        <f>IF(E2="商业",SUMIF(L1:L12,G2,N1:N12),"——")</f>
        <v>0.109</v>
      </c>
      <c r="G50" s="1063">
        <v>1.6299999999999999E-2</v>
      </c>
      <c r="H50" s="1066">
        <f t="shared" ref="H50:H58" si="8">IFERROR(ROUNDDOWN($F$50*I50/2,4),"——")</f>
        <v>1.6299999999999999E-2</v>
      </c>
      <c r="I50" s="3367">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6" t="s">
        <v>3438</v>
      </c>
      <c r="D51" s="1065">
        <f t="shared" si="7"/>
        <v>0</v>
      </c>
      <c r="E51" s="745"/>
      <c r="F51" s="1814"/>
      <c r="G51" s="1063">
        <v>1.1900000000000001E-2</v>
      </c>
      <c r="H51" s="1066">
        <f t="shared" si="8"/>
        <v>1.1900000000000001E-2</v>
      </c>
      <c r="I51" s="3367">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3466" t="s">
        <v>3437</v>
      </c>
      <c r="D52" s="1065">
        <f t="shared" si="7"/>
        <v>6.4999999999999997E-3</v>
      </c>
      <c r="E52" s="745"/>
      <c r="F52" s="1814"/>
      <c r="G52" s="1063">
        <v>6.4999999999999997E-3</v>
      </c>
      <c r="H52" s="1066">
        <f t="shared" si="8"/>
        <v>6.4999999999999997E-3</v>
      </c>
      <c r="I52" s="3367">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6" t="s">
        <v>3437</v>
      </c>
      <c r="D53" s="1065">
        <f t="shared" si="7"/>
        <v>2.7000000000000001E-3</v>
      </c>
      <c r="E53" s="745"/>
      <c r="F53" s="1814"/>
      <c r="G53" s="1063">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6" t="s">
        <v>3464</v>
      </c>
      <c r="D54" s="1065">
        <f t="shared" si="7"/>
        <v>-4.3E-3</v>
      </c>
      <c r="E54" s="745"/>
      <c r="F54" s="1814"/>
      <c r="G54" s="1063">
        <v>4.3E-3</v>
      </c>
      <c r="H54" s="1066">
        <f t="shared" si="8"/>
        <v>4.3E-3</v>
      </c>
      <c r="I54" s="3367">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6" t="s">
        <v>3437</v>
      </c>
      <c r="D55" s="1065">
        <f t="shared" si="7"/>
        <v>2.7000000000000001E-3</v>
      </c>
      <c r="E55" s="745"/>
      <c r="F55" s="1814"/>
      <c r="G55" s="1063">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6" t="s">
        <v>3437</v>
      </c>
      <c r="D56" s="1065">
        <f t="shared" si="7"/>
        <v>2.7000000000000001E-3</v>
      </c>
      <c r="E56" s="745"/>
      <c r="F56" s="1814"/>
      <c r="G56" s="1063">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6" t="s">
        <v>3438</v>
      </c>
      <c r="D57" s="1065">
        <f t="shared" si="7"/>
        <v>0</v>
      </c>
      <c r="E57" s="745"/>
      <c r="F57" s="1814"/>
      <c r="G57" s="1063">
        <v>4.3E-3</v>
      </c>
      <c r="H57" s="1066">
        <f t="shared" si="8"/>
        <v>4.3E-3</v>
      </c>
      <c r="I57" s="3367">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6" t="s">
        <v>3437</v>
      </c>
      <c r="D58" s="1065">
        <f t="shared" si="7"/>
        <v>2.7000000000000001E-3</v>
      </c>
      <c r="E58" s="746"/>
      <c r="F58" s="1814"/>
      <c r="G58" s="1063">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3297</v>
      </c>
      <c r="B103" s="3770"/>
      <c r="C103" s="3770"/>
      <c r="D103" s="3770"/>
      <c r="E103" s="3770"/>
      <c r="F103" s="3770"/>
      <c r="G103" s="3770"/>
      <c r="H103" s="3770"/>
      <c r="I103" s="3770"/>
      <c r="J103" s="3770"/>
      <c r="K103" s="3390"/>
      <c r="L103" s="3390"/>
      <c r="M103" s="3390"/>
      <c r="N103" s="3390"/>
    </row>
    <row r="104" spans="1:14">
      <c r="A104" s="3771" t="s">
        <v>3298</v>
      </c>
      <c r="B104" s="3771" t="s">
        <v>3299</v>
      </c>
      <c r="C104" s="3391" t="s">
        <v>3300</v>
      </c>
      <c r="D104" s="3392"/>
      <c r="E104" s="3392"/>
      <c r="F104" s="3392"/>
      <c r="G104" s="3392"/>
      <c r="H104" s="3392"/>
      <c r="I104" s="3392"/>
      <c r="J104" s="3393"/>
      <c r="K104" s="3394"/>
      <c r="L104" s="3394"/>
      <c r="M104" s="3394"/>
      <c r="N104" s="3394"/>
    </row>
    <row r="105" spans="1:14">
      <c r="A105" s="3771"/>
      <c r="B105" s="377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9"/>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60" t="s">
        <v>3314</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0.84860000000000002</v>
      </c>
      <c r="E116" s="2000" t="s">
        <v>3317</v>
      </c>
      <c r="F116" s="3402" t="str">
        <f>E2</f>
        <v>商业</v>
      </c>
      <c r="G116" s="2000" t="s">
        <v>3318</v>
      </c>
      <c r="H116" s="3402" t="str">
        <f>G2</f>
        <v>八级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3" t="s">
        <v>2611</v>
      </c>
      <c r="B20" s="3776" t="s">
        <v>2632</v>
      </c>
      <c r="C20" s="3103" t="s">
        <v>2443</v>
      </c>
      <c r="D20" s="3104"/>
      <c r="E20" s="3105">
        <v>1</v>
      </c>
      <c r="F20" s="3106" t="s">
        <v>2444</v>
      </c>
      <c r="G20" s="3106"/>
    </row>
    <row r="21" spans="1:13" ht="19.5" customHeight="1">
      <c r="A21" s="3784"/>
      <c r="B21" s="3777"/>
      <c r="C21" s="3107" t="s">
        <v>2445</v>
      </c>
      <c r="D21" s="3108"/>
      <c r="E21" s="3109">
        <v>1</v>
      </c>
      <c r="F21" s="3106" t="s">
        <v>2446</v>
      </c>
      <c r="G21" s="3106"/>
    </row>
    <row r="22" spans="1:13" ht="19.5" customHeight="1">
      <c r="A22" s="3784"/>
      <c r="B22" s="3777"/>
      <c r="C22" s="3107" t="s">
        <v>2447</v>
      </c>
      <c r="D22" s="3108"/>
      <c r="E22" s="3109">
        <v>0.9</v>
      </c>
      <c r="F22" s="3106" t="s">
        <v>2448</v>
      </c>
      <c r="G22" s="3106"/>
    </row>
    <row r="23" spans="1:13" ht="19.5" customHeight="1">
      <c r="A23" s="3784"/>
      <c r="B23" s="3777"/>
      <c r="C23" s="3107" t="s">
        <v>2449</v>
      </c>
      <c r="D23" s="3108"/>
      <c r="E23" s="3109">
        <v>0.9</v>
      </c>
      <c r="F23" s="3106" t="s">
        <v>2450</v>
      </c>
      <c r="G23" s="3106"/>
    </row>
    <row r="24" spans="1:13" ht="19.5" customHeight="1">
      <c r="A24" s="3784"/>
      <c r="B24" s="3777"/>
      <c r="C24" s="3107" t="s">
        <v>2451</v>
      </c>
      <c r="D24" s="3108"/>
      <c r="E24" s="3109">
        <v>0.8</v>
      </c>
      <c r="F24" s="3106" t="s">
        <v>2452</v>
      </c>
      <c r="G24" s="3106"/>
    </row>
    <row r="25" spans="1:13" ht="19.5" customHeight="1" thickBot="1">
      <c r="A25" s="3785"/>
      <c r="B25" s="377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9" t="s">
        <v>2635</v>
      </c>
      <c r="B27" s="3776" t="s">
        <v>2616</v>
      </c>
      <c r="C27" s="3103" t="s">
        <v>2456</v>
      </c>
      <c r="D27" s="3104"/>
      <c r="E27" s="3105">
        <v>1</v>
      </c>
      <c r="F27" s="3106" t="s">
        <v>2457</v>
      </c>
      <c r="G27" s="3106"/>
    </row>
    <row r="28" spans="1:13" ht="19.5" customHeight="1">
      <c r="A28" s="3780"/>
      <c r="B28" s="3777"/>
      <c r="C28" s="3107" t="s">
        <v>2458</v>
      </c>
      <c r="D28" s="3108"/>
      <c r="E28" s="3109">
        <v>1</v>
      </c>
      <c r="F28" s="3106" t="s">
        <v>2459</v>
      </c>
      <c r="G28" s="3106"/>
    </row>
    <row r="29" spans="1:13" ht="19.5" customHeight="1">
      <c r="A29" s="3780"/>
      <c r="B29" s="3777"/>
      <c r="C29" s="3107" t="s">
        <v>2460</v>
      </c>
      <c r="D29" s="3108"/>
      <c r="E29" s="3109">
        <v>0.8</v>
      </c>
      <c r="F29" s="3106" t="s">
        <v>2461</v>
      </c>
      <c r="G29" s="3106"/>
    </row>
    <row r="30" spans="1:13" ht="19.5" customHeight="1">
      <c r="A30" s="3780"/>
      <c r="B30" s="3777"/>
      <c r="C30" s="3107" t="s">
        <v>2462</v>
      </c>
      <c r="D30" s="3108"/>
      <c r="E30" s="3109">
        <v>0.8</v>
      </c>
      <c r="F30" s="3106" t="s">
        <v>2463</v>
      </c>
      <c r="G30" s="3106"/>
    </row>
    <row r="31" spans="1:13" ht="19.5" customHeight="1">
      <c r="A31" s="3780"/>
      <c r="B31" s="3777"/>
      <c r="C31" s="3107" t="s">
        <v>2464</v>
      </c>
      <c r="D31" s="3108"/>
      <c r="E31" s="3109">
        <v>0.8</v>
      </c>
      <c r="F31" s="3106" t="s">
        <v>2465</v>
      </c>
      <c r="G31" s="3106"/>
    </row>
    <row r="32" spans="1:13" ht="19.5" customHeight="1">
      <c r="A32" s="3780"/>
      <c r="B32" s="3777"/>
      <c r="C32" s="3107" t="s">
        <v>2466</v>
      </c>
      <c r="D32" s="3108"/>
      <c r="E32" s="3109">
        <v>0.7</v>
      </c>
      <c r="F32" s="3106" t="s">
        <v>2467</v>
      </c>
      <c r="G32" s="3106"/>
    </row>
    <row r="33" spans="1:7" ht="19.5" customHeight="1">
      <c r="A33" s="3780"/>
      <c r="B33" s="3777"/>
      <c r="C33" s="3107" t="s">
        <v>2468</v>
      </c>
      <c r="D33" s="3108"/>
      <c r="E33" s="3109">
        <v>0.8</v>
      </c>
      <c r="F33" s="3106" t="s">
        <v>2469</v>
      </c>
      <c r="G33" s="3106"/>
    </row>
    <row r="34" spans="1:7" ht="19.5" customHeight="1">
      <c r="A34" s="3780"/>
      <c r="B34" s="3777"/>
      <c r="C34" s="3107" t="s">
        <v>2470</v>
      </c>
      <c r="D34" s="3108"/>
      <c r="E34" s="3109">
        <v>0.6</v>
      </c>
      <c r="F34" s="3106" t="s">
        <v>2471</v>
      </c>
      <c r="G34" s="3106"/>
    </row>
    <row r="35" spans="1:7" ht="19.5" customHeight="1">
      <c r="A35" s="3780"/>
      <c r="B35" s="3777"/>
      <c r="C35" s="3107" t="s">
        <v>2472</v>
      </c>
      <c r="D35" s="3108"/>
      <c r="E35" s="3109">
        <v>0.2</v>
      </c>
      <c r="F35" s="3106" t="s">
        <v>2473</v>
      </c>
      <c r="G35" s="3106"/>
    </row>
    <row r="36" spans="1:7" ht="19.5" customHeight="1">
      <c r="A36" s="3780"/>
      <c r="B36" s="3777"/>
      <c r="C36" s="3107" t="s">
        <v>2474</v>
      </c>
      <c r="D36" s="3108"/>
      <c r="E36" s="3109">
        <v>0.2</v>
      </c>
      <c r="F36" s="3106" t="s">
        <v>2475</v>
      </c>
      <c r="G36" s="3106"/>
    </row>
    <row r="37" spans="1:7" ht="19.5" customHeight="1">
      <c r="A37" s="3780"/>
      <c r="B37" s="3782" t="s">
        <v>2636</v>
      </c>
      <c r="C37" s="3107" t="s">
        <v>2476</v>
      </c>
      <c r="D37" s="3108"/>
      <c r="E37" s="3109">
        <v>0.6</v>
      </c>
      <c r="F37" s="3106" t="s">
        <v>2477</v>
      </c>
      <c r="G37" s="3106"/>
    </row>
    <row r="38" spans="1:7" ht="19.5" customHeight="1">
      <c r="A38" s="3780"/>
      <c r="B38" s="3777"/>
      <c r="C38" s="3107" t="s">
        <v>2478</v>
      </c>
      <c r="D38" s="3108"/>
      <c r="E38" s="3109">
        <v>0.6</v>
      </c>
      <c r="F38" s="3106" t="s">
        <v>2479</v>
      </c>
      <c r="G38" s="3106"/>
    </row>
    <row r="39" spans="1:7" ht="19.5" customHeight="1" thickBot="1">
      <c r="A39" s="3781"/>
      <c r="B39" s="377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3" t="s">
        <v>2614</v>
      </c>
      <c r="B41" s="3776" t="s">
        <v>2638</v>
      </c>
      <c r="C41" s="3103" t="s">
        <v>2483</v>
      </c>
      <c r="D41" s="3104"/>
      <c r="E41" s="3105">
        <v>1</v>
      </c>
      <c r="F41" s="3106" t="s">
        <v>2484</v>
      </c>
      <c r="G41" s="3106"/>
    </row>
    <row r="42" spans="1:7" ht="19.5" customHeight="1">
      <c r="A42" s="3784"/>
      <c r="B42" s="3777"/>
      <c r="C42" s="3107" t="s">
        <v>2485</v>
      </c>
      <c r="D42" s="3108"/>
      <c r="E42" s="3109">
        <v>1</v>
      </c>
      <c r="F42" s="3106" t="s">
        <v>2486</v>
      </c>
      <c r="G42" s="3106"/>
    </row>
    <row r="43" spans="1:7" ht="19.5" customHeight="1">
      <c r="A43" s="3784"/>
      <c r="B43" s="3786"/>
      <c r="C43" s="3107" t="s">
        <v>2487</v>
      </c>
      <c r="D43" s="3108"/>
      <c r="E43" s="3109">
        <v>1.5</v>
      </c>
      <c r="F43" s="3106" t="s">
        <v>2488</v>
      </c>
      <c r="G43" s="3106"/>
    </row>
    <row r="44" spans="1:7" ht="19.5" customHeight="1">
      <c r="A44" s="3784"/>
      <c r="B44" s="3118" t="s">
        <v>2639</v>
      </c>
      <c r="C44" s="3107" t="s">
        <v>2640</v>
      </c>
      <c r="D44" s="3108"/>
      <c r="E44" s="3109">
        <v>2</v>
      </c>
      <c r="F44" s="3106" t="s">
        <v>2489</v>
      </c>
      <c r="G44" s="3106"/>
    </row>
    <row r="45" spans="1:7" ht="19.5" customHeight="1">
      <c r="A45" s="3784"/>
      <c r="B45" s="3782" t="s">
        <v>2641</v>
      </c>
      <c r="C45" s="3107" t="s">
        <v>2490</v>
      </c>
      <c r="D45" s="3108"/>
      <c r="E45" s="3109">
        <v>1</v>
      </c>
      <c r="F45" s="3106" t="s">
        <v>2491</v>
      </c>
      <c r="G45" s="3106"/>
    </row>
    <row r="46" spans="1:7" ht="19.5" customHeight="1">
      <c r="A46" s="3784"/>
      <c r="B46" s="3777"/>
      <c r="C46" s="3107" t="s">
        <v>2492</v>
      </c>
      <c r="D46" s="3108"/>
      <c r="E46" s="3109">
        <v>1</v>
      </c>
      <c r="F46" s="3106" t="s">
        <v>2493</v>
      </c>
      <c r="G46" s="3106"/>
    </row>
    <row r="47" spans="1:7" ht="19.5" customHeight="1">
      <c r="A47" s="3784"/>
      <c r="B47" s="3777"/>
      <c r="C47" s="3107" t="s">
        <v>2494</v>
      </c>
      <c r="D47" s="3108"/>
      <c r="E47" s="3109">
        <v>1</v>
      </c>
      <c r="F47" s="3106" t="s">
        <v>2495</v>
      </c>
      <c r="G47" s="3106"/>
    </row>
    <row r="48" spans="1:7" ht="19.5" customHeight="1">
      <c r="A48" s="3784"/>
      <c r="B48" s="3777"/>
      <c r="C48" s="3107" t="s">
        <v>2496</v>
      </c>
      <c r="D48" s="3108"/>
      <c r="E48" s="3109">
        <v>1</v>
      </c>
      <c r="F48" s="3106" t="s">
        <v>2497</v>
      </c>
      <c r="G48" s="3106"/>
    </row>
    <row r="49" spans="1:7" ht="19.5" customHeight="1">
      <c r="A49" s="3784"/>
      <c r="B49" s="3777"/>
      <c r="C49" s="3107" t="s">
        <v>2498</v>
      </c>
      <c r="D49" s="3108"/>
      <c r="E49" s="3109">
        <v>1</v>
      </c>
      <c r="F49" s="3106" t="s">
        <v>2499</v>
      </c>
      <c r="G49" s="3106"/>
    </row>
    <row r="50" spans="1:7" ht="19.5" customHeight="1">
      <c r="A50" s="3784"/>
      <c r="B50" s="3777"/>
      <c r="C50" s="3107" t="s">
        <v>2500</v>
      </c>
      <c r="D50" s="3108"/>
      <c r="E50" s="3109">
        <v>1</v>
      </c>
      <c r="F50" s="3106" t="s">
        <v>2501</v>
      </c>
      <c r="G50" s="3106"/>
    </row>
    <row r="51" spans="1:7" ht="19.5" customHeight="1" thickBot="1">
      <c r="A51" s="3785"/>
      <c r="B51" s="377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2" t="s">
        <v>2655</v>
      </c>
      <c r="C73" s="3092" t="s">
        <v>2656</v>
      </c>
      <c r="D73" s="3092" t="s">
        <v>2657</v>
      </c>
      <c r="E73" s="3118">
        <v>0.2</v>
      </c>
      <c r="F73" s="3118">
        <v>25</v>
      </c>
    </row>
    <row r="74" spans="1:7" ht="24">
      <c r="A74" s="3118">
        <v>2</v>
      </c>
      <c r="B74" s="3777"/>
      <c r="C74" s="3092" t="s">
        <v>2658</v>
      </c>
      <c r="D74" s="3092" t="s">
        <v>2659</v>
      </c>
      <c r="E74" s="3118">
        <v>0.2</v>
      </c>
      <c r="F74" s="3118">
        <v>25</v>
      </c>
    </row>
    <row r="75" spans="1:7" ht="24">
      <c r="A75" s="3118">
        <v>3</v>
      </c>
      <c r="B75" s="3777"/>
      <c r="C75" s="3092" t="s">
        <v>2660</v>
      </c>
      <c r="D75" s="3092" t="s">
        <v>2661</v>
      </c>
      <c r="E75" s="3118">
        <v>0.2</v>
      </c>
      <c r="F75" s="3118">
        <v>25</v>
      </c>
    </row>
    <row r="76" spans="1:7" ht="13.5">
      <c r="A76" s="3118">
        <v>4</v>
      </c>
      <c r="B76" s="3777"/>
      <c r="C76" s="3092" t="s">
        <v>2662</v>
      </c>
      <c r="D76" s="3092" t="s">
        <v>2663</v>
      </c>
      <c r="E76" s="3118">
        <v>0.15</v>
      </c>
      <c r="F76" s="3118">
        <v>20</v>
      </c>
    </row>
    <row r="77" spans="1:7" ht="24">
      <c r="A77" s="3118">
        <v>5</v>
      </c>
      <c r="B77" s="3777"/>
      <c r="C77" s="3092" t="s">
        <v>2664</v>
      </c>
      <c r="D77" s="3092" t="s">
        <v>2665</v>
      </c>
      <c r="E77" s="3118">
        <v>0.15</v>
      </c>
      <c r="F77" s="3118">
        <v>20</v>
      </c>
    </row>
    <row r="78" spans="1:7" ht="24">
      <c r="A78" s="3118">
        <v>6</v>
      </c>
      <c r="B78" s="3777"/>
      <c r="C78" s="3092" t="s">
        <v>2666</v>
      </c>
      <c r="D78" s="3092" t="s">
        <v>2667</v>
      </c>
      <c r="E78" s="3118">
        <v>0.15</v>
      </c>
      <c r="F78" s="3118">
        <v>20</v>
      </c>
    </row>
    <row r="79" spans="1:7" ht="24">
      <c r="A79" s="3118">
        <v>7</v>
      </c>
      <c r="B79" s="3777"/>
      <c r="C79" s="3092" t="s">
        <v>2668</v>
      </c>
      <c r="D79" s="3092" t="s">
        <v>2669</v>
      </c>
      <c r="E79" s="3118">
        <v>0.15</v>
      </c>
      <c r="F79" s="3118">
        <v>20</v>
      </c>
    </row>
    <row r="80" spans="1:7" ht="24">
      <c r="A80" s="3118">
        <v>8</v>
      </c>
      <c r="B80" s="3777"/>
      <c r="C80" s="3092" t="s">
        <v>2670</v>
      </c>
      <c r="D80" s="3092" t="s">
        <v>2671</v>
      </c>
      <c r="E80" s="3118">
        <v>0.1</v>
      </c>
      <c r="F80" s="3118">
        <v>15</v>
      </c>
    </row>
    <row r="81" spans="1:6" ht="24">
      <c r="A81" s="3118">
        <v>9</v>
      </c>
      <c r="B81" s="3777"/>
      <c r="C81" s="3092" t="s">
        <v>2672</v>
      </c>
      <c r="D81" s="3092" t="s">
        <v>2673</v>
      </c>
      <c r="E81" s="3118">
        <v>0.1</v>
      </c>
      <c r="F81" s="3118">
        <v>15</v>
      </c>
    </row>
    <row r="82" spans="1:6" ht="24">
      <c r="A82" s="3118">
        <v>10</v>
      </c>
      <c r="B82" s="3777"/>
      <c r="C82" s="3092" t="s">
        <v>2674</v>
      </c>
      <c r="D82" s="3092" t="s">
        <v>2675</v>
      </c>
      <c r="E82" s="3118">
        <v>0.1</v>
      </c>
      <c r="F82" s="3118">
        <v>15</v>
      </c>
    </row>
    <row r="83" spans="1:6" ht="24">
      <c r="A83" s="3118">
        <v>11</v>
      </c>
      <c r="B83" s="3777"/>
      <c r="C83" s="3092" t="s">
        <v>2676</v>
      </c>
      <c r="D83" s="3092" t="s">
        <v>2677</v>
      </c>
      <c r="E83" s="3118">
        <v>0.1</v>
      </c>
      <c r="F83" s="3118">
        <v>15</v>
      </c>
    </row>
    <row r="84" spans="1:6" ht="24">
      <c r="A84" s="3118">
        <v>12</v>
      </c>
      <c r="B84" s="3777"/>
      <c r="C84" s="3092" t="s">
        <v>2678</v>
      </c>
      <c r="D84" s="3092" t="s">
        <v>2679</v>
      </c>
      <c r="E84" s="3118">
        <v>0.1</v>
      </c>
      <c r="F84" s="3118">
        <v>15</v>
      </c>
    </row>
    <row r="85" spans="1:6" ht="13.5">
      <c r="A85" s="3118">
        <v>13</v>
      </c>
      <c r="B85" s="3777"/>
      <c r="C85" s="3092" t="s">
        <v>2680</v>
      </c>
      <c r="D85" s="3092" t="s">
        <v>2681</v>
      </c>
      <c r="E85" s="3118">
        <v>0.1</v>
      </c>
      <c r="F85" s="3118">
        <v>15</v>
      </c>
    </row>
    <row r="86" spans="1:6" ht="13.5">
      <c r="A86" s="3118">
        <v>14</v>
      </c>
      <c r="B86" s="3777"/>
      <c r="C86" s="3092" t="s">
        <v>2682</v>
      </c>
      <c r="D86" s="3092" t="s">
        <v>2683</v>
      </c>
      <c r="E86" s="3118">
        <v>0.1</v>
      </c>
      <c r="F86" s="3118">
        <v>15</v>
      </c>
    </row>
    <row r="87" spans="1:6" ht="13.5">
      <c r="A87" s="3118">
        <v>15</v>
      </c>
      <c r="B87" s="3777"/>
      <c r="C87" s="3092" t="s">
        <v>2684</v>
      </c>
      <c r="D87" s="3092" t="s">
        <v>2685</v>
      </c>
      <c r="E87" s="3118">
        <v>0.1</v>
      </c>
      <c r="F87" s="3118">
        <v>15</v>
      </c>
    </row>
    <row r="88" spans="1:6" ht="24">
      <c r="A88" s="3118">
        <v>16</v>
      </c>
      <c r="B88" s="3777"/>
      <c r="C88" s="3092" t="s">
        <v>2686</v>
      </c>
      <c r="D88" s="3092" t="s">
        <v>2687</v>
      </c>
      <c r="E88" s="3118">
        <v>0.1</v>
      </c>
      <c r="F88" s="3118">
        <v>15</v>
      </c>
    </row>
    <row r="89" spans="1:6" ht="24">
      <c r="A89" s="3118">
        <v>17</v>
      </c>
      <c r="B89" s="3786"/>
      <c r="C89" s="3092" t="s">
        <v>2688</v>
      </c>
      <c r="D89" s="3092" t="s">
        <v>2689</v>
      </c>
      <c r="E89" s="3118">
        <v>0.1</v>
      </c>
      <c r="F89" s="3118">
        <v>15</v>
      </c>
    </row>
    <row r="90" spans="1:6" ht="13.5">
      <c r="A90" s="3118">
        <v>18</v>
      </c>
      <c r="B90" s="3782" t="s">
        <v>2690</v>
      </c>
      <c r="C90" s="3092" t="s">
        <v>2691</v>
      </c>
      <c r="D90" s="3092" t="s">
        <v>2692</v>
      </c>
      <c r="E90" s="3118">
        <v>0.2</v>
      </c>
      <c r="F90" s="3118">
        <v>25</v>
      </c>
    </row>
    <row r="91" spans="1:6" ht="24">
      <c r="A91" s="3118">
        <v>19</v>
      </c>
      <c r="B91" s="3777"/>
      <c r="C91" s="3092" t="s">
        <v>2693</v>
      </c>
      <c r="D91" s="3092" t="s">
        <v>2694</v>
      </c>
      <c r="E91" s="3118">
        <v>0.2</v>
      </c>
      <c r="F91" s="3118">
        <v>25</v>
      </c>
    </row>
    <row r="92" spans="1:6" ht="13.5">
      <c r="A92" s="3118">
        <v>20</v>
      </c>
      <c r="B92" s="3777"/>
      <c r="C92" s="3092" t="s">
        <v>2695</v>
      </c>
      <c r="D92" s="3092" t="s">
        <v>2696</v>
      </c>
      <c r="E92" s="3118">
        <v>0.15</v>
      </c>
      <c r="F92" s="3118">
        <v>20</v>
      </c>
    </row>
    <row r="93" spans="1:6" ht="13.5">
      <c r="A93" s="3118">
        <v>21</v>
      </c>
      <c r="B93" s="3777"/>
      <c r="C93" s="3092" t="s">
        <v>2697</v>
      </c>
      <c r="D93" s="3092" t="s">
        <v>2698</v>
      </c>
      <c r="E93" s="3118">
        <v>0.15</v>
      </c>
      <c r="F93" s="3118">
        <v>20</v>
      </c>
    </row>
    <row r="94" spans="1:6" ht="13.5">
      <c r="A94" s="3118">
        <v>22</v>
      </c>
      <c r="B94" s="3777"/>
      <c r="C94" s="3092" t="s">
        <v>2699</v>
      </c>
      <c r="D94" s="3092" t="s">
        <v>2700</v>
      </c>
      <c r="E94" s="3118">
        <v>0.15</v>
      </c>
      <c r="F94" s="3118">
        <v>20</v>
      </c>
    </row>
    <row r="95" spans="1:6" ht="36">
      <c r="A95" s="3118">
        <v>23</v>
      </c>
      <c r="B95" s="3777"/>
      <c r="C95" s="3092" t="s">
        <v>2701</v>
      </c>
      <c r="D95" s="3092" t="s">
        <v>2702</v>
      </c>
      <c r="E95" s="3118">
        <v>0.15</v>
      </c>
      <c r="F95" s="3118">
        <v>20</v>
      </c>
    </row>
    <row r="96" spans="1:6" ht="13.5">
      <c r="A96" s="3118">
        <v>24</v>
      </c>
      <c r="B96" s="3777"/>
      <c r="C96" s="3092" t="s">
        <v>2703</v>
      </c>
      <c r="D96" s="3092" t="s">
        <v>2704</v>
      </c>
      <c r="E96" s="3118">
        <v>0.1</v>
      </c>
      <c r="F96" s="3118">
        <v>15</v>
      </c>
    </row>
    <row r="97" spans="1:6" ht="13.5">
      <c r="A97" s="3118">
        <v>25</v>
      </c>
      <c r="B97" s="3777"/>
      <c r="C97" s="3092" t="s">
        <v>2705</v>
      </c>
      <c r="D97" s="3092" t="s">
        <v>2706</v>
      </c>
      <c r="E97" s="3118">
        <v>0.1</v>
      </c>
      <c r="F97" s="3118">
        <v>15</v>
      </c>
    </row>
    <row r="98" spans="1:6" ht="24">
      <c r="A98" s="3118">
        <v>26</v>
      </c>
      <c r="B98" s="3777"/>
      <c r="C98" s="3092" t="s">
        <v>2707</v>
      </c>
      <c r="D98" s="3092" t="s">
        <v>2708</v>
      </c>
      <c r="E98" s="3118">
        <v>0.1</v>
      </c>
      <c r="F98" s="3118">
        <v>15</v>
      </c>
    </row>
    <row r="99" spans="1:6" ht="24">
      <c r="A99" s="3118">
        <v>27</v>
      </c>
      <c r="B99" s="3777"/>
      <c r="C99" s="3092" t="s">
        <v>2709</v>
      </c>
      <c r="D99" s="3092" t="s">
        <v>2710</v>
      </c>
      <c r="E99" s="3118">
        <v>0.1</v>
      </c>
      <c r="F99" s="3118">
        <v>15</v>
      </c>
    </row>
    <row r="100" spans="1:6" ht="13.5">
      <c r="A100" s="3118">
        <v>28</v>
      </c>
      <c r="B100" s="3777"/>
      <c r="C100" s="3092" t="s">
        <v>2711</v>
      </c>
      <c r="D100" s="3092" t="s">
        <v>2712</v>
      </c>
      <c r="E100" s="3118">
        <v>0.1</v>
      </c>
      <c r="F100" s="3118">
        <v>15</v>
      </c>
    </row>
    <row r="101" spans="1:6" ht="13.5">
      <c r="A101" s="3118">
        <v>29</v>
      </c>
      <c r="B101" s="3777"/>
      <c r="C101" s="3092" t="s">
        <v>2713</v>
      </c>
      <c r="D101" s="3092" t="s">
        <v>2714</v>
      </c>
      <c r="E101" s="3118">
        <v>0.1</v>
      </c>
      <c r="F101" s="3118">
        <v>15</v>
      </c>
    </row>
    <row r="102" spans="1:6" ht="13.5">
      <c r="A102" s="3118">
        <v>30</v>
      </c>
      <c r="B102" s="3777"/>
      <c r="C102" s="3092" t="s">
        <v>2715</v>
      </c>
      <c r="D102" s="3092" t="s">
        <v>2716</v>
      </c>
      <c r="E102" s="3118">
        <v>0.1</v>
      </c>
      <c r="F102" s="3118">
        <v>15</v>
      </c>
    </row>
    <row r="103" spans="1:6" ht="24">
      <c r="A103" s="3118">
        <v>31</v>
      </c>
      <c r="B103" s="3777"/>
      <c r="C103" s="3092" t="s">
        <v>2717</v>
      </c>
      <c r="D103" s="3092" t="s">
        <v>2718</v>
      </c>
      <c r="E103" s="3118">
        <v>0.1</v>
      </c>
      <c r="F103" s="3118">
        <v>15</v>
      </c>
    </row>
    <row r="104" spans="1:6" ht="24">
      <c r="A104" s="3118">
        <v>32</v>
      </c>
      <c r="B104" s="3777"/>
      <c r="C104" s="3092" t="s">
        <v>2719</v>
      </c>
      <c r="D104" s="3092" t="s">
        <v>2720</v>
      </c>
      <c r="E104" s="3118">
        <v>0.1</v>
      </c>
      <c r="F104" s="3118">
        <v>15</v>
      </c>
    </row>
    <row r="105" spans="1:6" ht="24">
      <c r="A105" s="3118">
        <v>33</v>
      </c>
      <c r="B105" s="3777"/>
      <c r="C105" s="3092" t="s">
        <v>2721</v>
      </c>
      <c r="D105" s="3092" t="s">
        <v>2722</v>
      </c>
      <c r="E105" s="3118">
        <v>0.1</v>
      </c>
      <c r="F105" s="3118">
        <v>15</v>
      </c>
    </row>
    <row r="106" spans="1:6" ht="24">
      <c r="A106" s="3118">
        <v>34</v>
      </c>
      <c r="B106" s="3786"/>
      <c r="C106" s="3092" t="s">
        <v>2723</v>
      </c>
      <c r="D106" s="3092" t="s">
        <v>2724</v>
      </c>
      <c r="E106" s="3118">
        <v>0.1</v>
      </c>
      <c r="F106" s="3118">
        <v>15</v>
      </c>
    </row>
    <row r="107" spans="1:6" ht="24">
      <c r="A107" s="3118">
        <v>35</v>
      </c>
      <c r="B107" s="3782" t="s">
        <v>2725</v>
      </c>
      <c r="C107" s="3118" t="s">
        <v>2726</v>
      </c>
      <c r="D107" s="3092" t="s">
        <v>2727</v>
      </c>
      <c r="E107" s="3118">
        <v>0.15</v>
      </c>
      <c r="F107" s="3118">
        <v>20</v>
      </c>
    </row>
    <row r="108" spans="1:6" ht="13.5">
      <c r="A108" s="3118">
        <v>36</v>
      </c>
      <c r="B108" s="3777"/>
      <c r="C108" s="3118" t="s">
        <v>2728</v>
      </c>
      <c r="D108" s="3092" t="s">
        <v>2729</v>
      </c>
      <c r="E108" s="3118">
        <v>0.15</v>
      </c>
      <c r="F108" s="3118">
        <v>20</v>
      </c>
    </row>
    <row r="109" spans="1:6" ht="13.5">
      <c r="A109" s="3118">
        <v>37</v>
      </c>
      <c r="B109" s="3777"/>
      <c r="C109" s="3118" t="s">
        <v>2730</v>
      </c>
      <c r="D109" s="3092" t="s">
        <v>2731</v>
      </c>
      <c r="E109" s="3118">
        <v>0.15</v>
      </c>
      <c r="F109" s="3118">
        <v>20</v>
      </c>
    </row>
    <row r="110" spans="1:6" ht="13.5">
      <c r="A110" s="3118">
        <v>38</v>
      </c>
      <c r="B110" s="3777"/>
      <c r="C110" s="3118" t="s">
        <v>2732</v>
      </c>
      <c r="D110" s="3092" t="s">
        <v>2733</v>
      </c>
      <c r="E110" s="3118">
        <v>0.1</v>
      </c>
      <c r="F110" s="3118">
        <v>15</v>
      </c>
    </row>
    <row r="111" spans="1:6" ht="24">
      <c r="A111" s="3118">
        <v>39</v>
      </c>
      <c r="B111" s="3777"/>
      <c r="C111" s="3118" t="s">
        <v>2734</v>
      </c>
      <c r="D111" s="3092" t="s">
        <v>2735</v>
      </c>
      <c r="E111" s="3118">
        <v>0.1</v>
      </c>
      <c r="F111" s="3118">
        <v>15</v>
      </c>
    </row>
    <row r="112" spans="1:6" ht="24">
      <c r="A112" s="3118">
        <v>40</v>
      </c>
      <c r="B112" s="3786"/>
      <c r="C112" s="3118" t="s">
        <v>2736</v>
      </c>
      <c r="D112" s="3092" t="s">
        <v>2737</v>
      </c>
      <c r="E112" s="3118">
        <v>0.1</v>
      </c>
      <c r="F112" s="3118">
        <v>15</v>
      </c>
    </row>
    <row r="113" spans="1:6" ht="13.5">
      <c r="A113" s="3118">
        <v>41</v>
      </c>
      <c r="B113" s="3787" t="s">
        <v>2738</v>
      </c>
      <c r="C113" s="3118" t="s">
        <v>2739</v>
      </c>
      <c r="D113" s="3092" t="s">
        <v>2740</v>
      </c>
      <c r="E113" s="3118">
        <v>0.1</v>
      </c>
      <c r="F113" s="3118">
        <v>15</v>
      </c>
    </row>
    <row r="114" spans="1:6" ht="13.5">
      <c r="A114" s="3118">
        <v>42</v>
      </c>
      <c r="B114" s="3787"/>
      <c r="C114" s="3118" t="s">
        <v>2741</v>
      </c>
      <c r="D114" s="3092" t="s">
        <v>2742</v>
      </c>
      <c r="E114" s="3118">
        <v>0.1</v>
      </c>
      <c r="F114" s="3118">
        <v>15</v>
      </c>
    </row>
    <row r="115" spans="1:6" ht="24">
      <c r="A115" s="3118">
        <v>43</v>
      </c>
      <c r="B115" s="3787"/>
      <c r="C115" s="3118" t="s">
        <v>2743</v>
      </c>
      <c r="D115" s="3092" t="s">
        <v>2744</v>
      </c>
      <c r="E115" s="3118">
        <v>0.1</v>
      </c>
      <c r="F115" s="3118">
        <v>15</v>
      </c>
    </row>
    <row r="116" spans="1:6" ht="13.5">
      <c r="A116" s="3118">
        <v>44</v>
      </c>
      <c r="B116" s="3782" t="s">
        <v>2745</v>
      </c>
      <c r="C116" s="3118" t="s">
        <v>2746</v>
      </c>
      <c r="D116" s="3092" t="s">
        <v>2747</v>
      </c>
      <c r="E116" s="3118">
        <v>0.1</v>
      </c>
      <c r="F116" s="3118">
        <v>15</v>
      </c>
    </row>
    <row r="117" spans="1:6" ht="24">
      <c r="A117" s="3118">
        <v>45</v>
      </c>
      <c r="B117" s="3786"/>
      <c r="C117" s="3092" t="s">
        <v>2748</v>
      </c>
      <c r="D117" s="3092" t="s">
        <v>2749</v>
      </c>
      <c r="E117" s="3118">
        <v>0.1</v>
      </c>
      <c r="F117" s="3118">
        <v>15</v>
      </c>
    </row>
    <row r="118" spans="1:6" ht="24">
      <c r="A118" s="3118">
        <v>46</v>
      </c>
      <c r="B118" s="3782" t="s">
        <v>2750</v>
      </c>
      <c r="C118" s="3118" t="s">
        <v>2751</v>
      </c>
      <c r="D118" s="3092" t="s">
        <v>2752</v>
      </c>
      <c r="E118" s="3118">
        <v>0.1</v>
      </c>
      <c r="F118" s="3118">
        <v>15</v>
      </c>
    </row>
    <row r="119" spans="1:6" ht="24">
      <c r="A119" s="3118">
        <v>47</v>
      </c>
      <c r="B119" s="3786"/>
      <c r="C119" s="3118" t="s">
        <v>2753</v>
      </c>
      <c r="D119" s="3092" t="s">
        <v>2754</v>
      </c>
      <c r="E119" s="3118">
        <v>0.1</v>
      </c>
      <c r="F119" s="3118">
        <v>15</v>
      </c>
    </row>
    <row r="120" spans="1:6" ht="13.5">
      <c r="A120" s="3118">
        <v>48</v>
      </c>
      <c r="B120" s="3782" t="s">
        <v>2755</v>
      </c>
      <c r="C120" s="3118" t="s">
        <v>2756</v>
      </c>
      <c r="D120" s="3092" t="s">
        <v>2757</v>
      </c>
      <c r="E120" s="3118">
        <v>0.1</v>
      </c>
      <c r="F120" s="3118">
        <v>15</v>
      </c>
    </row>
    <row r="121" spans="1:6" ht="13.5">
      <c r="A121" s="3118">
        <v>49</v>
      </c>
      <c r="B121" s="3786"/>
      <c r="C121" s="3118" t="s">
        <v>2758</v>
      </c>
      <c r="D121" s="3092" t="s">
        <v>2759</v>
      </c>
      <c r="E121" s="3118">
        <v>0.1</v>
      </c>
      <c r="F121" s="3118">
        <v>15</v>
      </c>
    </row>
    <row r="122" spans="1:6" ht="24">
      <c r="A122" s="3118">
        <v>50</v>
      </c>
      <c r="B122" s="3787" t="s">
        <v>2760</v>
      </c>
      <c r="C122" s="3118" t="s">
        <v>2761</v>
      </c>
      <c r="D122" s="3092" t="s">
        <v>2762</v>
      </c>
      <c r="E122" s="3118">
        <v>0.1</v>
      </c>
      <c r="F122" s="3118">
        <v>15</v>
      </c>
    </row>
    <row r="123" spans="1:6" ht="24">
      <c r="A123" s="3118">
        <v>51</v>
      </c>
      <c r="B123" s="3787"/>
      <c r="C123" s="3118" t="s">
        <v>2763</v>
      </c>
      <c r="D123" s="3092" t="s">
        <v>2764</v>
      </c>
      <c r="E123" s="3118">
        <v>0.1</v>
      </c>
      <c r="F123" s="3118">
        <v>15</v>
      </c>
    </row>
    <row r="124" spans="1:6" ht="24">
      <c r="A124" s="3118">
        <v>52</v>
      </c>
      <c r="B124" s="3787" t="s">
        <v>2765</v>
      </c>
      <c r="C124" s="3118" t="s">
        <v>2766</v>
      </c>
      <c r="D124" s="3092" t="s">
        <v>2767</v>
      </c>
      <c r="E124" s="3118">
        <v>0.1</v>
      </c>
      <c r="F124" s="3118">
        <v>15</v>
      </c>
    </row>
    <row r="125" spans="1:6" ht="24">
      <c r="A125" s="3118">
        <v>53</v>
      </c>
      <c r="B125" s="378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7" t="s">
        <v>2773</v>
      </c>
      <c r="C127" s="3118" t="s">
        <v>2774</v>
      </c>
      <c r="D127" s="3092" t="s">
        <v>2775</v>
      </c>
      <c r="E127" s="3118">
        <v>0.1</v>
      </c>
      <c r="F127" s="3118">
        <v>15</v>
      </c>
    </row>
    <row r="128" spans="1:6" ht="13.5">
      <c r="A128" s="3118">
        <v>56</v>
      </c>
      <c r="B128" s="3787"/>
      <c r="C128" s="3118" t="s">
        <v>2776</v>
      </c>
      <c r="D128" s="3092" t="s">
        <v>2777</v>
      </c>
      <c r="E128" s="3118">
        <v>0.1</v>
      </c>
      <c r="F128" s="3118">
        <v>15</v>
      </c>
    </row>
    <row r="129" spans="1:6" ht="24">
      <c r="A129" s="3118">
        <v>57</v>
      </c>
      <c r="B129" s="3787"/>
      <c r="C129" s="3118" t="s">
        <v>2778</v>
      </c>
      <c r="D129" s="3092" t="s">
        <v>2779</v>
      </c>
      <c r="E129" s="3118">
        <v>0.1</v>
      </c>
      <c r="F129" s="3118">
        <v>15</v>
      </c>
    </row>
    <row r="130" spans="1:6" ht="24">
      <c r="A130" s="3118">
        <v>58</v>
      </c>
      <c r="B130" s="3787" t="s">
        <v>2780</v>
      </c>
      <c r="C130" s="3118" t="s">
        <v>2781</v>
      </c>
      <c r="D130" s="3092" t="s">
        <v>2782</v>
      </c>
      <c r="E130" s="3118">
        <v>0.1</v>
      </c>
      <c r="F130" s="3118">
        <v>15</v>
      </c>
    </row>
    <row r="131" spans="1:6" ht="13.5">
      <c r="A131" s="3118">
        <v>59</v>
      </c>
      <c r="B131" s="3787"/>
      <c r="C131" s="3118" t="s">
        <v>2783</v>
      </c>
      <c r="D131" s="3092" t="s">
        <v>2784</v>
      </c>
      <c r="E131" s="3118">
        <v>0.1</v>
      </c>
      <c r="F131" s="3118">
        <v>15</v>
      </c>
    </row>
    <row r="132" spans="1:6" ht="13.5">
      <c r="A132" s="3118">
        <v>60</v>
      </c>
      <c r="B132" s="3782" t="s">
        <v>2785</v>
      </c>
      <c r="C132" s="3118" t="s">
        <v>2786</v>
      </c>
      <c r="D132" s="3092" t="s">
        <v>2787</v>
      </c>
      <c r="E132" s="3118">
        <v>0.1</v>
      </c>
      <c r="F132" s="3118">
        <v>15</v>
      </c>
    </row>
    <row r="133" spans="1:6" ht="13.5">
      <c r="A133" s="3118">
        <v>61</v>
      </c>
      <c r="B133" s="378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7" t="s">
        <v>2793</v>
      </c>
      <c r="C135" s="3118" t="s">
        <v>2794</v>
      </c>
      <c r="D135" s="3092" t="s">
        <v>2795</v>
      </c>
      <c r="E135" s="3118">
        <v>0.1</v>
      </c>
      <c r="F135" s="3118">
        <v>15</v>
      </c>
    </row>
    <row r="136" spans="1:6" ht="13.5">
      <c r="A136" s="3118">
        <v>64</v>
      </c>
      <c r="B136" s="378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25861</v>
      </c>
      <c r="C2" s="2" t="s">
        <v>106</v>
      </c>
      <c r="D2" s="199"/>
      <c r="E2" s="199"/>
      <c r="F2" s="199"/>
      <c r="G2" s="199"/>
    </row>
    <row r="3" spans="1:7" s="200" customFormat="1" ht="18" customHeight="1" thickBot="1">
      <c r="A3" s="203" t="s">
        <v>58</v>
      </c>
      <c r="B3" s="204">
        <f ca="1">ROUND(B2*10000/'数据-汇总表'!E3,0)</f>
        <v>1105643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233.9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233.9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25799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233.9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7</v>
      </c>
      <c r="D45" s="235">
        <f>C47</f>
        <v>2E-3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25861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351</v>
      </c>
      <c r="E5" s="1491"/>
    </row>
    <row r="6" spans="1:5" ht="15.75">
      <c r="A6" s="1491"/>
      <c r="B6" s="3470"/>
      <c r="C6" s="1494" t="s">
        <v>911</v>
      </c>
      <c r="D6" s="850" t="str">
        <f ca="1">NUMBERSTRING(INT(D5*10000),2)&amp;"元整"</f>
        <v>叁佰伍拾壹万元整</v>
      </c>
      <c r="E6" s="1491"/>
    </row>
    <row r="7" spans="1:5" ht="15.75">
      <c r="A7" s="1491"/>
      <c r="B7" s="3475"/>
      <c r="C7" s="1495" t="s">
        <v>912</v>
      </c>
      <c r="D7" s="851">
        <f ca="1">结果表!H102</f>
        <v>15020</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351</v>
      </c>
      <c r="E13" s="1491"/>
    </row>
    <row r="14" spans="1:5" ht="15.75">
      <c r="A14" s="1491"/>
      <c r="B14" s="3470"/>
      <c r="C14" s="1494" t="s">
        <v>911</v>
      </c>
      <c r="D14" s="850" t="str">
        <f ca="1">NUMBERSTRING(INT(D13*10000),2)&amp;"元整"</f>
        <v>叁佰伍拾壹万元整</v>
      </c>
      <c r="E14" s="1491"/>
    </row>
    <row r="15" spans="1:5" ht="15">
      <c r="A15" s="1491"/>
      <c r="B15" s="3475"/>
      <c r="C15" s="1495" t="s">
        <v>921</v>
      </c>
      <c r="D15" s="859">
        <f ca="1">结果表!H108</f>
        <v>15020</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2843</v>
      </c>
      <c r="B1" s="3790"/>
      <c r="C1" s="3790"/>
      <c r="D1" s="3790"/>
      <c r="E1" s="3790"/>
      <c r="F1" s="3790"/>
      <c r="G1" s="379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3185</v>
      </c>
      <c r="B1" s="379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4.25">
      <c r="A1" s="3793" t="s">
        <v>3236</v>
      </c>
      <c r="B1" s="3793"/>
      <c r="C1" s="3793"/>
      <c r="D1" s="3793"/>
      <c r="E1" s="3793"/>
      <c r="F1" s="3794"/>
    </row>
    <row r="2" spans="1:6" ht="14.25">
      <c r="A2" s="3291" t="s">
        <v>3237</v>
      </c>
      <c r="B2" s="3292"/>
      <c r="C2" s="3292"/>
      <c r="D2" s="3292"/>
      <c r="E2" s="3292"/>
      <c r="F2" s="3292"/>
    </row>
    <row r="3" spans="1:6" ht="14.2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1">
        <f>基准地价修正!G23</f>
        <v>45436</v>
      </c>
      <c r="B1" s="3210" t="s">
        <v>3373</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3374</v>
      </c>
      <c r="C23" s="3211"/>
      <c r="D23" s="3211"/>
      <c r="E23" s="3211"/>
      <c r="F23" s="3211"/>
      <c r="G23" s="3211"/>
      <c r="H23" s="3211"/>
      <c r="I23" s="3211"/>
      <c r="J23" s="3165"/>
      <c r="K23" s="3211" t="s">
        <v>2830</v>
      </c>
      <c r="L23" s="3211"/>
      <c r="M23" s="3211"/>
      <c r="N23" s="3211"/>
      <c r="O23" s="3211"/>
      <c r="P23" s="3211"/>
      <c r="Q23" s="3165"/>
      <c r="R23" s="3795" t="s">
        <v>2831</v>
      </c>
      <c r="S23" s="3796"/>
      <c r="T23" s="3796"/>
      <c r="U23" s="3796"/>
      <c r="V23" s="3796"/>
      <c r="W23" s="3796"/>
      <c r="X23" s="3165"/>
      <c r="Y23" s="3795" t="s">
        <v>2832</v>
      </c>
      <c r="Z23" s="3796"/>
      <c r="AA23" s="3796"/>
      <c r="AB23" s="3796"/>
      <c r="AC23" s="3796"/>
      <c r="AD23" s="379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45436</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2" sqref="M22"/>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233.9</v>
      </c>
      <c r="C4" s="854">
        <f>项目基本情况!C18</f>
        <v>0</v>
      </c>
      <c r="D4" s="854">
        <f>结果表!D118</f>
        <v>0</v>
      </c>
      <c r="E4" s="854">
        <f>结果表!E118</f>
        <v>0</v>
      </c>
      <c r="F4" s="854">
        <f>结果表!F118</f>
        <v>0</v>
      </c>
      <c r="G4" s="854">
        <f>结果表!G118</f>
        <v>0</v>
      </c>
      <c r="H4" s="854">
        <f ca="1">结果表!H118</f>
        <v>351</v>
      </c>
      <c r="I4" s="854">
        <f ca="1">结果表!I118</f>
        <v>15020</v>
      </c>
    </row>
    <row r="5" spans="1:9" ht="30" customHeight="1">
      <c r="A5" s="3481" t="s">
        <v>927</v>
      </c>
      <c r="B5" s="3481"/>
      <c r="C5" s="3481"/>
      <c r="D5" s="3481" t="str">
        <f>结果表!D119</f>
        <v>零元整</v>
      </c>
      <c r="E5" s="3481"/>
      <c r="F5" s="3481" t="str">
        <f>结果表!F119</f>
        <v>零元整</v>
      </c>
      <c r="G5" s="3481"/>
      <c r="H5" s="3481" t="str">
        <f ca="1">结果表!H119</f>
        <v>叁佰伍拾壹万元整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351</v>
      </c>
      <c r="E8" s="3482"/>
      <c r="F8" s="3482"/>
      <c r="G8" s="3482"/>
      <c r="H8" s="3482"/>
      <c r="I8" s="3482"/>
    </row>
    <row r="9" spans="1:9" ht="15">
      <c r="A9" s="3481" t="s">
        <v>927</v>
      </c>
      <c r="B9" s="3481"/>
      <c r="C9" s="3481"/>
      <c r="D9" s="3481" t="str">
        <f ca="1">结果表!D123</f>
        <v>叁佰伍拾壹万元整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2024-05-29T03:31:11Z</dcterms:modified>
</cp:coreProperties>
</file>